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5" yWindow="45" windowWidth="15480" windowHeight="5625" tabRatio="673"/>
  </bookViews>
  <sheets>
    <sheet name="LGE1013 ECR" sheetId="324" r:id="rId1"/>
    <sheet name="$25M" sheetId="306" r:id="rId2"/>
    <sheet name="$83.335" sheetId="307" r:id="rId3"/>
    <sheet name="$10.1M" sheetId="308" r:id="rId4"/>
    <sheet name="$22.5M" sheetId="309" r:id="rId5"/>
    <sheet name="$27.5M" sheetId="310" r:id="rId6"/>
    <sheet name="$35M JC01B" sheetId="311" r:id="rId7"/>
    <sheet name="$35M TC01B" sheetId="312" r:id="rId8"/>
    <sheet name="$41.665" sheetId="313" r:id="rId9"/>
    <sheet name="LG&amp;E Unamort Debt Exp" sheetId="314" r:id="rId10"/>
    <sheet name="LG&amp;E Loss on Reacq Debt" sheetId="315" r:id="rId11"/>
    <sheet name="LG&amp;E Debt Disc" sheetId="316" r:id="rId12"/>
    <sheet name="LG&amp;E Revolving Credit Debt Exp" sheetId="317" r:id="rId13"/>
    <sheet name="LG&amp;E $83.335 Swap Interest" sheetId="319" r:id="rId14"/>
    <sheet name="LG&amp;E $128M Swap Interest" sheetId="320" r:id="rId15"/>
    <sheet name="LG&amp;E MONEY POOL" sheetId="321" r:id="rId16"/>
    <sheet name="LG&amp;E CP ECR Calcs" sheetId="322" r:id="rId17"/>
    <sheet name="LG&amp;E LTD Schedule" sheetId="33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_A" localSheetId="11" hidden="1">#REF!</definedName>
    <definedName name="__123Graph_A" localSheetId="10" hidden="1">#REF!</definedName>
    <definedName name="__123Graph_A" localSheetId="12" hidden="1">#REF!</definedName>
    <definedName name="__123Graph_A" localSheetId="0" hidden="1">#REF!</definedName>
    <definedName name="__123Graph_A" hidden="1">#REF!</definedName>
    <definedName name="__123Graph_B" localSheetId="11" hidden="1">#REF!</definedName>
    <definedName name="__123Graph_B" localSheetId="10" hidden="1">#REF!</definedName>
    <definedName name="__123Graph_B" localSheetId="12" hidden="1">#REF!</definedName>
    <definedName name="__123Graph_B" localSheetId="0" hidden="1">#REF!</definedName>
    <definedName name="__123Graph_B" hidden="1">#REF!</definedName>
    <definedName name="__123Graph_C" localSheetId="11" hidden="1">#REF!</definedName>
    <definedName name="__123Graph_C" localSheetId="10" hidden="1">#REF!</definedName>
    <definedName name="__123Graph_C" localSheetId="12" hidden="1">#REF!</definedName>
    <definedName name="__123Graph_C" localSheetId="0" hidden="1">#REF!</definedName>
    <definedName name="__123Graph_C" hidden="1">#REF!</definedName>
    <definedName name="__123Graph_D" localSheetId="11" hidden="1">#REF!</definedName>
    <definedName name="__123Graph_D" localSheetId="10" hidden="1">#REF!</definedName>
    <definedName name="__123Graph_D" localSheetId="12" hidden="1">#REF!</definedName>
    <definedName name="__123Graph_D" localSheetId="0" hidden="1">#REF!</definedName>
    <definedName name="__123Graph_D" hidden="1">#REF!</definedName>
    <definedName name="__123Graph_E" localSheetId="11" hidden="1">#REF!</definedName>
    <definedName name="__123Graph_E" localSheetId="10" hidden="1">#REF!</definedName>
    <definedName name="__123Graph_E" localSheetId="12" hidden="1">#REF!</definedName>
    <definedName name="__123Graph_E" localSheetId="0" hidden="1">#REF!</definedName>
    <definedName name="__123Graph_E" hidden="1">#REF!</definedName>
    <definedName name="__123Graph_F" localSheetId="11" hidden="1">#REF!</definedName>
    <definedName name="__123Graph_F" localSheetId="10" hidden="1">#REF!</definedName>
    <definedName name="__123Graph_F" localSheetId="12" hidden="1">#REF!</definedName>
    <definedName name="__123Graph_F" localSheetId="0" hidden="1">#REF!</definedName>
    <definedName name="__123Graph_F" hidden="1">#REF!</definedName>
    <definedName name="__123Graph_X" localSheetId="11" hidden="1">#REF!</definedName>
    <definedName name="__123Graph_X" localSheetId="10" hidden="1">#REF!</definedName>
    <definedName name="__123Graph_X" localSheetId="12" hidden="1">#REF!</definedName>
    <definedName name="__123Graph_X" localSheetId="0" hidden="1">#REF!</definedName>
    <definedName name="__123Graph_X" hidden="1">#REF!</definedName>
    <definedName name="_36__123Graph_BCHART_1" localSheetId="0" hidden="1">'[1]HOSPICE OPSUM'!#REF!</definedName>
    <definedName name="_36__123Graph_BCHART_1" hidden="1">'[1]HOSPICE OPSUM'!#REF!</definedName>
    <definedName name="_Fill" localSheetId="0" hidden="1">#REF!</definedName>
    <definedName name="_Fill" hidden="1">#REF!</definedName>
    <definedName name="_Order1" hidden="1">255</definedName>
    <definedName name="_Order1a" hidden="1">0</definedName>
    <definedName name="_Order2" hidden="1">255</definedName>
    <definedName name="_Order2a" hidden="1">0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1_Out_2" localSheetId="0" hidden="1">#REF!</definedName>
    <definedName name="_Table1_Out_2" hidden="1">#REF!</definedName>
    <definedName name="_Table2_In1" localSheetId="0" hidden="1">'[2]Bank Model'!#REF!</definedName>
    <definedName name="_Table2_In1" hidden="1">'[2]Bank Model'!#REF!</definedName>
    <definedName name="_Table2_In2" localSheetId="0" hidden="1">'[2]Bank Model'!#REF!</definedName>
    <definedName name="_Table2_In2" hidden="1">'[2]Bank Model'!#REF!</definedName>
    <definedName name="_Table2_Out" localSheetId="0" hidden="1">'[2]Bank Model'!#REF!</definedName>
    <definedName name="_Table2_Out" hidden="1">'[2]Bank Model'!#REF!</definedName>
    <definedName name="_Table2_Out_2" localSheetId="0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0" hidden="1">#REF!</definedName>
    <definedName name="asdfasdfasdfas" hidden="1">#REF!</definedName>
    <definedName name="BLPH1" hidden="1">'[3]Natural gas'!$A$3</definedName>
    <definedName name="BLPR1020040129204514642" localSheetId="0" hidden="1">'[4]Spread Sheet'!#REF!</definedName>
    <definedName name="BLPR1020040129204514642" hidden="1">'[4]Spread Sheet'!#REF!</definedName>
    <definedName name="BLPR1020040129204514642_1_5" localSheetId="0" hidden="1">'[4]Spread Sheet'!#REF!</definedName>
    <definedName name="BLPR1020040129204514642_1_5" hidden="1">'[4]Spread Sheet'!#REF!</definedName>
    <definedName name="BLPR1020040129204514642_2_5" localSheetId="0" hidden="1">'[4]Spread Sheet'!#REF!</definedName>
    <definedName name="BLPR1020040129204514642_2_5" hidden="1">'[4]Spread Sheet'!#REF!</definedName>
    <definedName name="BLPR1020040129204514642_3_5" localSheetId="0" hidden="1">'[4]Spread Sheet'!#REF!</definedName>
    <definedName name="BLPR1020040129204514642_3_5" hidden="1">'[4]Spread Sheet'!#REF!</definedName>
    <definedName name="BLPR1020040129204514642_4_5" localSheetId="0" hidden="1">'[4]Spread Sheet'!#REF!</definedName>
    <definedName name="BLPR1020040129204514642_4_5" hidden="1">'[4]Spread Sheet'!#REF!</definedName>
    <definedName name="BLPR1020040129204514642_5_5" localSheetId="0" hidden="1">'[4]Spread Sheet'!#REF!</definedName>
    <definedName name="BLPR1020040129204514642_5_5" hidden="1">'[4]Spread Sheet'!#REF!</definedName>
    <definedName name="BLPR1120040129204514642" localSheetId="0" hidden="1">'[4]Spread Sheet'!#REF!</definedName>
    <definedName name="BLPR1120040129204514642" hidden="1">'[4]Spread Sheet'!#REF!</definedName>
    <definedName name="BLPR1120040129204514642_1_5" localSheetId="0" hidden="1">'[4]Spread Sheet'!#REF!</definedName>
    <definedName name="BLPR1120040129204514642_1_5" hidden="1">'[4]Spread Sheet'!#REF!</definedName>
    <definedName name="BLPR1120040129204514642_2_5" localSheetId="0" hidden="1">'[4]Spread Sheet'!#REF!</definedName>
    <definedName name="BLPR1120040129204514642_2_5" hidden="1">'[4]Spread Sheet'!#REF!</definedName>
    <definedName name="BLPR1120040129204514642_3_5" localSheetId="0" hidden="1">'[4]Spread Sheet'!#REF!</definedName>
    <definedName name="BLPR1120040129204514642_3_5" hidden="1">'[4]Spread Sheet'!#REF!</definedName>
    <definedName name="BLPR1120040129204514642_4_5" localSheetId="0" hidden="1">'[4]Spread Sheet'!#REF!</definedName>
    <definedName name="BLPR1120040129204514642_4_5" hidden="1">'[4]Spread Sheet'!#REF!</definedName>
    <definedName name="BLPR1120040129204514642_5_5" localSheetId="0" hidden="1">'[4]Spread Sheet'!#REF!</definedName>
    <definedName name="BLPR1120040129204514642_5_5" hidden="1">'[4]Spread Sheet'!#REF!</definedName>
    <definedName name="BLPR120040129203645421" localSheetId="0" hidden="1">'[4]Spread Sheet'!#REF!</definedName>
    <definedName name="BLPR120040129203645421" hidden="1">'[4]Spread Sheet'!#REF!</definedName>
    <definedName name="BLPR120040129203645421_1_4" localSheetId="0" hidden="1">'[4]Spread Sheet'!#REF!</definedName>
    <definedName name="BLPR120040129203645421_1_4" hidden="1">'[4]Spread Sheet'!#REF!</definedName>
    <definedName name="BLPR120040129203645421_2_4" localSheetId="0" hidden="1">'[4]Spread Sheet'!#REF!</definedName>
    <definedName name="BLPR120040129203645421_2_4" hidden="1">'[4]Spread Sheet'!#REF!</definedName>
    <definedName name="BLPR120040129203645421_3_4" localSheetId="0" hidden="1">'[4]Spread Sheet'!#REF!</definedName>
    <definedName name="BLPR120040129203645421_3_4" hidden="1">'[4]Spread Sheet'!#REF!</definedName>
    <definedName name="BLPR120040129203645421_4_4" localSheetId="0" hidden="1">'[4]Spread Sheet'!#REF!</definedName>
    <definedName name="BLPR120040129203645421_4_4" hidden="1">'[4]Spread Sheet'!#REF!</definedName>
    <definedName name="BLPR1220040129204514642" localSheetId="0" hidden="1">'[4]Spread Sheet'!#REF!</definedName>
    <definedName name="BLPR1220040129204514642" hidden="1">'[4]Spread Sheet'!#REF!</definedName>
    <definedName name="BLPR1220040129204514642_1_5" localSheetId="0" hidden="1">'[4]Spread Sheet'!#REF!</definedName>
    <definedName name="BLPR1220040129204514642_1_5" hidden="1">'[4]Spread Sheet'!#REF!</definedName>
    <definedName name="BLPR1220040129204514642_2_5" localSheetId="0" hidden="1">'[4]Spread Sheet'!#REF!</definedName>
    <definedName name="BLPR1220040129204514642_2_5" hidden="1">'[4]Spread Sheet'!#REF!</definedName>
    <definedName name="BLPR1220040129204514642_3_5" localSheetId="0" hidden="1">'[4]Spread Sheet'!#REF!</definedName>
    <definedName name="BLPR1220040129204514642_3_5" hidden="1">'[4]Spread Sheet'!#REF!</definedName>
    <definedName name="BLPR1220040129204514642_4_5" localSheetId="0" hidden="1">'[4]Spread Sheet'!#REF!</definedName>
    <definedName name="BLPR1220040129204514642_4_5" hidden="1">'[4]Spread Sheet'!#REF!</definedName>
    <definedName name="BLPR1220040129204514642_5_5" localSheetId="0" hidden="1">'[4]Spread Sheet'!#REF!</definedName>
    <definedName name="BLPR1220040129204514642_5_5" hidden="1">'[4]Spread Sheet'!#REF!</definedName>
    <definedName name="BLPR1320040129204514642" localSheetId="0" hidden="1">'[4]Spread Sheet'!#REF!</definedName>
    <definedName name="BLPR1320040129204514642" hidden="1">'[4]Spread Sheet'!#REF!</definedName>
    <definedName name="BLPR1320040129204514642_1_5" localSheetId="0" hidden="1">'[4]Spread Sheet'!#REF!</definedName>
    <definedName name="BLPR1320040129204514642_1_5" hidden="1">'[4]Spread Sheet'!#REF!</definedName>
    <definedName name="BLPR1320040129204514642_2_5" localSheetId="0" hidden="1">'[4]Spread Sheet'!#REF!</definedName>
    <definedName name="BLPR1320040129204514642_2_5" hidden="1">'[4]Spread Sheet'!#REF!</definedName>
    <definedName name="BLPR1320040129204514642_3_5" localSheetId="0" hidden="1">'[4]Spread Sheet'!#REF!</definedName>
    <definedName name="BLPR1320040129204514642_3_5" hidden="1">'[4]Spread Sheet'!#REF!</definedName>
    <definedName name="BLPR1320040129204514642_4_5" localSheetId="0" hidden="1">'[4]Spread Sheet'!#REF!</definedName>
    <definedName name="BLPR1320040129204514642_4_5" hidden="1">'[4]Spread Sheet'!#REF!</definedName>
    <definedName name="BLPR1320040129204514642_5_5" localSheetId="0" hidden="1">'[4]Spread Sheet'!#REF!</definedName>
    <definedName name="BLPR1320040129204514642_5_5" hidden="1">'[4]Spread Sheet'!#REF!</definedName>
    <definedName name="BLPR1420040129204514642" localSheetId="0" hidden="1">'[4]Spread Sheet'!#REF!</definedName>
    <definedName name="BLPR1420040129204514642" hidden="1">'[4]Spread Sheet'!#REF!</definedName>
    <definedName name="BLPR1420040129204514642_1_5" localSheetId="0" hidden="1">'[4]Spread Sheet'!#REF!</definedName>
    <definedName name="BLPR1420040129204514642_1_5" hidden="1">'[4]Spread Sheet'!#REF!</definedName>
    <definedName name="BLPR1420040129204514642_2_5" localSheetId="0" hidden="1">'[4]Spread Sheet'!#REF!</definedName>
    <definedName name="BLPR1420040129204514642_2_5" hidden="1">'[4]Spread Sheet'!#REF!</definedName>
    <definedName name="BLPR1420040129204514642_3_5" localSheetId="0" hidden="1">'[4]Spread Sheet'!#REF!</definedName>
    <definedName name="BLPR1420040129204514642_3_5" hidden="1">'[4]Spread Sheet'!#REF!</definedName>
    <definedName name="BLPR1420040129204514642_4_5" localSheetId="0" hidden="1">'[4]Spread Sheet'!#REF!</definedName>
    <definedName name="BLPR1420040129204514642_4_5" hidden="1">'[4]Spread Sheet'!#REF!</definedName>
    <definedName name="BLPR1420040129204514642_5_5" localSheetId="0" hidden="1">'[4]Spread Sheet'!#REF!</definedName>
    <definedName name="BLPR1420040129204514642_5_5" hidden="1">'[4]Spread Sheet'!#REF!</definedName>
    <definedName name="BLPR1520040129204514652" localSheetId="0" hidden="1">'[4]Spread Sheet'!#REF!</definedName>
    <definedName name="BLPR1520040129204514652" hidden="1">'[4]Spread Sheet'!#REF!</definedName>
    <definedName name="BLPR1520040129204514652_1_5" localSheetId="0" hidden="1">'[4]Spread Sheet'!#REF!</definedName>
    <definedName name="BLPR1520040129204514652_1_5" hidden="1">'[4]Spread Sheet'!#REF!</definedName>
    <definedName name="BLPR1520040129204514652_2_5" localSheetId="0" hidden="1">'[4]Spread Sheet'!#REF!</definedName>
    <definedName name="BLPR1520040129204514652_2_5" hidden="1">'[4]Spread Sheet'!#REF!</definedName>
    <definedName name="BLPR1520040129204514652_3_5" localSheetId="0" hidden="1">'[4]Spread Sheet'!#REF!</definedName>
    <definedName name="BLPR1520040129204514652_3_5" hidden="1">'[4]Spread Sheet'!#REF!</definedName>
    <definedName name="BLPR1520040129204514652_4_5" localSheetId="0" hidden="1">'[4]Spread Sheet'!#REF!</definedName>
    <definedName name="BLPR1520040129204514652_4_5" hidden="1">'[4]Spread Sheet'!#REF!</definedName>
    <definedName name="BLPR1520040129204514652_5_5" localSheetId="0" hidden="1">'[4]Spread Sheet'!#REF!</definedName>
    <definedName name="BLPR1520040129204514652_5_5" hidden="1">'[4]Spread Sheet'!#REF!</definedName>
    <definedName name="BLPR1620040129204514652" localSheetId="0" hidden="1">'[4]Spread Sheet'!#REF!</definedName>
    <definedName name="BLPR1620040129204514652" hidden="1">'[4]Spread Sheet'!#REF!</definedName>
    <definedName name="BLPR1620040129204514652_1_5" localSheetId="0" hidden="1">'[4]Spread Sheet'!#REF!</definedName>
    <definedName name="BLPR1620040129204514652_1_5" hidden="1">'[4]Spread Sheet'!#REF!</definedName>
    <definedName name="BLPR1620040129204514652_2_5" localSheetId="0" hidden="1">'[4]Spread Sheet'!#REF!</definedName>
    <definedName name="BLPR1620040129204514652_2_5" hidden="1">'[4]Spread Sheet'!#REF!</definedName>
    <definedName name="BLPR1620040129204514652_3_5" localSheetId="0" hidden="1">'[4]Spread Sheet'!#REF!</definedName>
    <definedName name="BLPR1620040129204514652_3_5" hidden="1">'[4]Spread Sheet'!#REF!</definedName>
    <definedName name="BLPR1620040129204514652_4_5" localSheetId="0" hidden="1">'[4]Spread Sheet'!#REF!</definedName>
    <definedName name="BLPR1620040129204514652_4_5" hidden="1">'[4]Spread Sheet'!#REF!</definedName>
    <definedName name="BLPR1620040129204514652_5_5" localSheetId="0" hidden="1">'[4]Spread Sheet'!#REF!</definedName>
    <definedName name="BLPR1620040129204514652_5_5" hidden="1">'[4]Spread Sheet'!#REF!</definedName>
    <definedName name="BLPR1720040129204514652" localSheetId="0" hidden="1">'[4]Spread Sheet'!#REF!</definedName>
    <definedName name="BLPR1720040129204514652" hidden="1">'[4]Spread Sheet'!#REF!</definedName>
    <definedName name="BLPR1720040129204514652_1_5" localSheetId="0" hidden="1">'[4]Spread Sheet'!#REF!</definedName>
    <definedName name="BLPR1720040129204514652_1_5" hidden="1">'[4]Spread Sheet'!#REF!</definedName>
    <definedName name="BLPR1720040129204514652_2_5" localSheetId="0" hidden="1">'[4]Spread Sheet'!#REF!</definedName>
    <definedName name="BLPR1720040129204514652_2_5" hidden="1">'[4]Spread Sheet'!#REF!</definedName>
    <definedName name="BLPR1720040129204514652_3_5" localSheetId="0" hidden="1">'[4]Spread Sheet'!#REF!</definedName>
    <definedName name="BLPR1720040129204514652_3_5" hidden="1">'[4]Spread Sheet'!#REF!</definedName>
    <definedName name="BLPR1720040129204514652_4_5" localSheetId="0" hidden="1">'[4]Spread Sheet'!#REF!</definedName>
    <definedName name="BLPR1720040129204514652_4_5" hidden="1">'[4]Spread Sheet'!#REF!</definedName>
    <definedName name="BLPR1720040129204514652_5_5" localSheetId="0" hidden="1">'[4]Spread Sheet'!#REF!</definedName>
    <definedName name="BLPR1720040129204514652_5_5" hidden="1">'[4]Spread Sheet'!#REF!</definedName>
    <definedName name="BLPR1820040129204514652" localSheetId="0" hidden="1">'[4]Spread Sheet'!#REF!</definedName>
    <definedName name="BLPR1820040129204514652" hidden="1">'[4]Spread Sheet'!#REF!</definedName>
    <definedName name="BLPR1820040129204514652_1_5" localSheetId="0" hidden="1">'[4]Spread Sheet'!#REF!</definedName>
    <definedName name="BLPR1820040129204514652_1_5" hidden="1">'[4]Spread Sheet'!#REF!</definedName>
    <definedName name="BLPR1820040129204514652_2_5" localSheetId="0" hidden="1">'[4]Spread Sheet'!#REF!</definedName>
    <definedName name="BLPR1820040129204514652_2_5" hidden="1">'[4]Spread Sheet'!#REF!</definedName>
    <definedName name="BLPR1820040129204514652_3_5" localSheetId="0" hidden="1">'[4]Spread Sheet'!#REF!</definedName>
    <definedName name="BLPR1820040129204514652_3_5" hidden="1">'[4]Spread Sheet'!#REF!</definedName>
    <definedName name="BLPR1820040129204514652_4_5" localSheetId="0" hidden="1">'[4]Spread Sheet'!#REF!</definedName>
    <definedName name="BLPR1820040129204514652_4_5" hidden="1">'[4]Spread Sheet'!#REF!</definedName>
    <definedName name="BLPR1820040129204514652_5_5" localSheetId="0" hidden="1">'[4]Spread Sheet'!#REF!</definedName>
    <definedName name="BLPR1820040129204514652_5_5" hidden="1">'[4]Spread Sheet'!#REF!</definedName>
    <definedName name="BLPR1920040129204514652" localSheetId="0" hidden="1">'[4]Spread Sheet'!#REF!</definedName>
    <definedName name="BLPR1920040129204514652" hidden="1">'[4]Spread Sheet'!#REF!</definedName>
    <definedName name="BLPR1920040129204514652_1_5" localSheetId="0" hidden="1">'[4]Spread Sheet'!#REF!</definedName>
    <definedName name="BLPR1920040129204514652_1_5" hidden="1">'[4]Spread Sheet'!#REF!</definedName>
    <definedName name="BLPR1920040129204514652_2_5" localSheetId="0" hidden="1">'[4]Spread Sheet'!#REF!</definedName>
    <definedName name="BLPR1920040129204514652_2_5" hidden="1">'[4]Spread Sheet'!#REF!</definedName>
    <definedName name="BLPR1920040129204514652_3_5" localSheetId="0" hidden="1">'[4]Spread Sheet'!#REF!</definedName>
    <definedName name="BLPR1920040129204514652_3_5" hidden="1">'[4]Spread Sheet'!#REF!</definedName>
    <definedName name="BLPR1920040129204514652_4_5" localSheetId="0" hidden="1">'[4]Spread Sheet'!#REF!</definedName>
    <definedName name="BLPR1920040129204514652_4_5" hidden="1">'[4]Spread Sheet'!#REF!</definedName>
    <definedName name="BLPR1920040129204514652_5_5" localSheetId="0" hidden="1">'[4]Spread Sheet'!#REF!</definedName>
    <definedName name="BLPR1920040129204514652_5_5" hidden="1">'[4]Spread Sheet'!#REF!</definedName>
    <definedName name="BLPR2020040129204514652" localSheetId="0" hidden="1">'[4]Spread Sheet'!#REF!</definedName>
    <definedName name="BLPR2020040129204514652" hidden="1">'[4]Spread Sheet'!#REF!</definedName>
    <definedName name="BLPR2020040129204514652_1_5" localSheetId="0" hidden="1">'[4]Spread Sheet'!#REF!</definedName>
    <definedName name="BLPR2020040129204514652_1_5" hidden="1">'[4]Spread Sheet'!#REF!</definedName>
    <definedName name="BLPR2020040129204514652_2_5" localSheetId="0" hidden="1">'[4]Spread Sheet'!#REF!</definedName>
    <definedName name="BLPR2020040129204514652_2_5" hidden="1">'[4]Spread Sheet'!#REF!</definedName>
    <definedName name="BLPR2020040129204514652_3_5" localSheetId="0" hidden="1">'[4]Spread Sheet'!#REF!</definedName>
    <definedName name="BLPR2020040129204514652_3_5" hidden="1">'[4]Spread Sheet'!#REF!</definedName>
    <definedName name="BLPR2020040129204514652_4_5" localSheetId="0" hidden="1">'[4]Spread Sheet'!#REF!</definedName>
    <definedName name="BLPR2020040129204514652_4_5" hidden="1">'[4]Spread Sheet'!#REF!</definedName>
    <definedName name="BLPR2020040129204514652_5_5" localSheetId="0" hidden="1">'[4]Spread Sheet'!#REF!</definedName>
    <definedName name="BLPR2020040129204514652_5_5" hidden="1">'[4]Spread Sheet'!#REF!</definedName>
    <definedName name="BLPR2120040129204514652" localSheetId="0" hidden="1">'[4]Spread Sheet'!#REF!</definedName>
    <definedName name="BLPR2120040129204514652" hidden="1">'[4]Spread Sheet'!#REF!</definedName>
    <definedName name="BLPR2120040129204514652_1_5" localSheetId="0" hidden="1">'[4]Spread Sheet'!#REF!</definedName>
    <definedName name="BLPR2120040129204514652_1_5" hidden="1">'[4]Spread Sheet'!#REF!</definedName>
    <definedName name="BLPR2120040129204514652_2_5" localSheetId="0" hidden="1">'[4]Spread Sheet'!#REF!</definedName>
    <definedName name="BLPR2120040129204514652_2_5" hidden="1">'[4]Spread Sheet'!#REF!</definedName>
    <definedName name="BLPR2120040129204514652_3_5" localSheetId="0" hidden="1">'[4]Spread Sheet'!#REF!</definedName>
    <definedName name="BLPR2120040129204514652_3_5" hidden="1">'[4]Spread Sheet'!#REF!</definedName>
    <definedName name="BLPR2120040129204514652_4_5" localSheetId="0" hidden="1">'[4]Spread Sheet'!#REF!</definedName>
    <definedName name="BLPR2120040129204514652_4_5" hidden="1">'[4]Spread Sheet'!#REF!</definedName>
    <definedName name="BLPR2120040129204514652_5_5" localSheetId="0" hidden="1">'[4]Spread Sheet'!#REF!</definedName>
    <definedName name="BLPR2120040129204514652_5_5" hidden="1">'[4]Spread Sheet'!#REF!</definedName>
    <definedName name="BLPR220040129203645421" localSheetId="0" hidden="1">'[4]Spread Sheet'!#REF!</definedName>
    <definedName name="BLPR220040129203645421" hidden="1">'[4]Spread Sheet'!#REF!</definedName>
    <definedName name="BLPR220040129203645421_1_4" localSheetId="0" hidden="1">'[4]Spread Sheet'!#REF!</definedName>
    <definedName name="BLPR220040129203645421_1_4" hidden="1">'[4]Spread Sheet'!#REF!</definedName>
    <definedName name="BLPR220040129203645421_2_4" localSheetId="0" hidden="1">'[4]Spread Sheet'!#REF!</definedName>
    <definedName name="BLPR220040129203645421_2_4" hidden="1">'[4]Spread Sheet'!#REF!</definedName>
    <definedName name="BLPR220040129203645421_3_4" localSheetId="0" hidden="1">'[4]Spread Sheet'!#REF!</definedName>
    <definedName name="BLPR220040129203645421_3_4" hidden="1">'[4]Spread Sheet'!#REF!</definedName>
    <definedName name="BLPR220040129203645421_4_4" localSheetId="0" hidden="1">'[4]Spread Sheet'!#REF!</definedName>
    <definedName name="BLPR220040129203645421_4_4" hidden="1">'[4]Spread Sheet'!#REF!</definedName>
    <definedName name="BLPR2220040129204514652" localSheetId="0" hidden="1">'[4]Spread Sheet'!#REF!</definedName>
    <definedName name="BLPR2220040129204514652" hidden="1">'[4]Spread Sheet'!#REF!</definedName>
    <definedName name="BLPR2220040129204514652_1_5" localSheetId="0" hidden="1">'[4]Spread Sheet'!#REF!</definedName>
    <definedName name="BLPR2220040129204514652_1_5" hidden="1">'[4]Spread Sheet'!#REF!</definedName>
    <definedName name="BLPR2220040129204514652_2_5" localSheetId="0" hidden="1">'[4]Spread Sheet'!#REF!</definedName>
    <definedName name="BLPR2220040129204514652_2_5" hidden="1">'[4]Spread Sheet'!#REF!</definedName>
    <definedName name="BLPR2220040129204514652_3_5" localSheetId="0" hidden="1">'[4]Spread Sheet'!#REF!</definedName>
    <definedName name="BLPR2220040129204514652_3_5" hidden="1">'[4]Spread Sheet'!#REF!</definedName>
    <definedName name="BLPR2220040129204514652_4_5" localSheetId="0" hidden="1">'[4]Spread Sheet'!#REF!</definedName>
    <definedName name="BLPR2220040129204514652_4_5" hidden="1">'[4]Spread Sheet'!#REF!</definedName>
    <definedName name="BLPR2220040129204514652_5_5" localSheetId="0" hidden="1">'[4]Spread Sheet'!#REF!</definedName>
    <definedName name="BLPR2220040129204514652_5_5" hidden="1">'[4]Spread Sheet'!#REF!</definedName>
    <definedName name="BLPR2320040129204514662" localSheetId="0" hidden="1">'[4]Spread Sheet'!#REF!</definedName>
    <definedName name="BLPR2320040129204514662" hidden="1">'[4]Spread Sheet'!#REF!</definedName>
    <definedName name="BLPR2320040129204514662_1_5" localSheetId="0" hidden="1">'[4]Spread Sheet'!#REF!</definedName>
    <definedName name="BLPR2320040129204514662_1_5" hidden="1">'[4]Spread Sheet'!#REF!</definedName>
    <definedName name="BLPR2320040129204514662_2_5" localSheetId="0" hidden="1">'[4]Spread Sheet'!#REF!</definedName>
    <definedName name="BLPR2320040129204514662_2_5" hidden="1">'[4]Spread Sheet'!#REF!</definedName>
    <definedName name="BLPR2320040129204514662_3_5" localSheetId="0" hidden="1">'[4]Spread Sheet'!#REF!</definedName>
    <definedName name="BLPR2320040129204514662_3_5" hidden="1">'[4]Spread Sheet'!#REF!</definedName>
    <definedName name="BLPR2320040129204514662_4_5" localSheetId="0" hidden="1">'[4]Spread Sheet'!#REF!</definedName>
    <definedName name="BLPR2320040129204514662_4_5" hidden="1">'[4]Spread Sheet'!#REF!</definedName>
    <definedName name="BLPR2320040129204514662_5_5" localSheetId="0" hidden="1">'[4]Spread Sheet'!#REF!</definedName>
    <definedName name="BLPR2320040129204514662_5_5" hidden="1">'[4]Spread Sheet'!#REF!</definedName>
    <definedName name="BLPR2420040129204514662" localSheetId="0" hidden="1">'[4]Spread Sheet'!#REF!</definedName>
    <definedName name="BLPR2420040129204514662" hidden="1">'[4]Spread Sheet'!#REF!</definedName>
    <definedName name="BLPR2420040129204514662_1_5" localSheetId="0" hidden="1">'[4]Spread Sheet'!#REF!</definedName>
    <definedName name="BLPR2420040129204514662_1_5" hidden="1">'[4]Spread Sheet'!#REF!</definedName>
    <definedName name="BLPR2420040129204514662_2_5" localSheetId="0" hidden="1">'[4]Spread Sheet'!#REF!</definedName>
    <definedName name="BLPR2420040129204514662_2_5" hidden="1">'[4]Spread Sheet'!#REF!</definedName>
    <definedName name="BLPR2420040129204514662_3_5" localSheetId="0" hidden="1">'[4]Spread Sheet'!#REF!</definedName>
    <definedName name="BLPR2420040129204514662_3_5" hidden="1">'[4]Spread Sheet'!#REF!</definedName>
    <definedName name="BLPR2420040129204514662_4_5" localSheetId="0" hidden="1">'[4]Spread Sheet'!#REF!</definedName>
    <definedName name="BLPR2420040129204514662_4_5" hidden="1">'[4]Spread Sheet'!#REF!</definedName>
    <definedName name="BLPR2420040129204514662_5_5" localSheetId="0" hidden="1">'[4]Spread Sheet'!#REF!</definedName>
    <definedName name="BLPR2420040129204514662_5_5" hidden="1">'[4]Spread Sheet'!#REF!</definedName>
    <definedName name="BLPR2520040129204514662" localSheetId="0" hidden="1">'[4]Spread Sheet'!#REF!</definedName>
    <definedName name="BLPR2520040129204514662" hidden="1">'[4]Spread Sheet'!#REF!</definedName>
    <definedName name="BLPR2520040129204514662_1_5" localSheetId="0" hidden="1">'[4]Spread Sheet'!#REF!</definedName>
    <definedName name="BLPR2520040129204514662_1_5" hidden="1">'[4]Spread Sheet'!#REF!</definedName>
    <definedName name="BLPR2520040129204514662_2_5" localSheetId="0" hidden="1">'[4]Spread Sheet'!#REF!</definedName>
    <definedName name="BLPR2520040129204514662_2_5" hidden="1">'[4]Spread Sheet'!#REF!</definedName>
    <definedName name="BLPR2520040129204514662_3_5" localSheetId="0" hidden="1">'[4]Spread Sheet'!#REF!</definedName>
    <definedName name="BLPR2520040129204514662_3_5" hidden="1">'[4]Spread Sheet'!#REF!</definedName>
    <definedName name="BLPR2520040129204514662_4_5" localSheetId="0" hidden="1">'[4]Spread Sheet'!#REF!</definedName>
    <definedName name="BLPR2520040129204514662_4_5" hidden="1">'[4]Spread Sheet'!#REF!</definedName>
    <definedName name="BLPR2520040129204514662_5_5" localSheetId="0" hidden="1">'[4]Spread Sheet'!#REF!</definedName>
    <definedName name="BLPR2520040129204514662_5_5" hidden="1">'[4]Spread Sheet'!#REF!</definedName>
    <definedName name="BLPR2620040129204514662" localSheetId="0" hidden="1">'[4]Spread Sheet'!#REF!</definedName>
    <definedName name="BLPR2620040129204514662" hidden="1">'[4]Spread Sheet'!#REF!</definedName>
    <definedName name="BLPR2620040129204514662_1_5" localSheetId="0" hidden="1">'[4]Spread Sheet'!#REF!</definedName>
    <definedName name="BLPR2620040129204514662_1_5" hidden="1">'[4]Spread Sheet'!#REF!</definedName>
    <definedName name="BLPR2620040129204514662_2_5" localSheetId="0" hidden="1">'[4]Spread Sheet'!#REF!</definedName>
    <definedName name="BLPR2620040129204514662_2_5" hidden="1">'[4]Spread Sheet'!#REF!</definedName>
    <definedName name="BLPR2620040129204514662_3_5" localSheetId="0" hidden="1">'[4]Spread Sheet'!#REF!</definedName>
    <definedName name="BLPR2620040129204514662_3_5" hidden="1">'[4]Spread Sheet'!#REF!</definedName>
    <definedName name="BLPR2620040129204514662_4_5" localSheetId="0" hidden="1">'[4]Spread Sheet'!#REF!</definedName>
    <definedName name="BLPR2620040129204514662_4_5" hidden="1">'[4]Spread Sheet'!#REF!</definedName>
    <definedName name="BLPR2620040129204514662_5_5" localSheetId="0" hidden="1">'[4]Spread Sheet'!#REF!</definedName>
    <definedName name="BLPR2620040129204514662_5_5" hidden="1">'[4]Spread Sheet'!#REF!</definedName>
    <definedName name="BLPR2720040129204514662" localSheetId="0" hidden="1">'[4]Spread Sheet'!#REF!</definedName>
    <definedName name="BLPR2720040129204514662" hidden="1">'[4]Spread Sheet'!#REF!</definedName>
    <definedName name="BLPR2720040129204514662_1_5" localSheetId="0" hidden="1">'[4]Spread Sheet'!#REF!</definedName>
    <definedName name="BLPR2720040129204514662_1_5" hidden="1">'[4]Spread Sheet'!#REF!</definedName>
    <definedName name="BLPR2720040129204514662_2_5" localSheetId="0" hidden="1">'[4]Spread Sheet'!#REF!</definedName>
    <definedName name="BLPR2720040129204514662_2_5" hidden="1">'[4]Spread Sheet'!#REF!</definedName>
    <definedName name="BLPR2720040129204514662_3_5" localSheetId="0" hidden="1">'[4]Spread Sheet'!#REF!</definedName>
    <definedName name="BLPR2720040129204514662_3_5" hidden="1">'[4]Spread Sheet'!#REF!</definedName>
    <definedName name="BLPR2720040129204514662_4_5" localSheetId="0" hidden="1">'[4]Spread Sheet'!#REF!</definedName>
    <definedName name="BLPR2720040129204514662_4_5" hidden="1">'[4]Spread Sheet'!#REF!</definedName>
    <definedName name="BLPR2720040129204514662_5_5" localSheetId="0" hidden="1">'[4]Spread Sheet'!#REF!</definedName>
    <definedName name="BLPR2720040129204514662_5_5" hidden="1">'[4]Spread Sheet'!#REF!</definedName>
    <definedName name="BLPR2820040129204514662" localSheetId="0" hidden="1">'[4]Spread Sheet'!#REF!</definedName>
    <definedName name="BLPR2820040129204514662" hidden="1">'[4]Spread Sheet'!#REF!</definedName>
    <definedName name="BLPR2820040129204514662_1_5" localSheetId="0" hidden="1">'[4]Spread Sheet'!#REF!</definedName>
    <definedName name="BLPR2820040129204514662_1_5" hidden="1">'[4]Spread Sheet'!#REF!</definedName>
    <definedName name="BLPR2820040129204514662_2_5" localSheetId="0" hidden="1">'[4]Spread Sheet'!#REF!</definedName>
    <definedName name="BLPR2820040129204514662_2_5" hidden="1">'[4]Spread Sheet'!#REF!</definedName>
    <definedName name="BLPR2820040129204514662_3_5" localSheetId="0" hidden="1">'[4]Spread Sheet'!#REF!</definedName>
    <definedName name="BLPR2820040129204514662_3_5" hidden="1">'[4]Spread Sheet'!#REF!</definedName>
    <definedName name="BLPR2820040129204514662_4_5" localSheetId="0" hidden="1">'[4]Spread Sheet'!#REF!</definedName>
    <definedName name="BLPR2820040129204514662_4_5" hidden="1">'[4]Spread Sheet'!#REF!</definedName>
    <definedName name="BLPR2820040129204514662_5_5" localSheetId="0" hidden="1">'[4]Spread Sheet'!#REF!</definedName>
    <definedName name="BLPR2820040129204514662_5_5" hidden="1">'[4]Spread Sheet'!#REF!</definedName>
    <definedName name="BLPR2920040129204514662" localSheetId="0" hidden="1">'[4]Spread Sheet'!#REF!</definedName>
    <definedName name="BLPR2920040129204514662" hidden="1">'[4]Spread Sheet'!#REF!</definedName>
    <definedName name="BLPR2920040129204514662_1_5" localSheetId="0" hidden="1">'[4]Spread Sheet'!#REF!</definedName>
    <definedName name="BLPR2920040129204514662_1_5" hidden="1">'[4]Spread Sheet'!#REF!</definedName>
    <definedName name="BLPR2920040129204514662_2_5" localSheetId="0" hidden="1">'[4]Spread Sheet'!#REF!</definedName>
    <definedName name="BLPR2920040129204514662_2_5" hidden="1">'[4]Spread Sheet'!#REF!</definedName>
    <definedName name="BLPR2920040129204514662_3_5" localSheetId="0" hidden="1">'[4]Spread Sheet'!#REF!</definedName>
    <definedName name="BLPR2920040129204514662_3_5" hidden="1">'[4]Spread Sheet'!#REF!</definedName>
    <definedName name="BLPR2920040129204514662_4_5" localSheetId="0" hidden="1">'[4]Spread Sheet'!#REF!</definedName>
    <definedName name="BLPR2920040129204514662_4_5" hidden="1">'[4]Spread Sheet'!#REF!</definedName>
    <definedName name="BLPR2920040129204514662_5_5" localSheetId="0" hidden="1">'[4]Spread Sheet'!#REF!</definedName>
    <definedName name="BLPR2920040129204514662_5_5" hidden="1">'[4]Spread Sheet'!#REF!</definedName>
    <definedName name="BLPR3020040129204514672" localSheetId="0" hidden="1">'[4]Spread Sheet'!#REF!</definedName>
    <definedName name="BLPR3020040129204514672" hidden="1">'[4]Spread Sheet'!#REF!</definedName>
    <definedName name="BLPR3020040129204514672_1_5" localSheetId="0" hidden="1">'[4]Spread Sheet'!#REF!</definedName>
    <definedName name="BLPR3020040129204514672_1_5" hidden="1">'[4]Spread Sheet'!#REF!</definedName>
    <definedName name="BLPR3020040129204514672_2_5" localSheetId="0" hidden="1">'[4]Spread Sheet'!#REF!</definedName>
    <definedName name="BLPR3020040129204514672_2_5" hidden="1">'[4]Spread Sheet'!#REF!</definedName>
    <definedName name="BLPR3020040129204514672_3_5" localSheetId="0" hidden="1">'[4]Spread Sheet'!#REF!</definedName>
    <definedName name="BLPR3020040129204514672_3_5" hidden="1">'[4]Spread Sheet'!#REF!</definedName>
    <definedName name="BLPR3020040129204514672_4_5" localSheetId="0" hidden="1">'[4]Spread Sheet'!#REF!</definedName>
    <definedName name="BLPR3020040129204514672_4_5" hidden="1">'[4]Spread Sheet'!#REF!</definedName>
    <definedName name="BLPR3020040129204514672_5_5" localSheetId="0" hidden="1">'[4]Spread Sheet'!#REF!</definedName>
    <definedName name="BLPR3020040129204514672_5_5" hidden="1">'[4]Spread Sheet'!#REF!</definedName>
    <definedName name="BLPR3120040129204514692" localSheetId="0" hidden="1">'[4]Spread Sheet'!#REF!</definedName>
    <definedName name="BLPR3120040129204514692" hidden="1">'[4]Spread Sheet'!#REF!</definedName>
    <definedName name="BLPR3120040129204514692_1_1" localSheetId="0" hidden="1">'[4]Spread Sheet'!#REF!</definedName>
    <definedName name="BLPR3120040129204514692_1_1" hidden="1">'[4]Spread Sheet'!#REF!</definedName>
    <definedName name="BLPR320040129203645431" localSheetId="0" hidden="1">'[4]Spread Sheet'!#REF!</definedName>
    <definedName name="BLPR320040129203645431" hidden="1">'[4]Spread Sheet'!#REF!</definedName>
    <definedName name="BLPR320040129203645431_1_4" localSheetId="0" hidden="1">'[4]Spread Sheet'!#REF!</definedName>
    <definedName name="BLPR320040129203645431_1_4" hidden="1">'[4]Spread Sheet'!#REF!</definedName>
    <definedName name="BLPR320040129203645431_2_4" localSheetId="0" hidden="1">'[4]Spread Sheet'!#REF!</definedName>
    <definedName name="BLPR320040129203645431_2_4" hidden="1">'[4]Spread Sheet'!#REF!</definedName>
    <definedName name="BLPR320040129203645431_3_4" localSheetId="0" hidden="1">'[4]Spread Sheet'!#REF!</definedName>
    <definedName name="BLPR320040129203645431_3_4" hidden="1">'[4]Spread Sheet'!#REF!</definedName>
    <definedName name="BLPR320040129203645431_4_4" localSheetId="0" hidden="1">'[4]Spread Sheet'!#REF!</definedName>
    <definedName name="BLPR320040129203645431_4_4" hidden="1">'[4]Spread Sheet'!#REF!</definedName>
    <definedName name="BLPR3220040129204514692" localSheetId="0" hidden="1">'[4]Spread Sheet'!#REF!</definedName>
    <definedName name="BLPR3220040129204514692" hidden="1">'[4]Spread Sheet'!#REF!</definedName>
    <definedName name="BLPR3220040129204514692_1_1" localSheetId="0" hidden="1">'[4]Spread Sheet'!#REF!</definedName>
    <definedName name="BLPR3220040129204514692_1_1" hidden="1">'[4]Spread Sheet'!#REF!</definedName>
    <definedName name="BLPR3320040129204514702" localSheetId="0" hidden="1">'[4]Spread Sheet'!#REF!</definedName>
    <definedName name="BLPR3320040129204514702" hidden="1">'[4]Spread Sheet'!#REF!</definedName>
    <definedName name="BLPR3320040129204514702_1_1" localSheetId="0" hidden="1">'[4]Spread Sheet'!#REF!</definedName>
    <definedName name="BLPR3320040129204514702_1_1" hidden="1">'[4]Spread Sheet'!#REF!</definedName>
    <definedName name="BLPR3420040129204514702" localSheetId="0" hidden="1">'[4]Spread Sheet'!#REF!</definedName>
    <definedName name="BLPR3420040129204514702" hidden="1">'[4]Spread Sheet'!#REF!</definedName>
    <definedName name="BLPR3420040129204514702_1_1" localSheetId="0" hidden="1">'[4]Spread Sheet'!#REF!</definedName>
    <definedName name="BLPR3420040129204514702_1_1" hidden="1">'[4]Spread Sheet'!#REF!</definedName>
    <definedName name="BLPR3520040129204514702" localSheetId="0" hidden="1">'[4]Spread Sheet'!#REF!</definedName>
    <definedName name="BLPR3520040129204514702" hidden="1">'[4]Spread Sheet'!#REF!</definedName>
    <definedName name="BLPR3520040129204514702_1_1" localSheetId="0" hidden="1">'[4]Spread Sheet'!#REF!</definedName>
    <definedName name="BLPR3520040129204514702_1_1" hidden="1">'[4]Spread Sheet'!#REF!</definedName>
    <definedName name="BLPR420040129203645431" localSheetId="0" hidden="1">'[4]Spread Sheet'!#REF!</definedName>
    <definedName name="BLPR420040129203645431" hidden="1">'[4]Spread Sheet'!#REF!</definedName>
    <definedName name="BLPR420040129203645431_1_4" localSheetId="0" hidden="1">'[4]Spread Sheet'!#REF!</definedName>
    <definedName name="BLPR420040129203645431_1_4" hidden="1">'[4]Spread Sheet'!#REF!</definedName>
    <definedName name="BLPR420040129203645431_2_4" localSheetId="0" hidden="1">'[4]Spread Sheet'!#REF!</definedName>
    <definedName name="BLPR420040129203645431_2_4" hidden="1">'[4]Spread Sheet'!#REF!</definedName>
    <definedName name="BLPR420040129203645431_3_4" localSheetId="0" hidden="1">'[4]Spread Sheet'!#REF!</definedName>
    <definedName name="BLPR420040129203645431_3_4" hidden="1">'[4]Spread Sheet'!#REF!</definedName>
    <definedName name="BLPR420040129203645431_4_4" localSheetId="0" hidden="1">'[4]Spread Sheet'!#REF!</definedName>
    <definedName name="BLPR420040129203645431_4_4" hidden="1">'[4]Spread Sheet'!#REF!</definedName>
    <definedName name="BLPR520040129203645441" localSheetId="0" hidden="1">'[4]Spread Sheet'!#REF!</definedName>
    <definedName name="BLPR520040129203645441" hidden="1">'[4]Spread Sheet'!#REF!</definedName>
    <definedName name="BLPR520040129203645441_1_4" localSheetId="0" hidden="1">'[4]Spread Sheet'!#REF!</definedName>
    <definedName name="BLPR520040129203645441_1_4" hidden="1">'[4]Spread Sheet'!#REF!</definedName>
    <definedName name="BLPR520040129203645441_2_4" localSheetId="0" hidden="1">'[4]Spread Sheet'!#REF!</definedName>
    <definedName name="BLPR520040129203645441_2_4" hidden="1">'[4]Spread Sheet'!#REF!</definedName>
    <definedName name="BLPR520040129203645441_3_4" localSheetId="0" hidden="1">'[4]Spread Sheet'!#REF!</definedName>
    <definedName name="BLPR520040129203645441_3_4" hidden="1">'[4]Spread Sheet'!#REF!</definedName>
    <definedName name="BLPR520040129203645441_4_4" localSheetId="0" hidden="1">'[4]Spread Sheet'!#REF!</definedName>
    <definedName name="BLPR520040129203645441_4_4" hidden="1">'[4]Spread Sheet'!#REF!</definedName>
    <definedName name="BLPR620040129204149993" localSheetId="0" hidden="1">'[4]Spread Sheet'!#REF!</definedName>
    <definedName name="BLPR620040129204149993" hidden="1">'[4]Spread Sheet'!#REF!</definedName>
    <definedName name="BLPR620040129204149993_1_5" localSheetId="0" hidden="1">'[4]Spread Sheet'!#REF!</definedName>
    <definedName name="BLPR620040129204149993_1_5" hidden="1">'[4]Spread Sheet'!#REF!</definedName>
    <definedName name="BLPR620040129204149993_2_5" localSheetId="0" hidden="1">'[4]Spread Sheet'!#REF!</definedName>
    <definedName name="BLPR620040129204149993_2_5" hidden="1">'[4]Spread Sheet'!#REF!</definedName>
    <definedName name="BLPR620040129204149993_3_5" localSheetId="0" hidden="1">'[4]Spread Sheet'!#REF!</definedName>
    <definedName name="BLPR620040129204149993_3_5" hidden="1">'[4]Spread Sheet'!#REF!</definedName>
    <definedName name="BLPR620040129204149993_4_5" localSheetId="0" hidden="1">'[4]Spread Sheet'!#REF!</definedName>
    <definedName name="BLPR620040129204149993_4_5" hidden="1">'[4]Spread Sheet'!#REF!</definedName>
    <definedName name="BLPR620040129204149993_5_5" localSheetId="0" hidden="1">'[4]Spread Sheet'!#REF!</definedName>
    <definedName name="BLPR620040129204149993_5_5" hidden="1">'[4]Spread Sheet'!#REF!</definedName>
    <definedName name="BLPR720040129204514631" localSheetId="0" hidden="1">'[4]Spread Sheet'!#REF!</definedName>
    <definedName name="BLPR720040129204514631" hidden="1">'[4]Spread Sheet'!#REF!</definedName>
    <definedName name="BLPR720040129204514631_1_5" localSheetId="0" hidden="1">'[4]Spread Sheet'!#REF!</definedName>
    <definedName name="BLPR720040129204514631_1_5" hidden="1">'[4]Spread Sheet'!#REF!</definedName>
    <definedName name="BLPR720040129204514631_2_5" localSheetId="0" hidden="1">'[4]Spread Sheet'!#REF!</definedName>
    <definedName name="BLPR720040129204514631_2_5" hidden="1">'[4]Spread Sheet'!#REF!</definedName>
    <definedName name="BLPR720040129204514631_3_5" localSheetId="0" hidden="1">'[4]Spread Sheet'!#REF!</definedName>
    <definedName name="BLPR720040129204514631_3_5" hidden="1">'[4]Spread Sheet'!#REF!</definedName>
    <definedName name="BLPR720040129204514631_4_5" localSheetId="0" hidden="1">'[4]Spread Sheet'!#REF!</definedName>
    <definedName name="BLPR720040129204514631_4_5" hidden="1">'[4]Spread Sheet'!#REF!</definedName>
    <definedName name="BLPR720040129204514631_5_5" localSheetId="0" hidden="1">'[4]Spread Sheet'!#REF!</definedName>
    <definedName name="BLPR720040129204514631_5_5" hidden="1">'[4]Spread Sheet'!#REF!</definedName>
    <definedName name="BLPR820040129204514642" localSheetId="0" hidden="1">'[4]Spread Sheet'!#REF!</definedName>
    <definedName name="BLPR820040129204514642" hidden="1">'[4]Spread Sheet'!#REF!</definedName>
    <definedName name="BLPR820040129204514642_1_5" localSheetId="0" hidden="1">'[4]Spread Sheet'!#REF!</definedName>
    <definedName name="BLPR820040129204514642_1_5" hidden="1">'[4]Spread Sheet'!#REF!</definedName>
    <definedName name="BLPR820040129204514642_2_5" localSheetId="0" hidden="1">'[4]Spread Sheet'!#REF!</definedName>
    <definedName name="BLPR820040129204514642_2_5" hidden="1">'[4]Spread Sheet'!#REF!</definedName>
    <definedName name="BLPR820040129204514642_3_5" localSheetId="0" hidden="1">'[4]Spread Sheet'!#REF!</definedName>
    <definedName name="BLPR820040129204514642_3_5" hidden="1">'[4]Spread Sheet'!#REF!</definedName>
    <definedName name="BLPR820040129204514642_4_5" localSheetId="0" hidden="1">'[4]Spread Sheet'!#REF!</definedName>
    <definedName name="BLPR820040129204514642_4_5" hidden="1">'[4]Spread Sheet'!#REF!</definedName>
    <definedName name="BLPR820040129204514642_5_5" localSheetId="0" hidden="1">'[4]Spread Sheet'!#REF!</definedName>
    <definedName name="BLPR820040129204514642_5_5" hidden="1">'[4]Spread Sheet'!#REF!</definedName>
    <definedName name="BLPR920040129204514642" localSheetId="0" hidden="1">'[4]Spread Sheet'!#REF!</definedName>
    <definedName name="BLPR920040129204514642" hidden="1">'[4]Spread Sheet'!#REF!</definedName>
    <definedName name="BLPR920040129204514642_1_5" localSheetId="0" hidden="1">'[4]Spread Sheet'!#REF!</definedName>
    <definedName name="BLPR920040129204514642_1_5" hidden="1">'[4]Spread Sheet'!#REF!</definedName>
    <definedName name="BLPR920040129204514642_2_5" localSheetId="0" hidden="1">'[4]Spread Sheet'!#REF!</definedName>
    <definedName name="BLPR920040129204514642_2_5" hidden="1">'[4]Spread Sheet'!#REF!</definedName>
    <definedName name="BLPR920040129204514642_3_5" localSheetId="0" hidden="1">'[4]Spread Sheet'!#REF!</definedName>
    <definedName name="BLPR920040129204514642_3_5" hidden="1">'[4]Spread Sheet'!#REF!</definedName>
    <definedName name="BLPR920040129204514642_4_5" localSheetId="0" hidden="1">'[4]Spread Sheet'!#REF!</definedName>
    <definedName name="BLPR920040129204514642_4_5" hidden="1">'[4]Spread Sheet'!#REF!</definedName>
    <definedName name="BLPR920040129204514642_5_5" localSheetId="0" hidden="1">'[4]Spread Sheet'!#REF!</definedName>
    <definedName name="BLPR920040129204514642_5_5" hidden="1">'[4]Spread Sheet'!#REF!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localSheetId="11" hidden="1">[5]PopCache!$A$1:$A$2</definedName>
    <definedName name="PopCache_GL_INTERFACE_REFERENCE7" localSheetId="10" hidden="1">[6]PopCache!$A$1:$A$2</definedName>
    <definedName name="PopCache_GL_INTERFACE_REFERENCE7" localSheetId="12" hidden="1">[7]PopCache!$A$1:$A$2</definedName>
    <definedName name="PopCache_GL_INTERFACE_REFERENCE7" localSheetId="9" hidden="1">[8]PopCache!$A$1:$A$2</definedName>
    <definedName name="PopCache_GL_INTERFACE_REFERENCE7" hidden="1">[9]PopCache!$A$1:$A$2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45621"/>
</workbook>
</file>

<file path=xl/calcChain.xml><?xml version="1.0" encoding="utf-8"?>
<calcChain xmlns="http://schemas.openxmlformats.org/spreadsheetml/2006/main">
  <c r="S807" i="319" l="1"/>
  <c r="CH807" i="319"/>
  <c r="CL807" i="319"/>
  <c r="CN807" i="319"/>
  <c r="CP807" i="319" s="1"/>
  <c r="CV807" i="319"/>
  <c r="S808" i="319"/>
  <c r="CH808" i="319"/>
  <c r="CL808" i="319"/>
  <c r="CN808" i="319"/>
  <c r="CP808" i="319" s="1"/>
  <c r="CV808" i="319"/>
  <c r="H41" i="324" l="1"/>
  <c r="H40" i="324"/>
  <c r="H39" i="324"/>
  <c r="O18" i="324"/>
  <c r="O17" i="324"/>
  <c r="O16" i="324"/>
  <c r="O15" i="324"/>
  <c r="O14" i="324"/>
  <c r="O13" i="324"/>
  <c r="M24" i="324"/>
  <c r="M22" i="324"/>
  <c r="M20" i="324"/>
  <c r="M11" i="324"/>
  <c r="H20" i="324"/>
  <c r="AL80" i="330" l="1"/>
  <c r="AL77" i="330"/>
  <c r="AJ74" i="330"/>
  <c r="AI74" i="330"/>
  <c r="AH74" i="330"/>
  <c r="AG74" i="330"/>
  <c r="AC74" i="330"/>
  <c r="AA74" i="330"/>
  <c r="V74" i="330"/>
  <c r="L74" i="330"/>
  <c r="U67" i="330"/>
  <c r="U74" i="330" s="1"/>
  <c r="L57" i="330"/>
  <c r="L63" i="330" s="1"/>
  <c r="W56" i="330"/>
  <c r="AF56" i="330" s="1"/>
  <c r="V56" i="330"/>
  <c r="AJ56" i="330" s="1"/>
  <c r="W55" i="330"/>
  <c r="AF55" i="330" s="1"/>
  <c r="V55" i="330"/>
  <c r="AJ55" i="330" s="1"/>
  <c r="AF54" i="330"/>
  <c r="U54" i="330"/>
  <c r="AI54" i="330" s="1"/>
  <c r="I54" i="330"/>
  <c r="U53" i="330"/>
  <c r="AF52" i="330"/>
  <c r="U52" i="330"/>
  <c r="AF51" i="330"/>
  <c r="U51" i="330"/>
  <c r="AI50" i="330"/>
  <c r="AF50" i="330"/>
  <c r="U50" i="330"/>
  <c r="AF49" i="330"/>
  <c r="U49" i="330"/>
  <c r="AI48" i="330"/>
  <c r="AF48" i="330"/>
  <c r="U48" i="330"/>
  <c r="V47" i="330"/>
  <c r="AJ47" i="330" s="1"/>
  <c r="AJ63" i="330" s="1"/>
  <c r="AF46" i="330"/>
  <c r="U46" i="330"/>
  <c r="I46" i="330"/>
  <c r="L43" i="330"/>
  <c r="U33" i="330"/>
  <c r="L27" i="330"/>
  <c r="W26" i="330"/>
  <c r="AF26" i="330" s="1"/>
  <c r="V26" i="330"/>
  <c r="V25" i="330"/>
  <c r="W24" i="330"/>
  <c r="AF24" i="330" s="1"/>
  <c r="V24" i="330"/>
  <c r="AF23" i="330"/>
  <c r="W23" i="330"/>
  <c r="V23" i="330"/>
  <c r="V22" i="330"/>
  <c r="V21" i="330"/>
  <c r="AI20" i="330"/>
  <c r="AF20" i="330"/>
  <c r="U20" i="330"/>
  <c r="AF19" i="330"/>
  <c r="Z19" i="330"/>
  <c r="U19" i="330"/>
  <c r="AI18" i="330"/>
  <c r="AF18" i="330"/>
  <c r="U18" i="330"/>
  <c r="AF17" i="330"/>
  <c r="Z17" i="330"/>
  <c r="U17" i="330"/>
  <c r="AF16" i="330"/>
  <c r="V16" i="330"/>
  <c r="AF15" i="330"/>
  <c r="V15" i="330"/>
  <c r="I15" i="330"/>
  <c r="AF14" i="330"/>
  <c r="AF74" i="330" s="1"/>
  <c r="W14" i="330"/>
  <c r="V14" i="330"/>
  <c r="I14" i="330"/>
  <c r="L11" i="330"/>
  <c r="I19" i="317"/>
  <c r="K18" i="317"/>
  <c r="H18" i="317"/>
  <c r="G18" i="317"/>
  <c r="H17" i="317"/>
  <c r="K17" i="317" s="1"/>
  <c r="G17" i="317"/>
  <c r="H16" i="317"/>
  <c r="K16" i="317" s="1"/>
  <c r="G16" i="317"/>
  <c r="H15" i="317"/>
  <c r="K15" i="317" s="1"/>
  <c r="G15" i="317"/>
  <c r="H14" i="317"/>
  <c r="K14" i="317" s="1"/>
  <c r="G14" i="317"/>
  <c r="H13" i="317"/>
  <c r="K13" i="317" s="1"/>
  <c r="G13" i="317"/>
  <c r="J9" i="317"/>
  <c r="I9" i="317"/>
  <c r="G9" i="317"/>
  <c r="F9" i="317"/>
  <c r="H8" i="317"/>
  <c r="K8" i="317" s="1"/>
  <c r="K9" i="317" s="1"/>
  <c r="AI52" i="330" l="1"/>
  <c r="AA26" i="330"/>
  <c r="AG53" i="330"/>
  <c r="Z53" i="330"/>
  <c r="AI53" i="330"/>
  <c r="U63" i="330"/>
  <c r="V33" i="330"/>
  <c r="AA15" i="330" s="1"/>
  <c r="AI49" i="330"/>
  <c r="AG49" i="330"/>
  <c r="Z49" i="330"/>
  <c r="AI51" i="330"/>
  <c r="AG51" i="330"/>
  <c r="Z51" i="330"/>
  <c r="AA14" i="330"/>
  <c r="AA33" i="330" s="1"/>
  <c r="AJ15" i="330"/>
  <c r="AA16" i="330"/>
  <c r="AD80" i="330"/>
  <c r="AD51" i="330" s="1"/>
  <c r="AK80" i="330"/>
  <c r="AI17" i="330"/>
  <c r="AI33" i="330" s="1"/>
  <c r="AI19" i="330"/>
  <c r="AB19" i="330"/>
  <c r="AJ21" i="330"/>
  <c r="AA21" i="330"/>
  <c r="AF21" i="330"/>
  <c r="AA23" i="330"/>
  <c r="AA25" i="330"/>
  <c r="AJ26" i="330"/>
  <c r="AK46" i="330"/>
  <c r="AD52" i="330"/>
  <c r="AG52" i="330"/>
  <c r="AA22" i="330"/>
  <c r="U77" i="330"/>
  <c r="AB17" i="330" s="1"/>
  <c r="AB33" i="330" s="1"/>
  <c r="AJ14" i="330"/>
  <c r="AJ33" i="330" s="1"/>
  <c r="AJ77" i="330" s="1"/>
  <c r="AJ16" i="330"/>
  <c r="AJ23" i="330"/>
  <c r="V63" i="330"/>
  <c r="AA47" i="330" s="1"/>
  <c r="AA63" i="330" s="1"/>
  <c r="AH47" i="330"/>
  <c r="AF53" i="330"/>
  <c r="AK53" i="330"/>
  <c r="AG17" i="330"/>
  <c r="Z18" i="330"/>
  <c r="Z33" i="330" s="1"/>
  <c r="AG18" i="330"/>
  <c r="AG19" i="330"/>
  <c r="Z20" i="330"/>
  <c r="AG20" i="330"/>
  <c r="AJ24" i="330"/>
  <c r="L33" i="330"/>
  <c r="AD49" i="330"/>
  <c r="AD53" i="330"/>
  <c r="AK54" i="330"/>
  <c r="AG54" i="330"/>
  <c r="Z54" i="330"/>
  <c r="L77" i="330"/>
  <c r="Y22" i="330" s="1"/>
  <c r="AI46" i="330"/>
  <c r="AI63" i="330" s="1"/>
  <c r="AI77" i="330" s="1"/>
  <c r="AF47" i="330"/>
  <c r="AE80" i="330"/>
  <c r="AE67" i="330" s="1"/>
  <c r="AE77" i="330" s="1"/>
  <c r="AD46" i="330"/>
  <c r="AA55" i="330"/>
  <c r="AA56" i="330"/>
  <c r="Z67" i="330"/>
  <c r="Z74" i="330" s="1"/>
  <c r="K19" i="317"/>
  <c r="M19" i="317" s="1"/>
  <c r="K33" i="324" s="1"/>
  <c r="H9" i="317"/>
  <c r="Y23" i="330" l="1"/>
  <c r="AK18" i="330"/>
  <c r="AK19" i="330"/>
  <c r="AK17" i="330"/>
  <c r="AK20" i="330"/>
  <c r="Y15" i="330"/>
  <c r="Y24" i="330"/>
  <c r="Y53" i="330"/>
  <c r="AB51" i="330"/>
  <c r="AB49" i="330"/>
  <c r="Y16" i="330"/>
  <c r="J46" i="330"/>
  <c r="AB67" i="330"/>
  <c r="AB74" i="330" s="1"/>
  <c r="AD50" i="330"/>
  <c r="AB46" i="330"/>
  <c r="AB63" i="330" s="1"/>
  <c r="J54" i="330"/>
  <c r="AK52" i="330"/>
  <c r="AK51" i="330"/>
  <c r="AG50" i="330"/>
  <c r="AG48" i="330"/>
  <c r="AG46" i="330"/>
  <c r="Z52" i="330"/>
  <c r="Z46" i="330"/>
  <c r="Z50" i="330"/>
  <c r="Z48" i="330"/>
  <c r="L82" i="330"/>
  <c r="J53" i="330"/>
  <c r="J51" i="330"/>
  <c r="Y50" i="330"/>
  <c r="J49" i="330"/>
  <c r="Y48" i="330"/>
  <c r="J21" i="330"/>
  <c r="Y20" i="330"/>
  <c r="J19" i="330"/>
  <c r="Y18" i="330"/>
  <c r="J17" i="330"/>
  <c r="Y19" i="330"/>
  <c r="Y17" i="330"/>
  <c r="J15" i="330"/>
  <c r="J14" i="330"/>
  <c r="J77" i="330" s="1"/>
  <c r="Y67" i="330"/>
  <c r="Y56" i="330"/>
  <c r="Y55" i="330"/>
  <c r="J20" i="330"/>
  <c r="J18" i="330"/>
  <c r="Y51" i="330"/>
  <c r="J50" i="330"/>
  <c r="Y49" i="330"/>
  <c r="J48" i="330"/>
  <c r="Y26" i="330"/>
  <c r="J47" i="330"/>
  <c r="Y46" i="330"/>
  <c r="Y21" i="330"/>
  <c r="Y14" i="330"/>
  <c r="Y74" i="330" s="1"/>
  <c r="Y25" i="330"/>
  <c r="Y54" i="330"/>
  <c r="AK48" i="330"/>
  <c r="AG33" i="330"/>
  <c r="AH56" i="330"/>
  <c r="AH55" i="330"/>
  <c r="AH63" i="330" s="1"/>
  <c r="AB48" i="330"/>
  <c r="AB20" i="330"/>
  <c r="AB54" i="330"/>
  <c r="AB52" i="330"/>
  <c r="AB50" i="330"/>
  <c r="AB18" i="330"/>
  <c r="AD20" i="330"/>
  <c r="AD19" i="330"/>
  <c r="AD18" i="330"/>
  <c r="AD17" i="330"/>
  <c r="Y52" i="330"/>
  <c r="AD48" i="330"/>
  <c r="AD54" i="330"/>
  <c r="AK50" i="330"/>
  <c r="AK49" i="330"/>
  <c r="AB53" i="330"/>
  <c r="Y47" i="330"/>
  <c r="V34" i="330"/>
  <c r="V77" i="330"/>
  <c r="AA24" i="330"/>
  <c r="K27" i="316"/>
  <c r="L26" i="316"/>
  <c r="G26" i="316"/>
  <c r="L25" i="316"/>
  <c r="G25" i="316"/>
  <c r="L24" i="316"/>
  <c r="G24" i="316"/>
  <c r="L23" i="316"/>
  <c r="G23" i="316"/>
  <c r="L22" i="316"/>
  <c r="G22" i="316"/>
  <c r="L21" i="316"/>
  <c r="L27" i="316" s="1"/>
  <c r="M27" i="316" s="1"/>
  <c r="F30" i="324" s="1"/>
  <c r="K19" i="316"/>
  <c r="L18" i="316"/>
  <c r="G18" i="316"/>
  <c r="L17" i="316"/>
  <c r="G17" i="316"/>
  <c r="L16" i="316"/>
  <c r="G16" i="316"/>
  <c r="L15" i="316"/>
  <c r="G15" i="316"/>
  <c r="L14" i="316"/>
  <c r="G14" i="316"/>
  <c r="L13" i="316"/>
  <c r="L19" i="316" s="1"/>
  <c r="I10" i="316"/>
  <c r="H10" i="316"/>
  <c r="J9" i="316"/>
  <c r="L9" i="316" s="1"/>
  <c r="J8" i="316"/>
  <c r="J10" i="316" l="1"/>
  <c r="M19" i="316"/>
  <c r="F28" i="324" s="1"/>
  <c r="K10" i="316"/>
  <c r="AC24" i="330"/>
  <c r="AC47" i="330"/>
  <c r="AC63" i="330" s="1"/>
  <c r="AC77" i="330" s="1"/>
  <c r="AC21" i="330"/>
  <c r="AC25" i="330"/>
  <c r="AC14" i="330"/>
  <c r="AC33" i="330" s="1"/>
  <c r="AC22" i="330"/>
  <c r="AC56" i="330"/>
  <c r="AC15" i="330"/>
  <c r="AC55" i="330"/>
  <c r="AC26" i="330"/>
  <c r="AC16" i="330"/>
  <c r="AC23" i="330"/>
  <c r="Z63" i="330"/>
  <c r="AK77" i="330"/>
  <c r="AH21" i="330"/>
  <c r="AH23" i="330"/>
  <c r="AH24" i="330"/>
  <c r="AH16" i="330"/>
  <c r="AH15" i="330"/>
  <c r="AH26" i="330"/>
  <c r="AH14" i="330"/>
  <c r="AH33" i="330" s="1"/>
  <c r="AD77" i="330"/>
  <c r="AG63" i="330"/>
  <c r="AB77" i="330"/>
  <c r="L8" i="316"/>
  <c r="L10" i="316" l="1"/>
  <c r="O30" i="315" l="1"/>
  <c r="K30" i="315"/>
  <c r="I30" i="315"/>
  <c r="M28" i="315"/>
  <c r="Q28" i="315" s="1"/>
  <c r="M27" i="315"/>
  <c r="Q27" i="315" s="1"/>
  <c r="M26" i="315"/>
  <c r="Q26" i="315" s="1"/>
  <c r="M25" i="315"/>
  <c r="Q25" i="315" s="1"/>
  <c r="M24" i="315"/>
  <c r="Q24" i="315" s="1"/>
  <c r="M23" i="315"/>
  <c r="Q23" i="315" s="1"/>
  <c r="M22" i="315"/>
  <c r="Q22" i="315" s="1"/>
  <c r="M21" i="315"/>
  <c r="Q21" i="315" s="1"/>
  <c r="M20" i="315"/>
  <c r="Q20" i="315" s="1"/>
  <c r="M19" i="315"/>
  <c r="Q19" i="315" s="1"/>
  <c r="M18" i="315"/>
  <c r="Q18" i="315" s="1"/>
  <c r="M17" i="315"/>
  <c r="Q17" i="315" s="1"/>
  <c r="M16" i="315"/>
  <c r="Q16" i="315" s="1"/>
  <c r="M15" i="315"/>
  <c r="Q15" i="315" s="1"/>
  <c r="M14" i="315"/>
  <c r="Q14" i="315" s="1"/>
  <c r="M13" i="315"/>
  <c r="Q13" i="315" s="1"/>
  <c r="M12" i="315"/>
  <c r="Q12" i="315" s="1"/>
  <c r="M11" i="315"/>
  <c r="Q11" i="315" s="1"/>
  <c r="M10" i="315"/>
  <c r="Q10" i="315" s="1"/>
  <c r="M9" i="315"/>
  <c r="Q9" i="315" s="1"/>
  <c r="M8" i="315"/>
  <c r="Q128" i="315" s="1"/>
  <c r="M30" i="315" l="1"/>
  <c r="Q8" i="315"/>
  <c r="Q30" i="315" s="1"/>
  <c r="M22" i="314" l="1"/>
  <c r="J22" i="314"/>
  <c r="I22" i="314"/>
  <c r="K32" i="324"/>
  <c r="K21" i="314"/>
  <c r="K29" i="324"/>
  <c r="K20" i="314"/>
  <c r="K27" i="324"/>
  <c r="K19" i="314"/>
  <c r="N19" i="314" s="1"/>
  <c r="K23" i="324"/>
  <c r="K18" i="314"/>
  <c r="K19" i="324"/>
  <c r="K17" i="314"/>
  <c r="K16" i="314"/>
  <c r="K15" i="314"/>
  <c r="N15" i="314" s="1"/>
  <c r="K14" i="314"/>
  <c r="N14" i="314" s="1"/>
  <c r="K13" i="314"/>
  <c r="K12" i="314"/>
  <c r="K11" i="314"/>
  <c r="N11" i="314" s="1"/>
  <c r="K10" i="314"/>
  <c r="N10" i="314" s="1"/>
  <c r="K9" i="314"/>
  <c r="K22" i="314" l="1"/>
  <c r="L22" i="314"/>
  <c r="N12" i="314"/>
  <c r="N17" i="314"/>
  <c r="N18" i="314"/>
  <c r="N20" i="314"/>
  <c r="N9" i="314"/>
  <c r="N13" i="314"/>
  <c r="N16" i="314"/>
  <c r="N21" i="314"/>
  <c r="N22" i="314" l="1"/>
  <c r="H79" i="324" l="1"/>
  <c r="O64" i="324"/>
  <c r="M64" i="324"/>
  <c r="K64" i="324"/>
  <c r="H62" i="324"/>
  <c r="Q62" i="324" s="1"/>
  <c r="S62" i="324" s="1"/>
  <c r="S61" i="324"/>
  <c r="H61" i="324"/>
  <c r="Q61" i="324" s="1"/>
  <c r="O46" i="324"/>
  <c r="M46" i="324"/>
  <c r="K46" i="324"/>
  <c r="H46" i="324"/>
  <c r="F46" i="324"/>
  <c r="Q45" i="324"/>
  <c r="Q44" i="324"/>
  <c r="O42" i="324"/>
  <c r="M42" i="324"/>
  <c r="K42" i="324"/>
  <c r="Q33" i="324"/>
  <c r="Q32" i="324"/>
  <c r="K30" i="324"/>
  <c r="Q30" i="324" s="1"/>
  <c r="H29" i="324"/>
  <c r="K28" i="324"/>
  <c r="H27" i="324"/>
  <c r="Q24" i="324"/>
  <c r="M23" i="324"/>
  <c r="H23" i="324"/>
  <c r="H22" i="324"/>
  <c r="Q22" i="324" s="1"/>
  <c r="S22" i="324" s="1"/>
  <c r="M21" i="324"/>
  <c r="K21" i="324"/>
  <c r="H21" i="324"/>
  <c r="Q20" i="324"/>
  <c r="S20" i="324" s="1"/>
  <c r="M19" i="324"/>
  <c r="H19" i="324"/>
  <c r="M18" i="324"/>
  <c r="K18" i="324"/>
  <c r="M17" i="324"/>
  <c r="K17" i="324"/>
  <c r="M16" i="324"/>
  <c r="K16" i="324"/>
  <c r="M15" i="324"/>
  <c r="K15" i="324"/>
  <c r="M14" i="324"/>
  <c r="K14" i="324"/>
  <c r="K13" i="324"/>
  <c r="M12" i="324"/>
  <c r="K12" i="324"/>
  <c r="F12" i="324"/>
  <c r="O12" i="324" s="1"/>
  <c r="K51" i="324" l="1"/>
  <c r="Q28" i="324"/>
  <c r="S28" i="324" s="1"/>
  <c r="K52" i="324"/>
  <c r="Q46" i="324"/>
  <c r="Q19" i="324"/>
  <c r="S19" i="324" s="1"/>
  <c r="F35" i="324"/>
  <c r="F48" i="324" s="1"/>
  <c r="Q23" i="324"/>
  <c r="S23" i="324" s="1"/>
  <c r="M35" i="324"/>
  <c r="M48" i="324" s="1"/>
  <c r="M67" i="324" s="1"/>
  <c r="K35" i="324"/>
  <c r="K48" i="324" s="1"/>
  <c r="K67" i="324" s="1"/>
  <c r="Q27" i="324"/>
  <c r="S27" i="324" s="1"/>
  <c r="Q21" i="324"/>
  <c r="S21" i="324" s="1"/>
  <c r="Q29" i="324"/>
  <c r="S29" i="324" s="1"/>
  <c r="S30" i="324"/>
  <c r="O35" i="324"/>
  <c r="O48" i="324" s="1"/>
  <c r="O67" i="324" s="1"/>
  <c r="S46" i="324" l="1"/>
  <c r="D191" i="321"/>
  <c r="C191" i="321"/>
  <c r="D190" i="321"/>
  <c r="C190" i="321"/>
  <c r="D189" i="321"/>
  <c r="C189" i="321"/>
  <c r="D188" i="321"/>
  <c r="C188" i="321"/>
  <c r="D187" i="321"/>
  <c r="C187" i="321"/>
  <c r="D186" i="321"/>
  <c r="C186" i="321"/>
  <c r="D185" i="321"/>
  <c r="C185" i="321"/>
  <c r="D184" i="321"/>
  <c r="C184" i="321"/>
  <c r="D183" i="321"/>
  <c r="C183" i="321"/>
  <c r="D182" i="321"/>
  <c r="C182" i="321"/>
  <c r="D181" i="321"/>
  <c r="C181" i="321"/>
  <c r="D180" i="321"/>
  <c r="C180" i="321"/>
  <c r="D179" i="321"/>
  <c r="C179" i="321"/>
  <c r="D178" i="321"/>
  <c r="C178" i="321"/>
  <c r="D177" i="321"/>
  <c r="C177" i="321"/>
  <c r="D176" i="321"/>
  <c r="C176" i="321"/>
  <c r="D175" i="321"/>
  <c r="C175" i="321"/>
  <c r="D174" i="321"/>
  <c r="C174" i="321"/>
  <c r="D173" i="321"/>
  <c r="C173" i="321"/>
  <c r="D172" i="321"/>
  <c r="C172" i="321"/>
  <c r="D171" i="321"/>
  <c r="C171" i="321"/>
  <c r="D170" i="321"/>
  <c r="C170" i="321"/>
  <c r="D169" i="321"/>
  <c r="C169" i="321"/>
  <c r="D168" i="321"/>
  <c r="C168" i="321"/>
  <c r="D167" i="321"/>
  <c r="C167" i="321"/>
  <c r="D166" i="321"/>
  <c r="C166" i="321"/>
  <c r="D165" i="321"/>
  <c r="C165" i="321"/>
  <c r="D164" i="321"/>
  <c r="C164" i="321"/>
  <c r="D163" i="321"/>
  <c r="C163" i="321"/>
  <c r="D162" i="321"/>
  <c r="C162" i="321"/>
  <c r="G162" i="321"/>
  <c r="G163" i="321" s="1"/>
  <c r="G164" i="321" s="1"/>
  <c r="G165" i="321" s="1"/>
  <c r="G166" i="321" s="1"/>
  <c r="G167" i="321" s="1"/>
  <c r="G168" i="321" s="1"/>
  <c r="G169" i="321" s="1"/>
  <c r="G170" i="321" s="1"/>
  <c r="G171" i="321" s="1"/>
  <c r="G172" i="321" s="1"/>
  <c r="G173" i="321" s="1"/>
  <c r="G174" i="321" s="1"/>
  <c r="G175" i="321" s="1"/>
  <c r="G176" i="321" s="1"/>
  <c r="G177" i="321" s="1"/>
  <c r="G178" i="321" s="1"/>
  <c r="G179" i="321" s="1"/>
  <c r="G180" i="321" s="1"/>
  <c r="G181" i="321" s="1"/>
  <c r="G182" i="321" s="1"/>
  <c r="G183" i="321" s="1"/>
  <c r="G184" i="321" s="1"/>
  <c r="G185" i="321" s="1"/>
  <c r="G186" i="321" s="1"/>
  <c r="G187" i="321" s="1"/>
  <c r="G188" i="321" s="1"/>
  <c r="G189" i="321" s="1"/>
  <c r="G190" i="321" s="1"/>
  <c r="G191" i="321" s="1"/>
  <c r="D60" i="324" s="1"/>
  <c r="D161" i="321"/>
  <c r="C161" i="321"/>
  <c r="D160" i="321"/>
  <c r="C160" i="321"/>
  <c r="D159" i="321"/>
  <c r="C159" i="321"/>
  <c r="D158" i="321"/>
  <c r="C158" i="321"/>
  <c r="D157" i="321"/>
  <c r="C157" i="321"/>
  <c r="D156" i="321"/>
  <c r="C156" i="321"/>
  <c r="D155" i="321"/>
  <c r="C155" i="321"/>
  <c r="D154" i="321"/>
  <c r="C154" i="321"/>
  <c r="D153" i="321"/>
  <c r="C153" i="321"/>
  <c r="D152" i="321"/>
  <c r="C152" i="321"/>
  <c r="D151" i="321"/>
  <c r="C151" i="321"/>
  <c r="D150" i="321"/>
  <c r="C150" i="321"/>
  <c r="D149" i="321"/>
  <c r="C149" i="321"/>
  <c r="D148" i="321"/>
  <c r="C148" i="321"/>
  <c r="D147" i="321"/>
  <c r="C147" i="321"/>
  <c r="D146" i="321"/>
  <c r="C146" i="321"/>
  <c r="D145" i="321"/>
  <c r="C145" i="321"/>
  <c r="D144" i="321"/>
  <c r="C144" i="321"/>
  <c r="D143" i="321"/>
  <c r="C143" i="321"/>
  <c r="D142" i="321"/>
  <c r="C142" i="321"/>
  <c r="D141" i="321"/>
  <c r="C141" i="321"/>
  <c r="D140" i="321"/>
  <c r="C140" i="321"/>
  <c r="D139" i="321"/>
  <c r="C139" i="321"/>
  <c r="D138" i="321"/>
  <c r="C138" i="321"/>
  <c r="D137" i="321"/>
  <c r="C137" i="321"/>
  <c r="D136" i="321"/>
  <c r="C136" i="321"/>
  <c r="D135" i="321"/>
  <c r="C135" i="321"/>
  <c r="D134" i="321"/>
  <c r="C134" i="321"/>
  <c r="D133" i="321"/>
  <c r="C133" i="321"/>
  <c r="D132" i="321"/>
  <c r="C132" i="321"/>
  <c r="G132" i="321"/>
  <c r="G133" i="321" s="1"/>
  <c r="G134" i="321" s="1"/>
  <c r="G135" i="321" s="1"/>
  <c r="G136" i="321" s="1"/>
  <c r="G137" i="321" s="1"/>
  <c r="G138" i="321" s="1"/>
  <c r="G139" i="321" s="1"/>
  <c r="G140" i="321" s="1"/>
  <c r="G141" i="321" s="1"/>
  <c r="G142" i="321" s="1"/>
  <c r="G143" i="321" s="1"/>
  <c r="G144" i="321" s="1"/>
  <c r="G145" i="321" s="1"/>
  <c r="G146" i="321" s="1"/>
  <c r="G147" i="321" s="1"/>
  <c r="G148" i="321" s="1"/>
  <c r="G149" i="321" s="1"/>
  <c r="G150" i="321" s="1"/>
  <c r="G151" i="321" s="1"/>
  <c r="G152" i="321" s="1"/>
  <c r="G153" i="321" s="1"/>
  <c r="G154" i="321" s="1"/>
  <c r="G155" i="321" s="1"/>
  <c r="G156" i="321" s="1"/>
  <c r="G157" i="321" s="1"/>
  <c r="G158" i="321" s="1"/>
  <c r="G159" i="321" s="1"/>
  <c r="G160" i="321" s="1"/>
  <c r="D131" i="321"/>
  <c r="C131" i="321"/>
  <c r="D130" i="321"/>
  <c r="C130" i="321"/>
  <c r="D129" i="321"/>
  <c r="C129" i="321"/>
  <c r="D128" i="321"/>
  <c r="C128" i="321"/>
  <c r="D127" i="321"/>
  <c r="C127" i="321"/>
  <c r="D126" i="321"/>
  <c r="C126" i="321"/>
  <c r="D125" i="321"/>
  <c r="C125" i="321"/>
  <c r="D124" i="321"/>
  <c r="C124" i="321"/>
  <c r="D123" i="321"/>
  <c r="C123" i="321"/>
  <c r="D122" i="321"/>
  <c r="C122" i="321"/>
  <c r="D121" i="321"/>
  <c r="C121" i="321"/>
  <c r="D120" i="321"/>
  <c r="C120" i="321"/>
  <c r="D119" i="321"/>
  <c r="C119" i="321"/>
  <c r="D118" i="321"/>
  <c r="C118" i="321"/>
  <c r="D117" i="321"/>
  <c r="C117" i="321"/>
  <c r="D116" i="321"/>
  <c r="C116" i="321"/>
  <c r="D115" i="321"/>
  <c r="C115" i="321"/>
  <c r="D114" i="321"/>
  <c r="C114" i="321"/>
  <c r="D113" i="321"/>
  <c r="C113" i="321"/>
  <c r="D112" i="321"/>
  <c r="C112" i="321"/>
  <c r="D111" i="321"/>
  <c r="C111" i="321"/>
  <c r="D110" i="321"/>
  <c r="C110" i="321"/>
  <c r="D109" i="321"/>
  <c r="C109" i="321"/>
  <c r="D108" i="321"/>
  <c r="C108" i="321"/>
  <c r="D107" i="321"/>
  <c r="C107" i="321"/>
  <c r="D106" i="321"/>
  <c r="C106" i="321"/>
  <c r="D105" i="321"/>
  <c r="C105" i="321"/>
  <c r="D104" i="321"/>
  <c r="C104" i="321"/>
  <c r="D103" i="321"/>
  <c r="C103" i="321"/>
  <c r="D102" i="321"/>
  <c r="C102" i="321"/>
  <c r="D101" i="321"/>
  <c r="C101" i="321"/>
  <c r="G101" i="321"/>
  <c r="G102" i="321" s="1"/>
  <c r="G103" i="321" s="1"/>
  <c r="G104" i="321" s="1"/>
  <c r="G105" i="321" s="1"/>
  <c r="G106" i="321" s="1"/>
  <c r="G107" i="321" s="1"/>
  <c r="G108" i="321" s="1"/>
  <c r="G109" i="321" s="1"/>
  <c r="G110" i="321" s="1"/>
  <c r="G111" i="321" s="1"/>
  <c r="G112" i="321" s="1"/>
  <c r="G113" i="321" s="1"/>
  <c r="G114" i="321" s="1"/>
  <c r="G115" i="321" s="1"/>
  <c r="G116" i="321" s="1"/>
  <c r="G117" i="321" s="1"/>
  <c r="G118" i="321" s="1"/>
  <c r="G119" i="321" s="1"/>
  <c r="G120" i="321" s="1"/>
  <c r="G121" i="321" s="1"/>
  <c r="G122" i="321" s="1"/>
  <c r="G123" i="321" s="1"/>
  <c r="G124" i="321" s="1"/>
  <c r="G125" i="321" s="1"/>
  <c r="G126" i="321" s="1"/>
  <c r="G127" i="321" s="1"/>
  <c r="G128" i="321" s="1"/>
  <c r="G129" i="321" s="1"/>
  <c r="G130" i="321" s="1"/>
  <c r="D100" i="321"/>
  <c r="C100" i="321"/>
  <c r="D99" i="321"/>
  <c r="C99" i="321"/>
  <c r="D98" i="321"/>
  <c r="C98" i="321"/>
  <c r="D97" i="321"/>
  <c r="C97" i="321"/>
  <c r="D96" i="321"/>
  <c r="C96" i="321"/>
  <c r="D95" i="321"/>
  <c r="C95" i="321"/>
  <c r="D94" i="321"/>
  <c r="C94" i="321"/>
  <c r="D93" i="321"/>
  <c r="C93" i="321"/>
  <c r="D92" i="321"/>
  <c r="C92" i="321"/>
  <c r="D91" i="321"/>
  <c r="C91" i="321"/>
  <c r="D90" i="321"/>
  <c r="C90" i="321"/>
  <c r="D89" i="321"/>
  <c r="C89" i="321"/>
  <c r="D88" i="321"/>
  <c r="C88" i="321"/>
  <c r="D87" i="321"/>
  <c r="C87" i="321"/>
  <c r="D86" i="321"/>
  <c r="C86" i="321"/>
  <c r="D85" i="321"/>
  <c r="C85" i="321"/>
  <c r="D84" i="321"/>
  <c r="C84" i="321"/>
  <c r="D83" i="321"/>
  <c r="C83" i="321"/>
  <c r="D82" i="321"/>
  <c r="C82" i="321"/>
  <c r="D81" i="321"/>
  <c r="C81" i="321"/>
  <c r="D80" i="321"/>
  <c r="C80" i="321"/>
  <c r="D79" i="321"/>
  <c r="C79" i="321"/>
  <c r="D78" i="321"/>
  <c r="C78" i="321"/>
  <c r="D77" i="321"/>
  <c r="C77" i="321"/>
  <c r="D76" i="321"/>
  <c r="C76" i="321"/>
  <c r="D75" i="321"/>
  <c r="C75" i="321"/>
  <c r="D74" i="321"/>
  <c r="C74" i="321"/>
  <c r="D73" i="321"/>
  <c r="C73" i="321"/>
  <c r="D72" i="321"/>
  <c r="C72" i="321"/>
  <c r="D71" i="321"/>
  <c r="C71" i="321"/>
  <c r="G70" i="321"/>
  <c r="G71" i="321" s="1"/>
  <c r="G72" i="321" s="1"/>
  <c r="G73" i="321" s="1"/>
  <c r="G74" i="321" s="1"/>
  <c r="G75" i="321" s="1"/>
  <c r="G76" i="321" s="1"/>
  <c r="G77" i="321" s="1"/>
  <c r="G78" i="321" s="1"/>
  <c r="G79" i="321" s="1"/>
  <c r="G80" i="321" s="1"/>
  <c r="G81" i="321" s="1"/>
  <c r="G82" i="321" s="1"/>
  <c r="G83" i="321" s="1"/>
  <c r="G84" i="321" s="1"/>
  <c r="G85" i="321" s="1"/>
  <c r="G86" i="321" s="1"/>
  <c r="G87" i="321" s="1"/>
  <c r="G88" i="321" s="1"/>
  <c r="G89" i="321" s="1"/>
  <c r="G90" i="321" s="1"/>
  <c r="G91" i="321" s="1"/>
  <c r="G92" i="321" s="1"/>
  <c r="G93" i="321" s="1"/>
  <c r="G94" i="321" s="1"/>
  <c r="G95" i="321" s="1"/>
  <c r="G96" i="321" s="1"/>
  <c r="G97" i="321" s="1"/>
  <c r="G98" i="321" s="1"/>
  <c r="G99" i="321" s="1"/>
  <c r="D70" i="321"/>
  <c r="C70" i="321"/>
  <c r="D69" i="321"/>
  <c r="C69" i="321"/>
  <c r="D68" i="321"/>
  <c r="C68" i="321"/>
  <c r="D67" i="321"/>
  <c r="C67" i="321"/>
  <c r="D66" i="321"/>
  <c r="C66" i="321"/>
  <c r="D65" i="321"/>
  <c r="C65" i="321"/>
  <c r="D64" i="321"/>
  <c r="C64" i="321"/>
  <c r="D63" i="321"/>
  <c r="C63" i="321"/>
  <c r="D62" i="321"/>
  <c r="C62" i="321"/>
  <c r="D61" i="321"/>
  <c r="C61" i="321"/>
  <c r="D60" i="321"/>
  <c r="C60" i="321"/>
  <c r="D59" i="321"/>
  <c r="C59" i="321"/>
  <c r="D58" i="321"/>
  <c r="C58" i="321"/>
  <c r="D57" i="321"/>
  <c r="C57" i="321"/>
  <c r="D56" i="321"/>
  <c r="C56" i="321"/>
  <c r="D55" i="321"/>
  <c r="C55" i="321"/>
  <c r="D54" i="321"/>
  <c r="C54" i="321"/>
  <c r="D53" i="321"/>
  <c r="C53" i="321"/>
  <c r="D52" i="321"/>
  <c r="C52" i="321"/>
  <c r="D51" i="321"/>
  <c r="C51" i="321"/>
  <c r="D50" i="321"/>
  <c r="C50" i="321"/>
  <c r="D49" i="321"/>
  <c r="C49" i="321"/>
  <c r="D48" i="321"/>
  <c r="C48" i="321"/>
  <c r="D47" i="321"/>
  <c r="C47" i="321"/>
  <c r="D46" i="321"/>
  <c r="C46" i="321"/>
  <c r="D45" i="321"/>
  <c r="C45" i="321"/>
  <c r="D44" i="321"/>
  <c r="C44" i="321"/>
  <c r="D43" i="321"/>
  <c r="C43" i="321"/>
  <c r="D42" i="321"/>
  <c r="C42" i="321"/>
  <c r="D41" i="321"/>
  <c r="C41" i="321"/>
  <c r="D40" i="321"/>
  <c r="C40" i="321"/>
  <c r="G40" i="321"/>
  <c r="G41" i="321" s="1"/>
  <c r="G42" i="321" s="1"/>
  <c r="G43" i="321" s="1"/>
  <c r="G44" i="321" s="1"/>
  <c r="G45" i="321" s="1"/>
  <c r="G46" i="321" s="1"/>
  <c r="G47" i="321" s="1"/>
  <c r="G48" i="321" s="1"/>
  <c r="G49" i="321" s="1"/>
  <c r="G50" i="321" s="1"/>
  <c r="G51" i="321" s="1"/>
  <c r="G52" i="321" s="1"/>
  <c r="G53" i="321" s="1"/>
  <c r="G54" i="321" s="1"/>
  <c r="G55" i="321" s="1"/>
  <c r="G56" i="321" s="1"/>
  <c r="G57" i="321" s="1"/>
  <c r="G58" i="321" s="1"/>
  <c r="G59" i="321" s="1"/>
  <c r="G60" i="321" s="1"/>
  <c r="G61" i="321" s="1"/>
  <c r="G62" i="321" s="1"/>
  <c r="G63" i="321" s="1"/>
  <c r="G64" i="321" s="1"/>
  <c r="G65" i="321" s="1"/>
  <c r="G66" i="321" s="1"/>
  <c r="G67" i="321" s="1"/>
  <c r="G68" i="321" s="1"/>
  <c r="D39" i="321"/>
  <c r="C39" i="321"/>
  <c r="D38" i="321"/>
  <c r="C38" i="321"/>
  <c r="D37" i="321"/>
  <c r="C37" i="321"/>
  <c r="D36" i="321"/>
  <c r="C36" i="321"/>
  <c r="D35" i="321"/>
  <c r="C35" i="321"/>
  <c r="D34" i="321"/>
  <c r="C34" i="321"/>
  <c r="D33" i="321"/>
  <c r="C33" i="321"/>
  <c r="D32" i="321"/>
  <c r="C32" i="321"/>
  <c r="D31" i="321"/>
  <c r="C31" i="321"/>
  <c r="D30" i="321"/>
  <c r="C30" i="321"/>
  <c r="D29" i="321"/>
  <c r="C29" i="321"/>
  <c r="D28" i="321"/>
  <c r="C28" i="321"/>
  <c r="D27" i="321"/>
  <c r="C27" i="321"/>
  <c r="D26" i="321"/>
  <c r="C26" i="321"/>
  <c r="D25" i="321"/>
  <c r="C25" i="321"/>
  <c r="D24" i="321"/>
  <c r="C24" i="321"/>
  <c r="D23" i="321"/>
  <c r="C23" i="321"/>
  <c r="D22" i="321"/>
  <c r="C22" i="321"/>
  <c r="D21" i="321"/>
  <c r="C21" i="321"/>
  <c r="D20" i="321"/>
  <c r="C20" i="321"/>
  <c r="D19" i="321"/>
  <c r="C19" i="321"/>
  <c r="D18" i="321"/>
  <c r="C18" i="321"/>
  <c r="D17" i="321"/>
  <c r="C17" i="321"/>
  <c r="D16" i="321"/>
  <c r="C16" i="321"/>
  <c r="D15" i="321"/>
  <c r="C15" i="321"/>
  <c r="D14" i="321"/>
  <c r="C14" i="321"/>
  <c r="D13" i="321"/>
  <c r="C13" i="321"/>
  <c r="D12" i="321"/>
  <c r="C12" i="321"/>
  <c r="D11" i="321"/>
  <c r="C11" i="321"/>
  <c r="D10" i="321"/>
  <c r="C10" i="321"/>
  <c r="D9" i="321"/>
  <c r="C9" i="321"/>
  <c r="A9" i="321"/>
  <c r="A10" i="321" s="1"/>
  <c r="A11" i="321" s="1"/>
  <c r="A12" i="321" s="1"/>
  <c r="A13" i="321" s="1"/>
  <c r="A14" i="321" s="1"/>
  <c r="A15" i="321" s="1"/>
  <c r="A16" i="321" s="1"/>
  <c r="A17" i="321" s="1"/>
  <c r="A18" i="321" s="1"/>
  <c r="A19" i="321" s="1"/>
  <c r="A20" i="321" s="1"/>
  <c r="A21" i="321" s="1"/>
  <c r="A22" i="321" s="1"/>
  <c r="A23" i="321" s="1"/>
  <c r="A24" i="321" s="1"/>
  <c r="A25" i="321" s="1"/>
  <c r="A26" i="321" s="1"/>
  <c r="A27" i="321" s="1"/>
  <c r="A28" i="321" s="1"/>
  <c r="A29" i="321" s="1"/>
  <c r="A30" i="321" s="1"/>
  <c r="A31" i="321" s="1"/>
  <c r="A32" i="321" s="1"/>
  <c r="A33" i="321" s="1"/>
  <c r="A34" i="321" s="1"/>
  <c r="A35" i="321" s="1"/>
  <c r="A36" i="321" s="1"/>
  <c r="A37" i="321" s="1"/>
  <c r="A38" i="321" s="1"/>
  <c r="A39" i="321" s="1"/>
  <c r="A40" i="321" s="1"/>
  <c r="A41" i="321" s="1"/>
  <c r="A42" i="321" s="1"/>
  <c r="A43" i="321" s="1"/>
  <c r="A44" i="321" s="1"/>
  <c r="A45" i="321" s="1"/>
  <c r="A46" i="321" s="1"/>
  <c r="A47" i="321" s="1"/>
  <c r="A48" i="321" s="1"/>
  <c r="A49" i="321" s="1"/>
  <c r="A50" i="321" s="1"/>
  <c r="A51" i="321" s="1"/>
  <c r="A52" i="321" s="1"/>
  <c r="A53" i="321" s="1"/>
  <c r="A54" i="321" s="1"/>
  <c r="A55" i="321" s="1"/>
  <c r="A56" i="321" s="1"/>
  <c r="A57" i="321" s="1"/>
  <c r="A58" i="321" s="1"/>
  <c r="A59" i="321" s="1"/>
  <c r="A60" i="321" s="1"/>
  <c r="A61" i="321" s="1"/>
  <c r="A62" i="321" s="1"/>
  <c r="A63" i="321" s="1"/>
  <c r="A64" i="321" s="1"/>
  <c r="A65" i="321" s="1"/>
  <c r="A66" i="321" s="1"/>
  <c r="A67" i="321" s="1"/>
  <c r="A68" i="321" s="1"/>
  <c r="A69" i="321" s="1"/>
  <c r="A70" i="321" s="1"/>
  <c r="A71" i="321" s="1"/>
  <c r="A72" i="321" s="1"/>
  <c r="A73" i="321" s="1"/>
  <c r="A74" i="321" s="1"/>
  <c r="A75" i="321" s="1"/>
  <c r="A76" i="321" s="1"/>
  <c r="A77" i="321" s="1"/>
  <c r="A78" i="321" s="1"/>
  <c r="A79" i="321" s="1"/>
  <c r="A80" i="321" s="1"/>
  <c r="A81" i="321" s="1"/>
  <c r="A82" i="321" s="1"/>
  <c r="A83" i="321" s="1"/>
  <c r="A84" i="321" s="1"/>
  <c r="A85" i="321" s="1"/>
  <c r="A86" i="321" s="1"/>
  <c r="A87" i="321" s="1"/>
  <c r="A88" i="321" s="1"/>
  <c r="A89" i="321" s="1"/>
  <c r="A90" i="321" s="1"/>
  <c r="A91" i="321" s="1"/>
  <c r="A92" i="321" s="1"/>
  <c r="A93" i="321" s="1"/>
  <c r="A94" i="321" s="1"/>
  <c r="A95" i="321" s="1"/>
  <c r="A96" i="321" s="1"/>
  <c r="A97" i="321" s="1"/>
  <c r="A98" i="321" s="1"/>
  <c r="A99" i="321" s="1"/>
  <c r="A100" i="321" s="1"/>
  <c r="A101" i="321" s="1"/>
  <c r="A102" i="321" s="1"/>
  <c r="A103" i="321" s="1"/>
  <c r="A104" i="321" s="1"/>
  <c r="A105" i="321" s="1"/>
  <c r="A106" i="321" s="1"/>
  <c r="A107" i="321" s="1"/>
  <c r="A108" i="321" s="1"/>
  <c r="A109" i="321" s="1"/>
  <c r="A110" i="321" s="1"/>
  <c r="A111" i="321" s="1"/>
  <c r="A112" i="321" s="1"/>
  <c r="A113" i="321" s="1"/>
  <c r="A114" i="321" s="1"/>
  <c r="A115" i="321" s="1"/>
  <c r="A116" i="321" s="1"/>
  <c r="A117" i="321" s="1"/>
  <c r="A118" i="321" s="1"/>
  <c r="A119" i="321" s="1"/>
  <c r="A120" i="321" s="1"/>
  <c r="A121" i="321" s="1"/>
  <c r="A122" i="321" s="1"/>
  <c r="A123" i="321" s="1"/>
  <c r="A124" i="321" s="1"/>
  <c r="A125" i="321" s="1"/>
  <c r="A126" i="321" s="1"/>
  <c r="A127" i="321" s="1"/>
  <c r="A128" i="321" s="1"/>
  <c r="A129" i="321" s="1"/>
  <c r="A130" i="321" s="1"/>
  <c r="A131" i="321" s="1"/>
  <c r="A132" i="321" s="1"/>
  <c r="A133" i="321" s="1"/>
  <c r="A134" i="321" s="1"/>
  <c r="A135" i="321" s="1"/>
  <c r="A136" i="321" s="1"/>
  <c r="A137" i="321" s="1"/>
  <c r="A138" i="321" s="1"/>
  <c r="A139" i="321" s="1"/>
  <c r="A140" i="321" s="1"/>
  <c r="A141" i="321" s="1"/>
  <c r="A142" i="321" s="1"/>
  <c r="A143" i="321" s="1"/>
  <c r="A144" i="321" s="1"/>
  <c r="A145" i="321" s="1"/>
  <c r="A146" i="321" s="1"/>
  <c r="A147" i="321" s="1"/>
  <c r="A148" i="321" s="1"/>
  <c r="A149" i="321" s="1"/>
  <c r="A150" i="321" s="1"/>
  <c r="A151" i="321" s="1"/>
  <c r="A152" i="321" s="1"/>
  <c r="A153" i="321" s="1"/>
  <c r="A154" i="321" s="1"/>
  <c r="A155" i="321" s="1"/>
  <c r="A156" i="321" s="1"/>
  <c r="A157" i="321" s="1"/>
  <c r="A158" i="321" s="1"/>
  <c r="A159" i="321" s="1"/>
  <c r="A160" i="321" s="1"/>
  <c r="A161" i="321" s="1"/>
  <c r="A162" i="321" s="1"/>
  <c r="A163" i="321" s="1"/>
  <c r="A164" i="321" s="1"/>
  <c r="A165" i="321" s="1"/>
  <c r="A166" i="321" s="1"/>
  <c r="A167" i="321" s="1"/>
  <c r="A168" i="321" s="1"/>
  <c r="A169" i="321" s="1"/>
  <c r="A170" i="321" s="1"/>
  <c r="A171" i="321" s="1"/>
  <c r="A172" i="321" s="1"/>
  <c r="A173" i="321" s="1"/>
  <c r="A174" i="321" s="1"/>
  <c r="A175" i="321" s="1"/>
  <c r="A176" i="321" s="1"/>
  <c r="A177" i="321" s="1"/>
  <c r="A178" i="321" s="1"/>
  <c r="A179" i="321" s="1"/>
  <c r="A180" i="321" s="1"/>
  <c r="A181" i="321" s="1"/>
  <c r="A182" i="321" s="1"/>
  <c r="A183" i="321" s="1"/>
  <c r="A184" i="321" s="1"/>
  <c r="A185" i="321" s="1"/>
  <c r="A186" i="321" s="1"/>
  <c r="A187" i="321" s="1"/>
  <c r="A188" i="321" s="1"/>
  <c r="A189" i="321" s="1"/>
  <c r="A190" i="321" s="1"/>
  <c r="A191" i="321" s="1"/>
  <c r="G9" i="321"/>
  <c r="G10" i="321" s="1"/>
  <c r="G11" i="321" s="1"/>
  <c r="G12" i="321" s="1"/>
  <c r="G13" i="321" s="1"/>
  <c r="G14" i="321" s="1"/>
  <c r="G15" i="321" s="1"/>
  <c r="G16" i="321" s="1"/>
  <c r="G17" i="321" s="1"/>
  <c r="G18" i="321" s="1"/>
  <c r="G19" i="321" s="1"/>
  <c r="G20" i="321" s="1"/>
  <c r="G21" i="321" s="1"/>
  <c r="G22" i="321" s="1"/>
  <c r="G23" i="321" s="1"/>
  <c r="G24" i="321" s="1"/>
  <c r="G25" i="321" s="1"/>
  <c r="G26" i="321" s="1"/>
  <c r="G27" i="321" s="1"/>
  <c r="G28" i="321" s="1"/>
  <c r="G29" i="321" s="1"/>
  <c r="G30" i="321" s="1"/>
  <c r="G31" i="321" s="1"/>
  <c r="G32" i="321" s="1"/>
  <c r="G33" i="321" s="1"/>
  <c r="G34" i="321" s="1"/>
  <c r="G35" i="321" s="1"/>
  <c r="G36" i="321" s="1"/>
  <c r="G37" i="321" s="1"/>
  <c r="G38" i="321" s="1"/>
  <c r="D8" i="321"/>
  <c r="C8" i="321"/>
  <c r="L99" i="321" l="1"/>
  <c r="L68" i="321"/>
  <c r="K68" i="321"/>
  <c r="K99" i="321"/>
  <c r="E9" i="321" l="1"/>
  <c r="H8" i="321"/>
  <c r="E10" i="321" l="1"/>
  <c r="H9" i="321"/>
  <c r="H10" i="321" l="1"/>
  <c r="E11" i="321"/>
  <c r="E12" i="321" l="1"/>
  <c r="H11" i="321"/>
  <c r="H12" i="321" l="1"/>
  <c r="E13" i="321"/>
  <c r="E14" i="321" l="1"/>
  <c r="H13" i="321"/>
  <c r="E15" i="321" l="1"/>
  <c r="H14" i="321"/>
  <c r="E16" i="321" l="1"/>
  <c r="H15" i="321"/>
  <c r="H16" i="321" l="1"/>
  <c r="E17" i="321"/>
  <c r="E18" i="321" l="1"/>
  <c r="H17" i="321"/>
  <c r="H18" i="321" l="1"/>
  <c r="E19" i="321"/>
  <c r="E20" i="321" l="1"/>
  <c r="H19" i="321"/>
  <c r="H20" i="321" l="1"/>
  <c r="E21" i="321"/>
  <c r="E22" i="321" l="1"/>
  <c r="H21" i="321"/>
  <c r="E23" i="321" l="1"/>
  <c r="H22" i="321"/>
  <c r="E24" i="321" l="1"/>
  <c r="H23" i="321"/>
  <c r="H24" i="321" l="1"/>
  <c r="E25" i="321"/>
  <c r="E26" i="321" l="1"/>
  <c r="H25" i="321"/>
  <c r="H26" i="321" l="1"/>
  <c r="E27" i="321"/>
  <c r="E28" i="321" l="1"/>
  <c r="H27" i="321"/>
  <c r="E29" i="321" l="1"/>
  <c r="H28" i="321"/>
  <c r="E30" i="321" l="1"/>
  <c r="H29" i="321"/>
  <c r="E31" i="321" l="1"/>
  <c r="H30" i="321"/>
  <c r="E32" i="321" l="1"/>
  <c r="H31" i="321"/>
  <c r="E33" i="321" l="1"/>
  <c r="H32" i="321"/>
  <c r="E34" i="321" l="1"/>
  <c r="H33" i="321"/>
  <c r="E35" i="321" l="1"/>
  <c r="H34" i="321"/>
  <c r="E36" i="321" l="1"/>
  <c r="H35" i="321"/>
  <c r="E37" i="321" l="1"/>
  <c r="H36" i="321"/>
  <c r="E38" i="321" l="1"/>
  <c r="H37" i="321"/>
  <c r="H38" i="321" l="1"/>
  <c r="E39" i="321"/>
  <c r="N38" i="321"/>
  <c r="M38" i="321"/>
  <c r="K38" i="321" l="1"/>
  <c r="L38" i="321"/>
  <c r="I38" i="321"/>
  <c r="E40" i="321"/>
  <c r="H39" i="321"/>
  <c r="H40" i="321" l="1"/>
  <c r="E41" i="321"/>
  <c r="E42" i="321" l="1"/>
  <c r="H41" i="321"/>
  <c r="E43" i="321" l="1"/>
  <c r="H42" i="321"/>
  <c r="E44" i="321" l="1"/>
  <c r="H43" i="321"/>
  <c r="E45" i="321" l="1"/>
  <c r="H44" i="321"/>
  <c r="E46" i="321" l="1"/>
  <c r="H45" i="321"/>
  <c r="E47" i="321" l="1"/>
  <c r="H46" i="321"/>
  <c r="E48" i="321" l="1"/>
  <c r="H47" i="321"/>
  <c r="E49" i="321" l="1"/>
  <c r="H48" i="321"/>
  <c r="E50" i="321" l="1"/>
  <c r="H49" i="321"/>
  <c r="E51" i="321" l="1"/>
  <c r="H50" i="321"/>
  <c r="E52" i="321" l="1"/>
  <c r="H51" i="321"/>
  <c r="E53" i="321" l="1"/>
  <c r="H52" i="321"/>
  <c r="E54" i="321" l="1"/>
  <c r="H53" i="321"/>
  <c r="E55" i="321" l="1"/>
  <c r="H54" i="321"/>
  <c r="E56" i="321" l="1"/>
  <c r="H55" i="321"/>
  <c r="E57" i="321" l="1"/>
  <c r="H56" i="321"/>
  <c r="E58" i="321" l="1"/>
  <c r="H57" i="321"/>
  <c r="E59" i="321" l="1"/>
  <c r="H58" i="321"/>
  <c r="E60" i="321" l="1"/>
  <c r="H59" i="321"/>
  <c r="E61" i="321" l="1"/>
  <c r="H60" i="321"/>
  <c r="E62" i="321" l="1"/>
  <c r="H61" i="321"/>
  <c r="E63" i="321" l="1"/>
  <c r="H62" i="321"/>
  <c r="E64" i="321" l="1"/>
  <c r="H63" i="321"/>
  <c r="E65" i="321" l="1"/>
  <c r="H64" i="321"/>
  <c r="E66" i="321" l="1"/>
  <c r="H65" i="321"/>
  <c r="E67" i="321" l="1"/>
  <c r="H66" i="321"/>
  <c r="E68" i="321" l="1"/>
  <c r="H67" i="321"/>
  <c r="H68" i="321" l="1"/>
  <c r="I68" i="321" s="1"/>
  <c r="E69" i="321"/>
  <c r="N68" i="321"/>
  <c r="M68" i="321"/>
  <c r="E70" i="321" l="1"/>
  <c r="H69" i="321"/>
  <c r="E71" i="321" l="1"/>
  <c r="H70" i="321"/>
  <c r="E72" i="321" l="1"/>
  <c r="H71" i="321"/>
  <c r="E73" i="321" l="1"/>
  <c r="H72" i="321"/>
  <c r="E74" i="321" l="1"/>
  <c r="H73" i="321"/>
  <c r="E75" i="321" l="1"/>
  <c r="H74" i="321"/>
  <c r="E76" i="321" l="1"/>
  <c r="H75" i="321"/>
  <c r="E77" i="321" l="1"/>
  <c r="H76" i="321"/>
  <c r="E78" i="321" l="1"/>
  <c r="H77" i="321"/>
  <c r="E79" i="321" l="1"/>
  <c r="H78" i="321"/>
  <c r="E80" i="321" l="1"/>
  <c r="H79" i="321"/>
  <c r="E81" i="321" l="1"/>
  <c r="H80" i="321"/>
  <c r="E82" i="321" l="1"/>
  <c r="H81" i="321"/>
  <c r="E83" i="321" l="1"/>
  <c r="H82" i="321"/>
  <c r="E84" i="321" l="1"/>
  <c r="H83" i="321"/>
  <c r="E85" i="321" l="1"/>
  <c r="H84" i="321"/>
  <c r="E86" i="321" l="1"/>
  <c r="H85" i="321"/>
  <c r="E87" i="321" l="1"/>
  <c r="H86" i="321"/>
  <c r="E88" i="321" l="1"/>
  <c r="H87" i="321"/>
  <c r="E89" i="321" l="1"/>
  <c r="H88" i="321"/>
  <c r="E90" i="321" l="1"/>
  <c r="H89" i="321"/>
  <c r="E91" i="321" l="1"/>
  <c r="H90" i="321"/>
  <c r="E92" i="321" l="1"/>
  <c r="H91" i="321"/>
  <c r="E93" i="321" l="1"/>
  <c r="H92" i="321"/>
  <c r="E94" i="321" l="1"/>
  <c r="H93" i="321"/>
  <c r="E95" i="321" l="1"/>
  <c r="H94" i="321"/>
  <c r="E96" i="321" l="1"/>
  <c r="H95" i="321"/>
  <c r="E97" i="321" l="1"/>
  <c r="H96" i="321"/>
  <c r="E98" i="321" l="1"/>
  <c r="H97" i="321"/>
  <c r="E99" i="321" l="1"/>
  <c r="H98" i="321"/>
  <c r="H99" i="321" l="1"/>
  <c r="I99" i="321" s="1"/>
  <c r="E100" i="321"/>
  <c r="N99" i="321"/>
  <c r="M99" i="321"/>
  <c r="E101" i="321" l="1"/>
  <c r="H100" i="321"/>
  <c r="E102" i="321" l="1"/>
  <c r="H101" i="321"/>
  <c r="E103" i="321" l="1"/>
  <c r="H102" i="321"/>
  <c r="E104" i="321" l="1"/>
  <c r="H103" i="321"/>
  <c r="E105" i="321" l="1"/>
  <c r="H104" i="321"/>
  <c r="E106" i="321" l="1"/>
  <c r="H105" i="321"/>
  <c r="E107" i="321" l="1"/>
  <c r="H106" i="321"/>
  <c r="E108" i="321" l="1"/>
  <c r="H107" i="321"/>
  <c r="E109" i="321" l="1"/>
  <c r="H108" i="321"/>
  <c r="E110" i="321" l="1"/>
  <c r="H109" i="321"/>
  <c r="E111" i="321" l="1"/>
  <c r="H110" i="321"/>
  <c r="E112" i="321" l="1"/>
  <c r="H111" i="321"/>
  <c r="E113" i="321" l="1"/>
  <c r="H112" i="321"/>
  <c r="E114" i="321" l="1"/>
  <c r="H113" i="321"/>
  <c r="E115" i="321" l="1"/>
  <c r="H114" i="321"/>
  <c r="E116" i="321" l="1"/>
  <c r="H115" i="321"/>
  <c r="E117" i="321" l="1"/>
  <c r="H116" i="321"/>
  <c r="E118" i="321" l="1"/>
  <c r="H117" i="321"/>
  <c r="E119" i="321" l="1"/>
  <c r="H118" i="321"/>
  <c r="E120" i="321" l="1"/>
  <c r="H119" i="321"/>
  <c r="E121" i="321" l="1"/>
  <c r="H120" i="321"/>
  <c r="E122" i="321" l="1"/>
  <c r="H121" i="321"/>
  <c r="E123" i="321" l="1"/>
  <c r="H122" i="321"/>
  <c r="E124" i="321" l="1"/>
  <c r="H123" i="321"/>
  <c r="E125" i="321" l="1"/>
  <c r="H124" i="321"/>
  <c r="E126" i="321" l="1"/>
  <c r="H125" i="321"/>
  <c r="E127" i="321" l="1"/>
  <c r="H126" i="321"/>
  <c r="H127" i="321" l="1"/>
  <c r="E128" i="321"/>
  <c r="E129" i="321" l="1"/>
  <c r="H128" i="321"/>
  <c r="E130" i="321" l="1"/>
  <c r="H129" i="321"/>
  <c r="H130" i="321" l="1"/>
  <c r="I130" i="321" s="1"/>
  <c r="E131" i="321"/>
  <c r="H131" i="321" l="1"/>
  <c r="E132" i="321"/>
  <c r="E133" i="321" l="1"/>
  <c r="H132" i="321"/>
  <c r="E134" i="321" l="1"/>
  <c r="H133" i="321"/>
  <c r="E135" i="321" l="1"/>
  <c r="H134" i="321"/>
  <c r="H135" i="321" l="1"/>
  <c r="E136" i="321"/>
  <c r="E137" i="321" l="1"/>
  <c r="H136" i="321"/>
  <c r="E138" i="321" l="1"/>
  <c r="H137" i="321"/>
  <c r="E139" i="321" l="1"/>
  <c r="H138" i="321"/>
  <c r="H139" i="321" l="1"/>
  <c r="E140" i="321"/>
  <c r="E141" i="321" l="1"/>
  <c r="H140" i="321"/>
  <c r="E142" i="321" l="1"/>
  <c r="H141" i="321"/>
  <c r="E143" i="321" l="1"/>
  <c r="H142" i="321"/>
  <c r="H143" i="321" l="1"/>
  <c r="E144" i="321"/>
  <c r="E145" i="321" l="1"/>
  <c r="H144" i="321"/>
  <c r="E146" i="321" l="1"/>
  <c r="H145" i="321"/>
  <c r="E147" i="321" l="1"/>
  <c r="H146" i="321"/>
  <c r="H147" i="321" l="1"/>
  <c r="E148" i="321"/>
  <c r="E149" i="321" l="1"/>
  <c r="H148" i="321"/>
  <c r="H149" i="321" l="1"/>
  <c r="E150" i="321"/>
  <c r="E151" i="321" l="1"/>
  <c r="H150" i="321"/>
  <c r="H151" i="321" l="1"/>
  <c r="E152" i="321"/>
  <c r="E153" i="321" l="1"/>
  <c r="H152" i="321"/>
  <c r="H153" i="321" l="1"/>
  <c r="E154" i="321"/>
  <c r="E155" i="321" l="1"/>
  <c r="H154" i="321"/>
  <c r="H155" i="321" l="1"/>
  <c r="E156" i="321"/>
  <c r="E157" i="321" l="1"/>
  <c r="H156" i="321"/>
  <c r="H157" i="321" l="1"/>
  <c r="E158" i="321"/>
  <c r="E159" i="321" l="1"/>
  <c r="H158" i="321"/>
  <c r="H159" i="321" l="1"/>
  <c r="E160" i="321"/>
  <c r="H160" i="321" l="1"/>
  <c r="E161" i="321"/>
  <c r="N160" i="321"/>
  <c r="M160" i="321"/>
  <c r="E162" i="321" l="1"/>
  <c r="H161" i="321"/>
  <c r="L160" i="321"/>
  <c r="I160" i="321"/>
  <c r="K160" i="321"/>
  <c r="E163" i="321" l="1"/>
  <c r="H162" i="321"/>
  <c r="E164" i="321" l="1"/>
  <c r="H163" i="321"/>
  <c r="E165" i="321" l="1"/>
  <c r="H164" i="321"/>
  <c r="E166" i="321" l="1"/>
  <c r="H165" i="321"/>
  <c r="E167" i="321" l="1"/>
  <c r="H166" i="321"/>
  <c r="E168" i="321" l="1"/>
  <c r="H167" i="321"/>
  <c r="E169" i="321" l="1"/>
  <c r="H168" i="321"/>
  <c r="E170" i="321" l="1"/>
  <c r="H169" i="321"/>
  <c r="E171" i="321" l="1"/>
  <c r="H170" i="321"/>
  <c r="E172" i="321" l="1"/>
  <c r="H171" i="321"/>
  <c r="E173" i="321" l="1"/>
  <c r="H172" i="321"/>
  <c r="E174" i="321" l="1"/>
  <c r="H173" i="321"/>
  <c r="E175" i="321" l="1"/>
  <c r="H174" i="321"/>
  <c r="E176" i="321" l="1"/>
  <c r="H175" i="321"/>
  <c r="E177" i="321" l="1"/>
  <c r="H176" i="321"/>
  <c r="E178" i="321" l="1"/>
  <c r="H177" i="321"/>
  <c r="E179" i="321" l="1"/>
  <c r="H178" i="321"/>
  <c r="E180" i="321" l="1"/>
  <c r="H179" i="321"/>
  <c r="E181" i="321" l="1"/>
  <c r="H180" i="321"/>
  <c r="E182" i="321" l="1"/>
  <c r="H181" i="321"/>
  <c r="E183" i="321" l="1"/>
  <c r="H182" i="321"/>
  <c r="E184" i="321" l="1"/>
  <c r="H183" i="321"/>
  <c r="E185" i="321" l="1"/>
  <c r="H184" i="321"/>
  <c r="E186" i="321" l="1"/>
  <c r="H185" i="321"/>
  <c r="E187" i="321" l="1"/>
  <c r="H186" i="321"/>
  <c r="E188" i="321" l="1"/>
  <c r="H187" i="321"/>
  <c r="E189" i="321" l="1"/>
  <c r="H188" i="321"/>
  <c r="E190" i="321" l="1"/>
  <c r="H189" i="321"/>
  <c r="E191" i="321" l="1"/>
  <c r="F60" i="324" s="1"/>
  <c r="H190" i="321"/>
  <c r="N191" i="321" l="1"/>
  <c r="M191" i="321"/>
  <c r="H191" i="321"/>
  <c r="I191" i="321" l="1"/>
  <c r="L191" i="321"/>
  <c r="K191" i="321"/>
  <c r="AD132" i="320" l="1"/>
  <c r="R132" i="320"/>
  <c r="O132" i="320"/>
  <c r="AA132" i="320" s="1"/>
  <c r="G132" i="320"/>
  <c r="E132" i="320"/>
  <c r="I132" i="320" s="1"/>
  <c r="AD131" i="320"/>
  <c r="R131" i="320"/>
  <c r="Q132" i="320" s="1"/>
  <c r="O131" i="320"/>
  <c r="AA131" i="320" s="1"/>
  <c r="G131" i="320"/>
  <c r="E131" i="320"/>
  <c r="I131" i="320" s="1"/>
  <c r="AD130" i="320"/>
  <c r="AC131" i="320" s="1"/>
  <c r="R130" i="320"/>
  <c r="Q131" i="320" s="1"/>
  <c r="U131" i="320" s="1"/>
  <c r="O130" i="320"/>
  <c r="AA130" i="320" s="1"/>
  <c r="I130" i="320"/>
  <c r="E130" i="320"/>
  <c r="G130" i="320" s="1"/>
  <c r="AD129" i="320"/>
  <c r="AC130" i="320" s="1"/>
  <c r="R129" i="320"/>
  <c r="Q129" i="320"/>
  <c r="O129" i="320"/>
  <c r="AA129" i="320" s="1"/>
  <c r="E129" i="320"/>
  <c r="AG128" i="320"/>
  <c r="AD128" i="320"/>
  <c r="AE128" i="320" s="1"/>
  <c r="AC128" i="320"/>
  <c r="R128" i="320"/>
  <c r="S128" i="320" s="1"/>
  <c r="O128" i="320"/>
  <c r="AA128" i="320" s="1"/>
  <c r="I128" i="320"/>
  <c r="G128" i="320"/>
  <c r="E128" i="320"/>
  <c r="AD127" i="320"/>
  <c r="AA127" i="320"/>
  <c r="R127" i="320"/>
  <c r="Q128" i="320" s="1"/>
  <c r="O127" i="320"/>
  <c r="E127" i="320"/>
  <c r="I127" i="320" s="1"/>
  <c r="AD126" i="320"/>
  <c r="AC127" i="320" s="1"/>
  <c r="AG127" i="320" s="1"/>
  <c r="R126" i="320"/>
  <c r="Q127" i="320" s="1"/>
  <c r="O126" i="320"/>
  <c r="AA126" i="320" s="1"/>
  <c r="I126" i="320"/>
  <c r="G126" i="320"/>
  <c r="E126" i="320"/>
  <c r="AD125" i="320"/>
  <c r="AC126" i="320" s="1"/>
  <c r="AG126" i="320" s="1"/>
  <c r="AA125" i="320"/>
  <c r="R125" i="320"/>
  <c r="Q126" i="320" s="1"/>
  <c r="U126" i="320" s="1"/>
  <c r="O125" i="320"/>
  <c r="E125" i="320"/>
  <c r="AD124" i="320"/>
  <c r="AC125" i="320" s="1"/>
  <c r="AG125" i="320" s="1"/>
  <c r="R124" i="320"/>
  <c r="S124" i="320" s="1"/>
  <c r="O124" i="320"/>
  <c r="AA124" i="320" s="1"/>
  <c r="I124" i="320"/>
  <c r="G124" i="320"/>
  <c r="E124" i="320"/>
  <c r="AD123" i="320"/>
  <c r="AA123" i="320"/>
  <c r="R123" i="320"/>
  <c r="Q124" i="320" s="1"/>
  <c r="O123" i="320"/>
  <c r="E123" i="320"/>
  <c r="AD122" i="320"/>
  <c r="AC123" i="320" s="1"/>
  <c r="AC122" i="320"/>
  <c r="R122" i="320"/>
  <c r="O122" i="320"/>
  <c r="AA122" i="320" s="1"/>
  <c r="I122" i="320"/>
  <c r="G122" i="320"/>
  <c r="E122" i="320"/>
  <c r="AD121" i="320"/>
  <c r="AA121" i="320"/>
  <c r="R121" i="320"/>
  <c r="Q122" i="320" s="1"/>
  <c r="Q121" i="320"/>
  <c r="O121" i="320"/>
  <c r="E121" i="320"/>
  <c r="AE120" i="320"/>
  <c r="AD120" i="320"/>
  <c r="AC121" i="320" s="1"/>
  <c r="AG121" i="320" s="1"/>
  <c r="AC120" i="320"/>
  <c r="AG120" i="320" s="1"/>
  <c r="R120" i="320"/>
  <c r="O120" i="320"/>
  <c r="AA120" i="320" s="1"/>
  <c r="I120" i="320"/>
  <c r="G120" i="320"/>
  <c r="E120" i="320"/>
  <c r="AD119" i="320"/>
  <c r="AA119" i="320"/>
  <c r="R119" i="320"/>
  <c r="Q120" i="320" s="1"/>
  <c r="U120" i="320" s="1"/>
  <c r="Q119" i="320"/>
  <c r="O119" i="320"/>
  <c r="E119" i="320"/>
  <c r="AD118" i="320"/>
  <c r="AC119" i="320" s="1"/>
  <c r="AG119" i="320" s="1"/>
  <c r="R118" i="320"/>
  <c r="O118" i="320"/>
  <c r="AA118" i="320" s="1"/>
  <c r="I118" i="320"/>
  <c r="G118" i="320"/>
  <c r="E118" i="320"/>
  <c r="AD117" i="320"/>
  <c r="AA117" i="320"/>
  <c r="S117" i="320"/>
  <c r="R117" i="320"/>
  <c r="Q118" i="320" s="1"/>
  <c r="U118" i="320" s="1"/>
  <c r="O117" i="320"/>
  <c r="E117" i="320"/>
  <c r="I117" i="320" s="1"/>
  <c r="AG116" i="320"/>
  <c r="AE116" i="320"/>
  <c r="AD116" i="320"/>
  <c r="AC117" i="320" s="1"/>
  <c r="R116" i="320"/>
  <c r="Q117" i="320" s="1"/>
  <c r="U117" i="320" s="1"/>
  <c r="O116" i="320"/>
  <c r="AA116" i="320" s="1"/>
  <c r="I116" i="320"/>
  <c r="G116" i="320"/>
  <c r="E116" i="320"/>
  <c r="AD115" i="320"/>
  <c r="AC116" i="320" s="1"/>
  <c r="R115" i="320"/>
  <c r="Q116" i="320" s="1"/>
  <c r="U116" i="320" s="1"/>
  <c r="Q115" i="320"/>
  <c r="O115" i="320"/>
  <c r="AA115" i="320" s="1"/>
  <c r="E115" i="320"/>
  <c r="AD114" i="320"/>
  <c r="AC115" i="320" s="1"/>
  <c r="AC114" i="320"/>
  <c r="AA114" i="320"/>
  <c r="R114" i="320"/>
  <c r="O114" i="320"/>
  <c r="E114" i="320"/>
  <c r="I114" i="320" s="1"/>
  <c r="AG113" i="320"/>
  <c r="AD113" i="320"/>
  <c r="AC113" i="320"/>
  <c r="AA113" i="320"/>
  <c r="R113" i="320"/>
  <c r="O113" i="320"/>
  <c r="G113" i="320"/>
  <c r="E113" i="320"/>
  <c r="I113" i="320" s="1"/>
  <c r="AD112" i="320"/>
  <c r="R112" i="320"/>
  <c r="Q113" i="320" s="1"/>
  <c r="O112" i="320"/>
  <c r="AA112" i="320" s="1"/>
  <c r="I112" i="320"/>
  <c r="G112" i="320"/>
  <c r="E112" i="320"/>
  <c r="AD111" i="320"/>
  <c r="S111" i="320"/>
  <c r="R111" i="320"/>
  <c r="Q112" i="320" s="1"/>
  <c r="O111" i="320"/>
  <c r="AA111" i="320" s="1"/>
  <c r="G111" i="320"/>
  <c r="E111" i="320"/>
  <c r="I111" i="320" s="1"/>
  <c r="AD110" i="320"/>
  <c r="AA110" i="320"/>
  <c r="R110" i="320"/>
  <c r="Q111" i="320" s="1"/>
  <c r="O110" i="320"/>
  <c r="G110" i="320"/>
  <c r="E110" i="320"/>
  <c r="I110" i="320" s="1"/>
  <c r="AD109" i="320"/>
  <c r="AC109" i="320"/>
  <c r="R109" i="320"/>
  <c r="Q109" i="320"/>
  <c r="U109" i="320" s="1"/>
  <c r="O109" i="320"/>
  <c r="AA109" i="320" s="1"/>
  <c r="I109" i="320"/>
  <c r="E109" i="320"/>
  <c r="G109" i="320" s="1"/>
  <c r="AD108" i="320"/>
  <c r="R108" i="320"/>
  <c r="O108" i="320"/>
  <c r="AA108" i="320" s="1"/>
  <c r="I108" i="320"/>
  <c r="G108" i="320"/>
  <c r="E108" i="320"/>
  <c r="AD107" i="320"/>
  <c r="AC107" i="320"/>
  <c r="AG107" i="320" s="1"/>
  <c r="R107" i="320"/>
  <c r="Q107" i="320"/>
  <c r="U107" i="320" s="1"/>
  <c r="O107" i="320"/>
  <c r="AA107" i="320" s="1"/>
  <c r="G107" i="320"/>
  <c r="E107" i="320"/>
  <c r="I107" i="320" s="1"/>
  <c r="AE106" i="320"/>
  <c r="AD106" i="320"/>
  <c r="AC106" i="320"/>
  <c r="AG106" i="320" s="1"/>
  <c r="AA106" i="320"/>
  <c r="R106" i="320"/>
  <c r="O106" i="320"/>
  <c r="I106" i="320"/>
  <c r="G106" i="320"/>
  <c r="E106" i="320"/>
  <c r="AD105" i="320"/>
  <c r="R105" i="320"/>
  <c r="Q106" i="320" s="1"/>
  <c r="U106" i="320" s="1"/>
  <c r="O105" i="320"/>
  <c r="AA105" i="320" s="1"/>
  <c r="I105" i="320"/>
  <c r="G105" i="320"/>
  <c r="E105" i="320"/>
  <c r="AD104" i="320"/>
  <c r="AC104" i="320"/>
  <c r="U104" i="320"/>
  <c r="R104" i="320"/>
  <c r="Q104" i="320"/>
  <c r="O104" i="320"/>
  <c r="AA104" i="320" s="1"/>
  <c r="I104" i="320"/>
  <c r="E104" i="320"/>
  <c r="G104" i="320" s="1"/>
  <c r="AD103" i="320"/>
  <c r="R103" i="320"/>
  <c r="O103" i="320"/>
  <c r="AA103" i="320" s="1"/>
  <c r="I103" i="320"/>
  <c r="G103" i="320"/>
  <c r="E103" i="320"/>
  <c r="AD102" i="320"/>
  <c r="AC102" i="320"/>
  <c r="AG102" i="320" s="1"/>
  <c r="R102" i="320"/>
  <c r="Q102" i="320"/>
  <c r="O102" i="320"/>
  <c r="AA102" i="320" s="1"/>
  <c r="E102" i="320"/>
  <c r="G102" i="320" s="1"/>
  <c r="AD101" i="320"/>
  <c r="AA101" i="320"/>
  <c r="S101" i="320"/>
  <c r="O101" i="320"/>
  <c r="G101" i="320"/>
  <c r="E101" i="320"/>
  <c r="I101" i="320" s="1"/>
  <c r="AD100" i="320"/>
  <c r="AE100" i="320" s="1"/>
  <c r="R100" i="320"/>
  <c r="Q101" i="320" s="1"/>
  <c r="U101" i="320" s="1"/>
  <c r="O100" i="320"/>
  <c r="AA100" i="320" s="1"/>
  <c r="E100" i="320"/>
  <c r="AD99" i="320"/>
  <c r="AC100" i="320" s="1"/>
  <c r="AG100" i="320" s="1"/>
  <c r="R99" i="320"/>
  <c r="Q100" i="320" s="1"/>
  <c r="U100" i="320" s="1"/>
  <c r="O99" i="320"/>
  <c r="AA99" i="320" s="1"/>
  <c r="E99" i="320"/>
  <c r="AD98" i="320"/>
  <c r="R98" i="320"/>
  <c r="O98" i="320"/>
  <c r="AA98" i="320" s="1"/>
  <c r="E98" i="320"/>
  <c r="AD97" i="320"/>
  <c r="AC98" i="320" s="1"/>
  <c r="AG98" i="320" s="1"/>
  <c r="R97" i="320"/>
  <c r="O97" i="320"/>
  <c r="AA97" i="320" s="1"/>
  <c r="G97" i="320"/>
  <c r="E97" i="320"/>
  <c r="I97" i="320" s="1"/>
  <c r="AG96" i="320"/>
  <c r="AD96" i="320"/>
  <c r="AA96" i="320"/>
  <c r="S96" i="320"/>
  <c r="R96" i="320"/>
  <c r="Q97" i="320" s="1"/>
  <c r="U97" i="320" s="1"/>
  <c r="Q96" i="320"/>
  <c r="U96" i="320" s="1"/>
  <c r="O96" i="320"/>
  <c r="E96" i="320"/>
  <c r="AG95" i="320"/>
  <c r="AD95" i="320"/>
  <c r="AC96" i="320" s="1"/>
  <c r="AC95" i="320"/>
  <c r="AE95" i="320" s="1"/>
  <c r="AA95" i="320"/>
  <c r="R95" i="320"/>
  <c r="Q95" i="320"/>
  <c r="O95" i="320"/>
  <c r="I95" i="320"/>
  <c r="G95" i="320"/>
  <c r="E95" i="320"/>
  <c r="AE94" i="320"/>
  <c r="AD94" i="320"/>
  <c r="AC94" i="320"/>
  <c r="AG94" i="320" s="1"/>
  <c r="R94" i="320"/>
  <c r="S94" i="320" s="1"/>
  <c r="Q94" i="320"/>
  <c r="U94" i="320" s="1"/>
  <c r="O94" i="320"/>
  <c r="AA94" i="320" s="1"/>
  <c r="G94" i="320"/>
  <c r="E94" i="320"/>
  <c r="I94" i="320" s="1"/>
  <c r="AD93" i="320"/>
  <c r="AC93" i="320"/>
  <c r="R93" i="320"/>
  <c r="O93" i="320"/>
  <c r="AA93" i="320" s="1"/>
  <c r="I93" i="320"/>
  <c r="G93" i="320"/>
  <c r="E93" i="320"/>
  <c r="AD92" i="320"/>
  <c r="AE92" i="320" s="1"/>
  <c r="AC92" i="320"/>
  <c r="AG92" i="320" s="1"/>
  <c r="R92" i="320"/>
  <c r="Q92" i="320"/>
  <c r="O92" i="320"/>
  <c r="AA92" i="320" s="1"/>
  <c r="G92" i="320"/>
  <c r="E92" i="320"/>
  <c r="I92" i="320" s="1"/>
  <c r="AD91" i="320"/>
  <c r="U91" i="320"/>
  <c r="R91" i="320"/>
  <c r="O91" i="320"/>
  <c r="AA91" i="320" s="1"/>
  <c r="I91" i="320"/>
  <c r="G91" i="320"/>
  <c r="E91" i="320"/>
  <c r="AD90" i="320"/>
  <c r="AC90" i="320"/>
  <c r="R90" i="320"/>
  <c r="Q91" i="320" s="1"/>
  <c r="S91" i="320" s="1"/>
  <c r="Q90" i="320"/>
  <c r="O90" i="320"/>
  <c r="AA90" i="320" s="1"/>
  <c r="E90" i="320"/>
  <c r="I90" i="320" s="1"/>
  <c r="AD89" i="320"/>
  <c r="AA89" i="320"/>
  <c r="R89" i="320"/>
  <c r="Q89" i="320"/>
  <c r="S89" i="320" s="1"/>
  <c r="O89" i="320"/>
  <c r="I89" i="320"/>
  <c r="G89" i="320"/>
  <c r="E89" i="320"/>
  <c r="AE88" i="320"/>
  <c r="AD88" i="320"/>
  <c r="AC89" i="320" s="1"/>
  <c r="AE89" i="320" s="1"/>
  <c r="AC88" i="320"/>
  <c r="S88" i="320"/>
  <c r="R88" i="320"/>
  <c r="Q88" i="320"/>
  <c r="U88" i="320" s="1"/>
  <c r="O88" i="320"/>
  <c r="AA88" i="320" s="1"/>
  <c r="E88" i="320"/>
  <c r="AD87" i="320"/>
  <c r="AC87" i="320"/>
  <c r="AA87" i="320"/>
  <c r="R87" i="320"/>
  <c r="Q87" i="320"/>
  <c r="O87" i="320"/>
  <c r="I87" i="320"/>
  <c r="G87" i="320"/>
  <c r="E87" i="320"/>
  <c r="AE86" i="320"/>
  <c r="AC86" i="320"/>
  <c r="AG86" i="320" s="1"/>
  <c r="U86" i="320"/>
  <c r="S86" i="320"/>
  <c r="Q86" i="320"/>
  <c r="G86" i="320"/>
  <c r="E86" i="320"/>
  <c r="I86" i="320" s="1"/>
  <c r="AG85" i="320"/>
  <c r="AE85" i="320"/>
  <c r="AC85" i="320"/>
  <c r="S85" i="320"/>
  <c r="Q85" i="320"/>
  <c r="U85" i="320" s="1"/>
  <c r="I85" i="320"/>
  <c r="G85" i="320"/>
  <c r="E85" i="320"/>
  <c r="AG84" i="320"/>
  <c r="AC84" i="320"/>
  <c r="AE84" i="320" s="1"/>
  <c r="U84" i="320"/>
  <c r="S84" i="320"/>
  <c r="Q84" i="320"/>
  <c r="I84" i="320"/>
  <c r="E84" i="320"/>
  <c r="G84" i="320" s="1"/>
  <c r="AG83" i="320"/>
  <c r="AE83" i="320"/>
  <c r="AC83" i="320"/>
  <c r="U83" i="320"/>
  <c r="Q83" i="320"/>
  <c r="S83" i="320" s="1"/>
  <c r="I83" i="320"/>
  <c r="G83" i="320"/>
  <c r="E83" i="320"/>
  <c r="AG82" i="320"/>
  <c r="AE82" i="320"/>
  <c r="AC82" i="320"/>
  <c r="U82" i="320"/>
  <c r="S82" i="320"/>
  <c r="Q82" i="320"/>
  <c r="I82" i="320"/>
  <c r="E82" i="320"/>
  <c r="G82" i="320" s="1"/>
  <c r="AG81" i="320"/>
  <c r="AE81" i="320"/>
  <c r="AC81" i="320"/>
  <c r="U81" i="320"/>
  <c r="Q81" i="320"/>
  <c r="S81" i="320" s="1"/>
  <c r="I81" i="320"/>
  <c r="G81" i="320"/>
  <c r="E81" i="320"/>
  <c r="AG80" i="320"/>
  <c r="AC80" i="320"/>
  <c r="AE80" i="320" s="1"/>
  <c r="U80" i="320"/>
  <c r="S80" i="320"/>
  <c r="Q80" i="320"/>
  <c r="I80" i="320"/>
  <c r="G80" i="320"/>
  <c r="E80" i="320"/>
  <c r="AG79" i="320"/>
  <c r="AE79" i="320"/>
  <c r="AC79" i="320"/>
  <c r="U79" i="320"/>
  <c r="Q79" i="320"/>
  <c r="S79" i="320" s="1"/>
  <c r="I79" i="320"/>
  <c r="G79" i="320"/>
  <c r="E79" i="320"/>
  <c r="AG78" i="320"/>
  <c r="AC78" i="320"/>
  <c r="AE78" i="320" s="1"/>
  <c r="U78" i="320"/>
  <c r="S78" i="320"/>
  <c r="Q78" i="320"/>
  <c r="I78" i="320"/>
  <c r="E78" i="320"/>
  <c r="G78" i="320" s="1"/>
  <c r="AG77" i="320"/>
  <c r="AE77" i="320"/>
  <c r="AC77" i="320"/>
  <c r="U77" i="320"/>
  <c r="S77" i="320"/>
  <c r="Q77" i="320"/>
  <c r="I77" i="320"/>
  <c r="G77" i="320"/>
  <c r="E77" i="320"/>
  <c r="AG76" i="320"/>
  <c r="AC76" i="320"/>
  <c r="AE76" i="320" s="1"/>
  <c r="U76" i="320"/>
  <c r="S76" i="320"/>
  <c r="Q76" i="320"/>
  <c r="I76" i="320"/>
  <c r="E76" i="320"/>
  <c r="G76" i="320" s="1"/>
  <c r="AG75" i="320"/>
  <c r="AE75" i="320"/>
  <c r="AC75" i="320"/>
  <c r="U75" i="320"/>
  <c r="Q75" i="320"/>
  <c r="S75" i="320" s="1"/>
  <c r="I75" i="320"/>
  <c r="G75" i="320"/>
  <c r="E75" i="320"/>
  <c r="AG74" i="320"/>
  <c r="AE74" i="320"/>
  <c r="AC74" i="320"/>
  <c r="U74" i="320"/>
  <c r="I74" i="320"/>
  <c r="E74" i="320"/>
  <c r="G74" i="320" s="1"/>
  <c r="AG73" i="320"/>
  <c r="AD73" i="320"/>
  <c r="AA73" i="320"/>
  <c r="U73" i="320"/>
  <c r="R73" i="320"/>
  <c r="Q74" i="320" s="1"/>
  <c r="S74" i="320" s="1"/>
  <c r="O73" i="320"/>
  <c r="I73" i="320"/>
  <c r="G73" i="320"/>
  <c r="E73" i="320"/>
  <c r="AG72" i="320"/>
  <c r="AD72" i="320"/>
  <c r="AC73" i="320" s="1"/>
  <c r="AE73" i="320" s="1"/>
  <c r="AA72" i="320"/>
  <c r="U72" i="320"/>
  <c r="R72" i="320"/>
  <c r="Q73" i="320" s="1"/>
  <c r="S73" i="320" s="1"/>
  <c r="O72" i="320"/>
  <c r="I72" i="320"/>
  <c r="E72" i="320"/>
  <c r="G72" i="320" s="1"/>
  <c r="AM71" i="320"/>
  <c r="AG71" i="320"/>
  <c r="AD71" i="320"/>
  <c r="AC71" i="320"/>
  <c r="AA71" i="320"/>
  <c r="U71" i="320"/>
  <c r="R71" i="320"/>
  <c r="O71" i="320"/>
  <c r="I71" i="320"/>
  <c r="E71" i="320"/>
  <c r="G71" i="320" s="1"/>
  <c r="AS70" i="320"/>
  <c r="AO70" i="320"/>
  <c r="AQ70" i="320" s="1"/>
  <c r="AM70" i="320"/>
  <c r="AG70" i="320"/>
  <c r="AE70" i="320"/>
  <c r="AD70" i="320"/>
  <c r="AC70" i="320"/>
  <c r="AA70" i="320"/>
  <c r="U70" i="320"/>
  <c r="R70" i="320"/>
  <c r="Q70" i="320"/>
  <c r="O70" i="320"/>
  <c r="I70" i="320"/>
  <c r="E70" i="320"/>
  <c r="G70" i="320" s="1"/>
  <c r="AS69" i="320"/>
  <c r="AP69" i="320"/>
  <c r="AM69" i="320"/>
  <c r="AG69" i="320"/>
  <c r="AD69" i="320"/>
  <c r="AC69" i="320"/>
  <c r="AE69" i="320" s="1"/>
  <c r="AA69" i="320"/>
  <c r="U69" i="320"/>
  <c r="R69" i="320"/>
  <c r="Q69" i="320"/>
  <c r="S69" i="320" s="1"/>
  <c r="O69" i="320"/>
  <c r="I69" i="320"/>
  <c r="G69" i="320"/>
  <c r="E69" i="320"/>
  <c r="AS68" i="320"/>
  <c r="AP68" i="320"/>
  <c r="AO69" i="320" s="1"/>
  <c r="AQ69" i="320" s="1"/>
  <c r="AO68" i="320"/>
  <c r="AM68" i="320"/>
  <c r="AG68" i="320"/>
  <c r="AE68" i="320"/>
  <c r="AD68" i="320"/>
  <c r="AC68" i="320"/>
  <c r="AA68" i="320"/>
  <c r="U68" i="320"/>
  <c r="R68" i="320"/>
  <c r="S68" i="320" s="1"/>
  <c r="Q68" i="320"/>
  <c r="O68" i="320"/>
  <c r="I68" i="320"/>
  <c r="E68" i="320"/>
  <c r="G68" i="320" s="1"/>
  <c r="AS67" i="320"/>
  <c r="AQ67" i="320"/>
  <c r="AP67" i="320"/>
  <c r="AM67" i="320"/>
  <c r="AG67" i="320"/>
  <c r="AD67" i="320"/>
  <c r="AC67" i="320"/>
  <c r="AE67" i="320" s="1"/>
  <c r="AA67" i="320"/>
  <c r="U67" i="320"/>
  <c r="R67" i="320"/>
  <c r="Q67" i="320"/>
  <c r="S67" i="320" s="1"/>
  <c r="O67" i="320"/>
  <c r="I67" i="320"/>
  <c r="G67" i="320"/>
  <c r="E67" i="320"/>
  <c r="AS66" i="320"/>
  <c r="AP66" i="320"/>
  <c r="AO67" i="320" s="1"/>
  <c r="AO66" i="320"/>
  <c r="AM66" i="320"/>
  <c r="AG66" i="320"/>
  <c r="AE66" i="320"/>
  <c r="AD66" i="320"/>
  <c r="AC66" i="320"/>
  <c r="AA66" i="320"/>
  <c r="U66" i="320"/>
  <c r="S66" i="320"/>
  <c r="R66" i="320"/>
  <c r="Q66" i="320"/>
  <c r="O66" i="320"/>
  <c r="I66" i="320"/>
  <c r="E66" i="320"/>
  <c r="G66" i="320" s="1"/>
  <c r="AS65" i="320"/>
  <c r="AQ65" i="320"/>
  <c r="AP65" i="320"/>
  <c r="AM65" i="320"/>
  <c r="AG65" i="320"/>
  <c r="AD65" i="320"/>
  <c r="AC65" i="320"/>
  <c r="AE65" i="320" s="1"/>
  <c r="AA65" i="320"/>
  <c r="U65" i="320"/>
  <c r="R65" i="320"/>
  <c r="O65" i="320"/>
  <c r="I65" i="320"/>
  <c r="G65" i="320"/>
  <c r="E65" i="320"/>
  <c r="AS64" i="320"/>
  <c r="AP64" i="320"/>
  <c r="AO65" i="320" s="1"/>
  <c r="AO64" i="320"/>
  <c r="AM64" i="320"/>
  <c r="AG64" i="320"/>
  <c r="AE64" i="320"/>
  <c r="AD64" i="320"/>
  <c r="AC64" i="320"/>
  <c r="AA64" i="320"/>
  <c r="U64" i="320"/>
  <c r="S64" i="320"/>
  <c r="R64" i="320"/>
  <c r="Q65" i="320" s="1"/>
  <c r="S65" i="320" s="1"/>
  <c r="Q64" i="320"/>
  <c r="O64" i="320"/>
  <c r="I64" i="320"/>
  <c r="E64" i="320"/>
  <c r="G64" i="320" s="1"/>
  <c r="AS63" i="320"/>
  <c r="AP63" i="320"/>
  <c r="AM63" i="320"/>
  <c r="AG63" i="320"/>
  <c r="AD63" i="320"/>
  <c r="AC63" i="320"/>
  <c r="AE63" i="320" s="1"/>
  <c r="AA63" i="320"/>
  <c r="U63" i="320"/>
  <c r="R63" i="320"/>
  <c r="O63" i="320"/>
  <c r="I63" i="320"/>
  <c r="G63" i="320"/>
  <c r="E63" i="320"/>
  <c r="AS62" i="320"/>
  <c r="AP62" i="320"/>
  <c r="AO63" i="320" s="1"/>
  <c r="AQ63" i="320" s="1"/>
  <c r="AM62" i="320"/>
  <c r="AG62" i="320"/>
  <c r="AE62" i="320"/>
  <c r="AD62" i="320"/>
  <c r="AA62" i="320"/>
  <c r="U62" i="320"/>
  <c r="R62" i="320"/>
  <c r="Q63" i="320" s="1"/>
  <c r="S63" i="320" s="1"/>
  <c r="O62" i="320"/>
  <c r="I62" i="320"/>
  <c r="E62" i="320"/>
  <c r="G62" i="320" s="1"/>
  <c r="AS61" i="320"/>
  <c r="AP61" i="320"/>
  <c r="AM61" i="320"/>
  <c r="AG61" i="320"/>
  <c r="AE61" i="320"/>
  <c r="AD61" i="320"/>
  <c r="AC62" i="320" s="1"/>
  <c r="AA61" i="320"/>
  <c r="U61" i="320"/>
  <c r="R61" i="320"/>
  <c r="O61" i="320"/>
  <c r="I61" i="320"/>
  <c r="G61" i="320"/>
  <c r="E61" i="320"/>
  <c r="AS60" i="320"/>
  <c r="AP60" i="320"/>
  <c r="AO61" i="320" s="1"/>
  <c r="AM60" i="320"/>
  <c r="AG60" i="320"/>
  <c r="AD60" i="320"/>
  <c r="AC61" i="320" s="1"/>
  <c r="AA60" i="320"/>
  <c r="U60" i="320"/>
  <c r="R60" i="320"/>
  <c r="Q61" i="320" s="1"/>
  <c r="Q60" i="320"/>
  <c r="O60" i="320"/>
  <c r="I60" i="320"/>
  <c r="E60" i="320"/>
  <c r="G60" i="320" s="1"/>
  <c r="AS59" i="320"/>
  <c r="AQ59" i="320"/>
  <c r="AP59" i="320"/>
  <c r="AO60" i="320" s="1"/>
  <c r="AM59" i="320"/>
  <c r="AG59" i="320"/>
  <c r="AD59" i="320"/>
  <c r="AC60" i="320" s="1"/>
  <c r="AA59" i="320"/>
  <c r="U59" i="320"/>
  <c r="S59" i="320"/>
  <c r="R59" i="320"/>
  <c r="O59" i="320"/>
  <c r="I59" i="320"/>
  <c r="E59" i="320"/>
  <c r="G59" i="320" s="1"/>
  <c r="AS58" i="320"/>
  <c r="AP58" i="320"/>
  <c r="AO59" i="320" s="1"/>
  <c r="AM58" i="320"/>
  <c r="AG58" i="320"/>
  <c r="AD58" i="320"/>
  <c r="AC59" i="320" s="1"/>
  <c r="AC58" i="320"/>
  <c r="AE58" i="320" s="1"/>
  <c r="AA58" i="320"/>
  <c r="U58" i="320"/>
  <c r="R58" i="320"/>
  <c r="Q59" i="320" s="1"/>
  <c r="O58" i="320"/>
  <c r="I58" i="320"/>
  <c r="G58" i="320"/>
  <c r="E58" i="320"/>
  <c r="AS57" i="320"/>
  <c r="AP57" i="320"/>
  <c r="AQ57" i="320" s="1"/>
  <c r="AO57" i="320"/>
  <c r="AM57" i="320"/>
  <c r="AG57" i="320"/>
  <c r="AE57" i="320"/>
  <c r="AD57" i="320"/>
  <c r="AC57" i="320"/>
  <c r="AA57" i="320"/>
  <c r="U57" i="320"/>
  <c r="S57" i="320"/>
  <c r="R57" i="320"/>
  <c r="Q58" i="320" s="1"/>
  <c r="S58" i="320" s="1"/>
  <c r="Q57" i="320"/>
  <c r="O57" i="320"/>
  <c r="I57" i="320"/>
  <c r="E57" i="320"/>
  <c r="G57" i="320" s="1"/>
  <c r="AS56" i="320"/>
  <c r="AP56" i="320"/>
  <c r="AO56" i="320"/>
  <c r="AQ56" i="320" s="1"/>
  <c r="AM56" i="320"/>
  <c r="AG56" i="320"/>
  <c r="AD56" i="320"/>
  <c r="AA56" i="320"/>
  <c r="U56" i="320"/>
  <c r="R56" i="320"/>
  <c r="O56" i="320"/>
  <c r="I56" i="320"/>
  <c r="G56" i="320"/>
  <c r="E56" i="320"/>
  <c r="AS55" i="320"/>
  <c r="AP55" i="320"/>
  <c r="AQ55" i="320" s="1"/>
  <c r="AO55" i="320"/>
  <c r="AM55" i="320"/>
  <c r="AG55" i="320"/>
  <c r="AD55" i="320"/>
  <c r="AC56" i="320" s="1"/>
  <c r="AE56" i="320" s="1"/>
  <c r="AC55" i="320"/>
  <c r="AA55" i="320"/>
  <c r="U55" i="320"/>
  <c r="S55" i="320"/>
  <c r="R55" i="320"/>
  <c r="Q56" i="320" s="1"/>
  <c r="S56" i="320" s="1"/>
  <c r="Q55" i="320"/>
  <c r="O55" i="320"/>
  <c r="I55" i="320"/>
  <c r="G55" i="320"/>
  <c r="E55" i="320"/>
  <c r="AS54" i="320"/>
  <c r="AP54" i="320"/>
  <c r="AM54" i="320"/>
  <c r="AG54" i="320"/>
  <c r="AD54" i="320"/>
  <c r="AA54" i="320"/>
  <c r="U54" i="320"/>
  <c r="R54" i="320"/>
  <c r="O54" i="320"/>
  <c r="I54" i="320"/>
  <c r="G54" i="320"/>
  <c r="E54" i="320"/>
  <c r="AS53" i="320"/>
  <c r="AQ53" i="320"/>
  <c r="AP53" i="320"/>
  <c r="AO54" i="320" s="1"/>
  <c r="AQ54" i="320" s="1"/>
  <c r="AO53" i="320"/>
  <c r="AM53" i="320"/>
  <c r="AG53" i="320"/>
  <c r="AD53" i="320"/>
  <c r="AC53" i="320"/>
  <c r="AA53" i="320"/>
  <c r="U53" i="320"/>
  <c r="R53" i="320"/>
  <c r="S53" i="320" s="1"/>
  <c r="Q53" i="320"/>
  <c r="O53" i="320"/>
  <c r="I53" i="320"/>
  <c r="G53" i="320"/>
  <c r="E53" i="320"/>
  <c r="AS52" i="320"/>
  <c r="AP52" i="320"/>
  <c r="AM52" i="320"/>
  <c r="AG52" i="320"/>
  <c r="AD52" i="320"/>
  <c r="AC52" i="320"/>
  <c r="AE52" i="320" s="1"/>
  <c r="AA52" i="320"/>
  <c r="U52" i="320"/>
  <c r="R52" i="320"/>
  <c r="O52" i="320"/>
  <c r="I52" i="320"/>
  <c r="G52" i="320"/>
  <c r="E52" i="320"/>
  <c r="AS51" i="320"/>
  <c r="AQ51" i="320"/>
  <c r="AP51" i="320"/>
  <c r="AO52" i="320" s="1"/>
  <c r="AQ52" i="320" s="1"/>
  <c r="AO51" i="320"/>
  <c r="AM51" i="320"/>
  <c r="AG51" i="320"/>
  <c r="AE51" i="320"/>
  <c r="AD51" i="320"/>
  <c r="AC51" i="320"/>
  <c r="AA51" i="320"/>
  <c r="U51" i="320"/>
  <c r="R51" i="320"/>
  <c r="S51" i="320" s="1"/>
  <c r="Q51" i="320"/>
  <c r="O51" i="320"/>
  <c r="I51" i="320"/>
  <c r="E51" i="320"/>
  <c r="G51" i="320" s="1"/>
  <c r="AS50" i="320"/>
  <c r="AP50" i="320"/>
  <c r="AM50" i="320"/>
  <c r="AG50" i="320"/>
  <c r="AD50" i="320"/>
  <c r="AC50" i="320"/>
  <c r="AE50" i="320" s="1"/>
  <c r="AA50" i="320"/>
  <c r="U50" i="320"/>
  <c r="R50" i="320"/>
  <c r="O50" i="320"/>
  <c r="I50" i="320"/>
  <c r="G50" i="320"/>
  <c r="E50" i="320"/>
  <c r="AS49" i="320"/>
  <c r="AP49" i="320"/>
  <c r="AO50" i="320" s="1"/>
  <c r="AQ50" i="320" s="1"/>
  <c r="AO49" i="320"/>
  <c r="AM49" i="320"/>
  <c r="AG49" i="320"/>
  <c r="AE49" i="320"/>
  <c r="AD49" i="320"/>
  <c r="AC49" i="320"/>
  <c r="AA49" i="320"/>
  <c r="U49" i="320"/>
  <c r="S49" i="320"/>
  <c r="R49" i="320"/>
  <c r="Q50" i="320" s="1"/>
  <c r="S50" i="320" s="1"/>
  <c r="Q49" i="320"/>
  <c r="O49" i="320"/>
  <c r="I49" i="320"/>
  <c r="E49" i="320"/>
  <c r="G49" i="320" s="1"/>
  <c r="AS48" i="320"/>
  <c r="AP48" i="320"/>
  <c r="AO48" i="320"/>
  <c r="AQ48" i="320" s="1"/>
  <c r="AM48" i="320"/>
  <c r="AG48" i="320"/>
  <c r="AD48" i="320"/>
  <c r="AA48" i="320"/>
  <c r="U48" i="320"/>
  <c r="R48" i="320"/>
  <c r="Q48" i="320"/>
  <c r="S48" i="320" s="1"/>
  <c r="O48" i="320"/>
  <c r="I48" i="320"/>
  <c r="G48" i="320"/>
  <c r="E48" i="320"/>
  <c r="AS47" i="320"/>
  <c r="AP47" i="320"/>
  <c r="AG47" i="320"/>
  <c r="AD47" i="320"/>
  <c r="AC47" i="320"/>
  <c r="U47" i="320"/>
  <c r="R47" i="320"/>
  <c r="Q47" i="320"/>
  <c r="S47" i="320" s="1"/>
  <c r="I47" i="320"/>
  <c r="G47" i="320"/>
  <c r="E47" i="320"/>
  <c r="AS46" i="320"/>
  <c r="AP46" i="320"/>
  <c r="AO46" i="320"/>
  <c r="AG46" i="320"/>
  <c r="AD46" i="320"/>
  <c r="AC46" i="320"/>
  <c r="AE46" i="320" s="1"/>
  <c r="U46" i="320"/>
  <c r="R46" i="320"/>
  <c r="I46" i="320"/>
  <c r="E46" i="320"/>
  <c r="G46" i="320" s="1"/>
  <c r="AS45" i="320"/>
  <c r="AP45" i="320"/>
  <c r="AO45" i="320"/>
  <c r="AQ45" i="320" s="1"/>
  <c r="AG45" i="320"/>
  <c r="AE45" i="320"/>
  <c r="AD45" i="320"/>
  <c r="U45" i="320"/>
  <c r="R45" i="320"/>
  <c r="Q46" i="320" s="1"/>
  <c r="S46" i="320" s="1"/>
  <c r="I45" i="320"/>
  <c r="E45" i="320"/>
  <c r="G45" i="320" s="1"/>
  <c r="AS44" i="320"/>
  <c r="AQ44" i="320"/>
  <c r="AP44" i="320"/>
  <c r="AG44" i="320"/>
  <c r="AD44" i="320"/>
  <c r="AC45" i="320" s="1"/>
  <c r="U44" i="320"/>
  <c r="R44" i="320"/>
  <c r="Q44" i="320"/>
  <c r="I44" i="320"/>
  <c r="G44" i="320"/>
  <c r="E44" i="320"/>
  <c r="AS43" i="320"/>
  <c r="AP43" i="320"/>
  <c r="AO44" i="320" s="1"/>
  <c r="AG43" i="320"/>
  <c r="AD43" i="320"/>
  <c r="AC43" i="320"/>
  <c r="U43" i="320"/>
  <c r="R43" i="320"/>
  <c r="I43" i="320"/>
  <c r="E43" i="320"/>
  <c r="G43" i="320" s="1"/>
  <c r="AS42" i="320"/>
  <c r="AP42" i="320"/>
  <c r="AO42" i="320"/>
  <c r="AG42" i="320"/>
  <c r="AE42" i="320"/>
  <c r="AD42" i="320"/>
  <c r="AC42" i="320"/>
  <c r="U42" i="320"/>
  <c r="R42" i="320"/>
  <c r="Q42" i="320"/>
  <c r="I42" i="320"/>
  <c r="G42" i="320"/>
  <c r="E42" i="320"/>
  <c r="AS41" i="320"/>
  <c r="AQ41" i="320"/>
  <c r="AO41" i="320"/>
  <c r="AM41" i="320"/>
  <c r="AG41" i="320"/>
  <c r="AE41" i="320"/>
  <c r="AC41" i="320"/>
  <c r="AA41" i="320"/>
  <c r="U41" i="320"/>
  <c r="S41" i="320"/>
  <c r="Q41" i="320"/>
  <c r="O41" i="320"/>
  <c r="I41" i="320"/>
  <c r="E41" i="320"/>
  <c r="G41" i="320" s="1"/>
  <c r="AS40" i="320"/>
  <c r="AQ40" i="320"/>
  <c r="AO40" i="320"/>
  <c r="AM40" i="320"/>
  <c r="AE40" i="320"/>
  <c r="AC40" i="320"/>
  <c r="AA40" i="320"/>
  <c r="Q40" i="320"/>
  <c r="S40" i="320" s="1"/>
  <c r="O40" i="320"/>
  <c r="E40" i="320"/>
  <c r="G40" i="320" s="1"/>
  <c r="AS39" i="320"/>
  <c r="AQ39" i="320"/>
  <c r="AO39" i="320"/>
  <c r="AM39" i="320"/>
  <c r="AG39" i="320"/>
  <c r="AC39" i="320"/>
  <c r="AE39" i="320" s="1"/>
  <c r="AA39" i="320"/>
  <c r="U39" i="320"/>
  <c r="Q39" i="320"/>
  <c r="S39" i="320" s="1"/>
  <c r="O39" i="320"/>
  <c r="I39" i="320"/>
  <c r="G39" i="320"/>
  <c r="E39" i="320"/>
  <c r="AS38" i="320"/>
  <c r="AO38" i="320"/>
  <c r="AQ38" i="320" s="1"/>
  <c r="AG38" i="320"/>
  <c r="AF38" i="320"/>
  <c r="AH38" i="320" s="1"/>
  <c r="AE38" i="320"/>
  <c r="AC38" i="320"/>
  <c r="U38" i="320"/>
  <c r="Q38" i="320"/>
  <c r="S38" i="320" s="1"/>
  <c r="I38" i="320"/>
  <c r="G38" i="320"/>
  <c r="E38" i="320"/>
  <c r="AS37" i="320"/>
  <c r="AO37" i="320"/>
  <c r="AQ37" i="320" s="1"/>
  <c r="AG37" i="320"/>
  <c r="AE37" i="320"/>
  <c r="AC37" i="320"/>
  <c r="U37" i="320"/>
  <c r="Q37" i="320"/>
  <c r="S37" i="320" s="1"/>
  <c r="I37" i="320"/>
  <c r="G37" i="320"/>
  <c r="E37" i="320"/>
  <c r="AS36" i="320"/>
  <c r="AQ36" i="320"/>
  <c r="AG36" i="320"/>
  <c r="AE36" i="320"/>
  <c r="AF36" i="320" s="1"/>
  <c r="AH36" i="320" s="1"/>
  <c r="U36" i="320"/>
  <c r="S36" i="320"/>
  <c r="I36" i="320"/>
  <c r="G36" i="320"/>
  <c r="AO35" i="320"/>
  <c r="AQ35" i="320" s="1"/>
  <c r="AC35" i="320"/>
  <c r="AE35" i="320" s="1"/>
  <c r="S35" i="320"/>
  <c r="Q35" i="320"/>
  <c r="G35" i="320"/>
  <c r="E35" i="320"/>
  <c r="AO34" i="320"/>
  <c r="AQ34" i="320" s="1"/>
  <c r="AC34" i="320"/>
  <c r="AE34" i="320" s="1"/>
  <c r="S34" i="320"/>
  <c r="Q34" i="320"/>
  <c r="G34" i="320"/>
  <c r="E34" i="320"/>
  <c r="AO33" i="320"/>
  <c r="AQ33" i="320" s="1"/>
  <c r="AC33" i="320"/>
  <c r="AE33" i="320" s="1"/>
  <c r="S33" i="320"/>
  <c r="Q33" i="320"/>
  <c r="G33" i="320"/>
  <c r="E33" i="320"/>
  <c r="AO32" i="320"/>
  <c r="AQ32" i="320" s="1"/>
  <c r="AC32" i="320"/>
  <c r="AE32" i="320" s="1"/>
  <c r="S32" i="320"/>
  <c r="Q32" i="320"/>
  <c r="G32" i="320"/>
  <c r="E32" i="320"/>
  <c r="AO31" i="320"/>
  <c r="AQ31" i="320" s="1"/>
  <c r="AC31" i="320"/>
  <c r="AE31" i="320" s="1"/>
  <c r="S31" i="320"/>
  <c r="Q31" i="320"/>
  <c r="G31" i="320"/>
  <c r="E31" i="320"/>
  <c r="AQ30" i="320"/>
  <c r="AO30" i="320"/>
  <c r="AC30" i="320"/>
  <c r="AE30" i="320" s="1"/>
  <c r="S30" i="320"/>
  <c r="Q30" i="320"/>
  <c r="G30" i="320"/>
  <c r="E30" i="320"/>
  <c r="AO29" i="320"/>
  <c r="AQ29" i="320" s="1"/>
  <c r="AC29" i="320"/>
  <c r="AE29" i="320" s="1"/>
  <c r="S29" i="320"/>
  <c r="Q29" i="320"/>
  <c r="G29" i="320"/>
  <c r="E29" i="320"/>
  <c r="AO28" i="320"/>
  <c r="AQ28" i="320" s="1"/>
  <c r="AC28" i="320"/>
  <c r="AE28" i="320" s="1"/>
  <c r="S28" i="320"/>
  <c r="Q28" i="320"/>
  <c r="G28" i="320"/>
  <c r="E28" i="320"/>
  <c r="AO27" i="320"/>
  <c r="AQ27" i="320" s="1"/>
  <c r="AC27" i="320"/>
  <c r="AE27" i="320" s="1"/>
  <c r="S27" i="320"/>
  <c r="Q27" i="320"/>
  <c r="G27" i="320"/>
  <c r="E27" i="320"/>
  <c r="AQ26" i="320"/>
  <c r="AO26" i="320"/>
  <c r="AC26" i="320"/>
  <c r="AE26" i="320" s="1"/>
  <c r="S26" i="320"/>
  <c r="Q26" i="320"/>
  <c r="G26" i="320"/>
  <c r="E26" i="320"/>
  <c r="AO25" i="320"/>
  <c r="AQ25" i="320" s="1"/>
  <c r="AC25" i="320"/>
  <c r="AE25" i="320" s="1"/>
  <c r="S25" i="320"/>
  <c r="Q25" i="320"/>
  <c r="G25" i="320"/>
  <c r="E25" i="320"/>
  <c r="AO24" i="320"/>
  <c r="AQ24" i="320" s="1"/>
  <c r="AC24" i="320"/>
  <c r="AE24" i="320" s="1"/>
  <c r="S24" i="320"/>
  <c r="Q24" i="320"/>
  <c r="G24" i="320"/>
  <c r="E24" i="320"/>
  <c r="AO23" i="320"/>
  <c r="AQ23" i="320" s="1"/>
  <c r="AC23" i="320"/>
  <c r="AE23" i="320" s="1"/>
  <c r="S23" i="320"/>
  <c r="Q23" i="320"/>
  <c r="G23" i="320"/>
  <c r="E23" i="320"/>
  <c r="AQ22" i="320"/>
  <c r="AO22" i="320"/>
  <c r="AC22" i="320"/>
  <c r="AE22" i="320" s="1"/>
  <c r="S22" i="320"/>
  <c r="Q22" i="320"/>
  <c r="G22" i="320"/>
  <c r="E22" i="320"/>
  <c r="AO21" i="320"/>
  <c r="AQ21" i="320" s="1"/>
  <c r="AC21" i="320"/>
  <c r="AE21" i="320" s="1"/>
  <c r="S21" i="320"/>
  <c r="Q21" i="320"/>
  <c r="G21" i="320"/>
  <c r="E21" i="320"/>
  <c r="AO20" i="320"/>
  <c r="AQ20" i="320" s="1"/>
  <c r="AC20" i="320"/>
  <c r="AE20" i="320" s="1"/>
  <c r="S20" i="320"/>
  <c r="Q20" i="320"/>
  <c r="G20" i="320"/>
  <c r="E20" i="320"/>
  <c r="AO19" i="320"/>
  <c r="AQ19" i="320" s="1"/>
  <c r="AC19" i="320"/>
  <c r="AE19" i="320" s="1"/>
  <c r="S19" i="320"/>
  <c r="Q19" i="320"/>
  <c r="G19" i="320"/>
  <c r="E19" i="320"/>
  <c r="AQ18" i="320"/>
  <c r="AO18" i="320"/>
  <c r="AC18" i="320"/>
  <c r="AE18" i="320" s="1"/>
  <c r="S18" i="320"/>
  <c r="Q18" i="320"/>
  <c r="G18" i="320"/>
  <c r="E18" i="320"/>
  <c r="AO17" i="320"/>
  <c r="AQ17" i="320" s="1"/>
  <c r="AC17" i="320"/>
  <c r="AE17" i="320" s="1"/>
  <c r="Q17" i="320"/>
  <c r="S17" i="320" s="1"/>
  <c r="G17" i="320"/>
  <c r="E17" i="320"/>
  <c r="AQ16" i="320"/>
  <c r="AO16" i="320"/>
  <c r="AC16" i="320"/>
  <c r="AE16" i="320" s="1"/>
  <c r="S16" i="320"/>
  <c r="Q16" i="320"/>
  <c r="G16" i="320"/>
  <c r="E16" i="320"/>
  <c r="AO15" i="320"/>
  <c r="AQ15" i="320" s="1"/>
  <c r="AC15" i="320"/>
  <c r="AE15" i="320" s="1"/>
  <c r="Q15" i="320"/>
  <c r="S15" i="320" s="1"/>
  <c r="G15" i="320"/>
  <c r="E15" i="320"/>
  <c r="AO14" i="320"/>
  <c r="AQ14" i="320" s="1"/>
  <c r="AC14" i="320"/>
  <c r="AE14" i="320" s="1"/>
  <c r="S14" i="320"/>
  <c r="Q14" i="320"/>
  <c r="G14" i="320"/>
  <c r="E14" i="320"/>
  <c r="AO13" i="320"/>
  <c r="AQ13" i="320" s="1"/>
  <c r="AC13" i="320"/>
  <c r="AE13" i="320" s="1"/>
  <c r="S13" i="320"/>
  <c r="Q13" i="320"/>
  <c r="G13" i="320"/>
  <c r="E13" i="320"/>
  <c r="AQ12" i="320"/>
  <c r="AO12" i="320"/>
  <c r="AC12" i="320"/>
  <c r="AE12" i="320" s="1"/>
  <c r="S12" i="320"/>
  <c r="Q12" i="320"/>
  <c r="N12" i="320"/>
  <c r="N13" i="320" s="1"/>
  <c r="N14" i="320" s="1"/>
  <c r="N15" i="320" s="1"/>
  <c r="N16" i="320" s="1"/>
  <c r="N17" i="320" s="1"/>
  <c r="N18" i="320" s="1"/>
  <c r="N19" i="320" s="1"/>
  <c r="N20" i="320" s="1"/>
  <c r="N21" i="320" s="1"/>
  <c r="N22" i="320" s="1"/>
  <c r="N23" i="320" s="1"/>
  <c r="N24" i="320" s="1"/>
  <c r="N25" i="320" s="1"/>
  <c r="N26" i="320" s="1"/>
  <c r="N27" i="320" s="1"/>
  <c r="N28" i="320" s="1"/>
  <c r="N29" i="320" s="1"/>
  <c r="N30" i="320" s="1"/>
  <c r="N31" i="320" s="1"/>
  <c r="N32" i="320" s="1"/>
  <c r="N33" i="320" s="1"/>
  <c r="N34" i="320" s="1"/>
  <c r="N35" i="320" s="1"/>
  <c r="N36" i="320" s="1"/>
  <c r="G12" i="320"/>
  <c r="E12" i="320"/>
  <c r="AO11" i="320"/>
  <c r="AQ11" i="320" s="1"/>
  <c r="AR11" i="320" s="1"/>
  <c r="AN11" i="320"/>
  <c r="AN12" i="320" s="1"/>
  <c r="AL11" i="320"/>
  <c r="AL12" i="320" s="1"/>
  <c r="AL13" i="320" s="1"/>
  <c r="AL14" i="320" s="1"/>
  <c r="AL15" i="320" s="1"/>
  <c r="AL16" i="320" s="1"/>
  <c r="AL17" i="320" s="1"/>
  <c r="AL18" i="320" s="1"/>
  <c r="AL19" i="320" s="1"/>
  <c r="AL20" i="320" s="1"/>
  <c r="AL21" i="320" s="1"/>
  <c r="AL22" i="320" s="1"/>
  <c r="AL23" i="320" s="1"/>
  <c r="AL24" i="320" s="1"/>
  <c r="AL25" i="320" s="1"/>
  <c r="AL26" i="320" s="1"/>
  <c r="AL27" i="320" s="1"/>
  <c r="AL28" i="320" s="1"/>
  <c r="AL29" i="320" s="1"/>
  <c r="AL30" i="320" s="1"/>
  <c r="AL31" i="320" s="1"/>
  <c r="AL32" i="320" s="1"/>
  <c r="AL33" i="320" s="1"/>
  <c r="AL34" i="320" s="1"/>
  <c r="AL35" i="320" s="1"/>
  <c r="AL36" i="320" s="1"/>
  <c r="AL37" i="320" s="1"/>
  <c r="AL38" i="320" s="1"/>
  <c r="AL39" i="320" s="1"/>
  <c r="AL40" i="320" s="1"/>
  <c r="AC11" i="320"/>
  <c r="AE11" i="320" s="1"/>
  <c r="AB11" i="320"/>
  <c r="AB12" i="320" s="1"/>
  <c r="Z11" i="320"/>
  <c r="Z12" i="320" s="1"/>
  <c r="Z13" i="320" s="1"/>
  <c r="Z14" i="320" s="1"/>
  <c r="Z15" i="320" s="1"/>
  <c r="Z16" i="320" s="1"/>
  <c r="Z17" i="320" s="1"/>
  <c r="Z18" i="320" s="1"/>
  <c r="Z19" i="320" s="1"/>
  <c r="Z20" i="320" s="1"/>
  <c r="Z21" i="320" s="1"/>
  <c r="Z22" i="320" s="1"/>
  <c r="Z23" i="320" s="1"/>
  <c r="Z24" i="320" s="1"/>
  <c r="Z25" i="320" s="1"/>
  <c r="Z26" i="320" s="1"/>
  <c r="Z27" i="320" s="1"/>
  <c r="Z28" i="320" s="1"/>
  <c r="Z29" i="320" s="1"/>
  <c r="Z30" i="320" s="1"/>
  <c r="Z31" i="320" s="1"/>
  <c r="Z32" i="320" s="1"/>
  <c r="Z33" i="320" s="1"/>
  <c r="Z34" i="320" s="1"/>
  <c r="Z35" i="320" s="1"/>
  <c r="Z36" i="320" s="1"/>
  <c r="Z37" i="320" s="1"/>
  <c r="Z38" i="320" s="1"/>
  <c r="Z39" i="320" s="1"/>
  <c r="Z40" i="320" s="1"/>
  <c r="Z41" i="320" s="1"/>
  <c r="Q11" i="320"/>
  <c r="S11" i="320" s="1"/>
  <c r="T11" i="320" s="1"/>
  <c r="P11" i="320"/>
  <c r="P12" i="320" s="1"/>
  <c r="N11" i="320"/>
  <c r="G11" i="320"/>
  <c r="H11" i="320" s="1"/>
  <c r="E11" i="320"/>
  <c r="D11" i="320"/>
  <c r="D12" i="320" s="1"/>
  <c r="B11" i="320"/>
  <c r="B12" i="320" s="1"/>
  <c r="AT10" i="320"/>
  <c r="AS10" i="320"/>
  <c r="AQ10" i="320"/>
  <c r="AF10" i="320"/>
  <c r="AH10" i="320" s="1"/>
  <c r="AE10" i="320"/>
  <c r="S10" i="320"/>
  <c r="T10" i="320" s="1"/>
  <c r="V10" i="320" s="1"/>
  <c r="I10" i="320"/>
  <c r="H10" i="320"/>
  <c r="J10" i="320" s="1"/>
  <c r="G10" i="320"/>
  <c r="CV1451" i="319"/>
  <c r="CV1450" i="319"/>
  <c r="CV1449" i="319"/>
  <c r="CV1448" i="319"/>
  <c r="CV1447" i="319"/>
  <c r="CV1446" i="319"/>
  <c r="CV1445" i="319"/>
  <c r="CV1444" i="319"/>
  <c r="CV1443" i="319"/>
  <c r="CV1442" i="319"/>
  <c r="CV1441" i="319"/>
  <c r="CV1440" i="319"/>
  <c r="CV1439" i="319"/>
  <c r="CV1438" i="319"/>
  <c r="CV1437" i="319"/>
  <c r="CV1436" i="319"/>
  <c r="CV1435" i="319"/>
  <c r="CV1434" i="319"/>
  <c r="CV1433" i="319"/>
  <c r="CV1432" i="319"/>
  <c r="CV1431" i="319"/>
  <c r="CV1430" i="319"/>
  <c r="CV1429" i="319"/>
  <c r="CV1428" i="319"/>
  <c r="CV1427" i="319"/>
  <c r="CV1426" i="319"/>
  <c r="CV1425" i="319"/>
  <c r="CV1424" i="319"/>
  <c r="CV1423" i="319"/>
  <c r="CV1422" i="319"/>
  <c r="CV1421" i="319"/>
  <c r="CV1420" i="319"/>
  <c r="CV1419" i="319"/>
  <c r="CV1418" i="319"/>
  <c r="CV1417" i="319"/>
  <c r="CV1416" i="319"/>
  <c r="CV1415" i="319"/>
  <c r="CV1414" i="319"/>
  <c r="CV1413" i="319"/>
  <c r="CV1412" i="319"/>
  <c r="CV1411" i="319"/>
  <c r="CV1410" i="319"/>
  <c r="CV1409" i="319"/>
  <c r="CV1408" i="319"/>
  <c r="CV1407" i="319"/>
  <c r="CV1406" i="319"/>
  <c r="CV1405" i="319"/>
  <c r="CV1404" i="319"/>
  <c r="CV1403" i="319"/>
  <c r="CV1402" i="319"/>
  <c r="CV1401" i="319"/>
  <c r="CV1400" i="319"/>
  <c r="CV1399" i="319"/>
  <c r="CV1398" i="319"/>
  <c r="CV1397" i="319"/>
  <c r="CV1396" i="319"/>
  <c r="CV1395" i="319"/>
  <c r="CV1394" i="319"/>
  <c r="CV1393" i="319"/>
  <c r="CV1392" i="319"/>
  <c r="CV1391" i="319"/>
  <c r="CV1390" i="319"/>
  <c r="CV1389" i="319"/>
  <c r="CV1388" i="319"/>
  <c r="CV1387" i="319"/>
  <c r="CV1386" i="319"/>
  <c r="CV1385" i="319"/>
  <c r="CV1384" i="319"/>
  <c r="CV1383" i="319"/>
  <c r="CV1382" i="319"/>
  <c r="CV1381" i="319"/>
  <c r="CV1380" i="319"/>
  <c r="CV1379" i="319"/>
  <c r="CV1378" i="319"/>
  <c r="CV1377" i="319"/>
  <c r="CV1376" i="319"/>
  <c r="CV1375" i="319"/>
  <c r="CV1374" i="319"/>
  <c r="CV1373" i="319"/>
  <c r="CV1372" i="319"/>
  <c r="CV1371" i="319"/>
  <c r="CV1370" i="319"/>
  <c r="CV1369" i="319"/>
  <c r="CV1368" i="319"/>
  <c r="CV1367" i="319"/>
  <c r="CV1366" i="319"/>
  <c r="CV1365" i="319"/>
  <c r="CV1364" i="319"/>
  <c r="CV1363" i="319"/>
  <c r="CV1362" i="319"/>
  <c r="CV1361" i="319"/>
  <c r="CV1360" i="319"/>
  <c r="CV1359" i="319"/>
  <c r="CV1358" i="319"/>
  <c r="CV1357" i="319"/>
  <c r="CV1356" i="319"/>
  <c r="CV1355" i="319"/>
  <c r="CV1354" i="319"/>
  <c r="CV1353" i="319"/>
  <c r="CV1352" i="319"/>
  <c r="CV1351" i="319"/>
  <c r="CV1350" i="319"/>
  <c r="CV1349" i="319"/>
  <c r="CV1348" i="319"/>
  <c r="CV1347" i="319"/>
  <c r="CV1346" i="319"/>
  <c r="CV1345" i="319"/>
  <c r="CV1344" i="319"/>
  <c r="CV1343" i="319"/>
  <c r="CV1342" i="319"/>
  <c r="CV1341" i="319"/>
  <c r="CV1340" i="319"/>
  <c r="CV1339" i="319"/>
  <c r="CV1338" i="319"/>
  <c r="CV1337" i="319"/>
  <c r="CV1336" i="319"/>
  <c r="CV1335" i="319"/>
  <c r="CV1334" i="319"/>
  <c r="CV1333" i="319"/>
  <c r="CV1332" i="319"/>
  <c r="CV1331" i="319"/>
  <c r="CV1330" i="319"/>
  <c r="CV1329" i="319"/>
  <c r="CV1328" i="319"/>
  <c r="CV1327" i="319"/>
  <c r="CV1326" i="319"/>
  <c r="CV1325" i="319"/>
  <c r="CV1324" i="319"/>
  <c r="CV1323" i="319"/>
  <c r="CV1322" i="319"/>
  <c r="CV1321" i="319"/>
  <c r="CV1320" i="319"/>
  <c r="CV1319" i="319"/>
  <c r="CV1318" i="319"/>
  <c r="CV1317" i="319"/>
  <c r="CV1316" i="319"/>
  <c r="CV1315" i="319"/>
  <c r="CV1314" i="319"/>
  <c r="CV1313" i="319"/>
  <c r="CV1312" i="319"/>
  <c r="CV1311" i="319"/>
  <c r="CV1310" i="319"/>
  <c r="CV1309" i="319"/>
  <c r="CV1308" i="319"/>
  <c r="CV1307" i="319"/>
  <c r="CV1306" i="319"/>
  <c r="CV1305" i="319"/>
  <c r="CV1304" i="319"/>
  <c r="CV1303" i="319"/>
  <c r="CV1302" i="319"/>
  <c r="CV1301" i="319"/>
  <c r="CV1300" i="319"/>
  <c r="CV1299" i="319"/>
  <c r="CV1298" i="319"/>
  <c r="CV1297" i="319"/>
  <c r="CV1296" i="319"/>
  <c r="CV1295" i="319"/>
  <c r="CV1294" i="319"/>
  <c r="CV1293" i="319"/>
  <c r="CV1292" i="319"/>
  <c r="CV1291" i="319"/>
  <c r="CV1290" i="319"/>
  <c r="CV1289" i="319"/>
  <c r="CV1288" i="319"/>
  <c r="CV1287" i="319"/>
  <c r="CV1286" i="319"/>
  <c r="CV1285" i="319"/>
  <c r="CV1284" i="319"/>
  <c r="CV1283" i="319"/>
  <c r="CV1282" i="319"/>
  <c r="CV1281" i="319"/>
  <c r="CV1280" i="319"/>
  <c r="CV1279" i="319"/>
  <c r="CV1278" i="319"/>
  <c r="CV1277" i="319"/>
  <c r="CV1276" i="319"/>
  <c r="CV1275" i="319"/>
  <c r="CV1274" i="319"/>
  <c r="CV1273" i="319"/>
  <c r="CV1272" i="319"/>
  <c r="CV1271" i="319"/>
  <c r="CV1270" i="319"/>
  <c r="CV1269" i="319"/>
  <c r="CV1268" i="319"/>
  <c r="CV1267" i="319"/>
  <c r="CV1266" i="319"/>
  <c r="CV1265" i="319"/>
  <c r="CV1264" i="319"/>
  <c r="CV1263" i="319"/>
  <c r="CV1262" i="319"/>
  <c r="CV1261" i="319"/>
  <c r="CV1260" i="319"/>
  <c r="CV1259" i="319"/>
  <c r="CV1258" i="319"/>
  <c r="CV1257" i="319"/>
  <c r="CV1256" i="319"/>
  <c r="CV1255" i="319"/>
  <c r="CV1254" i="319"/>
  <c r="CV1253" i="319"/>
  <c r="CV1252" i="319"/>
  <c r="CV1251" i="319"/>
  <c r="CV1250" i="319"/>
  <c r="CV1249" i="319"/>
  <c r="CV1248" i="319"/>
  <c r="CV1247" i="319"/>
  <c r="CV1246" i="319"/>
  <c r="CV1245" i="319"/>
  <c r="CV1244" i="319"/>
  <c r="CV1243" i="319"/>
  <c r="CV1242" i="319"/>
  <c r="CV1241" i="319"/>
  <c r="CV1240" i="319"/>
  <c r="CV1239" i="319"/>
  <c r="CV1238" i="319"/>
  <c r="CV1237" i="319"/>
  <c r="CV1236" i="319"/>
  <c r="CV1235" i="319"/>
  <c r="CV1234" i="319"/>
  <c r="CV1233" i="319"/>
  <c r="CV1232" i="319"/>
  <c r="CV1231" i="319"/>
  <c r="CV1230" i="319"/>
  <c r="CV1229" i="319"/>
  <c r="CV1228" i="319"/>
  <c r="CV1227" i="319"/>
  <c r="CV1226" i="319"/>
  <c r="CV1225" i="319"/>
  <c r="CV1224" i="319"/>
  <c r="CV1223" i="319"/>
  <c r="CV1222" i="319"/>
  <c r="CV1221" i="319"/>
  <c r="CV1220" i="319"/>
  <c r="CV1219" i="319"/>
  <c r="CV1218" i="319"/>
  <c r="CV1217" i="319"/>
  <c r="CV1216" i="319"/>
  <c r="CV1215" i="319"/>
  <c r="CV1214" i="319"/>
  <c r="CV1213" i="319"/>
  <c r="CV1212" i="319"/>
  <c r="CV1211" i="319"/>
  <c r="CV1210" i="319"/>
  <c r="CV1209" i="319"/>
  <c r="CV1208" i="319"/>
  <c r="CV1207" i="319"/>
  <c r="CV1206" i="319"/>
  <c r="CV1205" i="319"/>
  <c r="CV1204" i="319"/>
  <c r="CV1203" i="319"/>
  <c r="CV1202" i="319"/>
  <c r="CV1201" i="319"/>
  <c r="CV1200" i="319"/>
  <c r="CV1199" i="319"/>
  <c r="CV1198" i="319"/>
  <c r="CV1197" i="319"/>
  <c r="CV1196" i="319"/>
  <c r="CV1195" i="319"/>
  <c r="CV1194" i="319"/>
  <c r="CV1193" i="319"/>
  <c r="CV1192" i="319"/>
  <c r="CV1191" i="319"/>
  <c r="CV1190" i="319"/>
  <c r="CV1189" i="319"/>
  <c r="CV1188" i="319"/>
  <c r="CV1187" i="319"/>
  <c r="CV1186" i="319"/>
  <c r="CV1185" i="319"/>
  <c r="CV1184" i="319"/>
  <c r="CV1183" i="319"/>
  <c r="CV1182" i="319"/>
  <c r="CV1181" i="319"/>
  <c r="CV1180" i="319"/>
  <c r="CV1179" i="319"/>
  <c r="CV1178" i="319"/>
  <c r="CV1177" i="319"/>
  <c r="CV1176" i="319"/>
  <c r="CV1175" i="319"/>
  <c r="CV1174" i="319"/>
  <c r="CV1173" i="319"/>
  <c r="CV1172" i="319"/>
  <c r="CV1171" i="319"/>
  <c r="CV1170" i="319"/>
  <c r="CV1169" i="319"/>
  <c r="CV1168" i="319"/>
  <c r="CV1167" i="319"/>
  <c r="CV1166" i="319"/>
  <c r="CV1165" i="319"/>
  <c r="CV1164" i="319"/>
  <c r="CV1163" i="319"/>
  <c r="CV1162" i="319"/>
  <c r="CV1161" i="319"/>
  <c r="CV1160" i="319"/>
  <c r="CV1159" i="319"/>
  <c r="CV1158" i="319"/>
  <c r="CV1157" i="319"/>
  <c r="CV1156" i="319"/>
  <c r="CV1155" i="319"/>
  <c r="CV1154" i="319"/>
  <c r="CV1153" i="319"/>
  <c r="CV1152" i="319"/>
  <c r="CV1151" i="319"/>
  <c r="CV1150" i="319"/>
  <c r="CV1149" i="319"/>
  <c r="CV1148" i="319"/>
  <c r="CV1147" i="319"/>
  <c r="CV1146" i="319"/>
  <c r="CV1145" i="319"/>
  <c r="CV1144" i="319"/>
  <c r="CV1143" i="319"/>
  <c r="CV1142" i="319"/>
  <c r="CV1141" i="319"/>
  <c r="CV1140" i="319"/>
  <c r="CV1139" i="319"/>
  <c r="CV1138" i="319"/>
  <c r="CV1137" i="319"/>
  <c r="CV1136" i="319"/>
  <c r="CV1135" i="319"/>
  <c r="CV1134" i="319"/>
  <c r="CV1133" i="319"/>
  <c r="CV1132" i="319"/>
  <c r="CV1131" i="319"/>
  <c r="CV1130" i="319"/>
  <c r="CV1129" i="319"/>
  <c r="CV1128" i="319"/>
  <c r="CV1127" i="319"/>
  <c r="CV1126" i="319"/>
  <c r="CV1125" i="319"/>
  <c r="CV1124" i="319"/>
  <c r="CV1123" i="319"/>
  <c r="CV1122" i="319"/>
  <c r="CV1121" i="319"/>
  <c r="CV1120" i="319"/>
  <c r="CV1119" i="319"/>
  <c r="CV1118" i="319"/>
  <c r="CV1117" i="319"/>
  <c r="CV1116" i="319"/>
  <c r="CV1115" i="319"/>
  <c r="CV1114" i="319"/>
  <c r="CV1113" i="319"/>
  <c r="CV1112" i="319"/>
  <c r="CV1111" i="319"/>
  <c r="CV1110" i="319"/>
  <c r="CV1109" i="319"/>
  <c r="CV1108" i="319"/>
  <c r="CV1107" i="319"/>
  <c r="CV1106" i="319"/>
  <c r="CV1105" i="319"/>
  <c r="CV1104" i="319"/>
  <c r="CV1103" i="319"/>
  <c r="CV1102" i="319"/>
  <c r="CV1101" i="319"/>
  <c r="CV1100" i="319"/>
  <c r="CV1099" i="319"/>
  <c r="CV1098" i="319"/>
  <c r="CV1097" i="319"/>
  <c r="CV1096" i="319"/>
  <c r="CV1095" i="319"/>
  <c r="CV1094" i="319"/>
  <c r="CV1093" i="319"/>
  <c r="CV1092" i="319"/>
  <c r="CV1091" i="319"/>
  <c r="CV1090" i="319"/>
  <c r="CV1089" i="319"/>
  <c r="CV1088" i="319"/>
  <c r="CV1087" i="319"/>
  <c r="CV1086" i="319"/>
  <c r="CV1085" i="319"/>
  <c r="CV1084" i="319"/>
  <c r="CV1083" i="319"/>
  <c r="CV1082" i="319"/>
  <c r="CV1081" i="319"/>
  <c r="CV1080" i="319"/>
  <c r="CV1079" i="319"/>
  <c r="CV1078" i="319"/>
  <c r="CV1077" i="319"/>
  <c r="CV1076" i="319"/>
  <c r="CV1075" i="319"/>
  <c r="CV1074" i="319"/>
  <c r="CV1073" i="319"/>
  <c r="CV1072" i="319"/>
  <c r="CV1071" i="319"/>
  <c r="CV1070" i="319"/>
  <c r="CV1069" i="319"/>
  <c r="CV1068" i="319"/>
  <c r="CV1067" i="319"/>
  <c r="S1067" i="319"/>
  <c r="CV1066" i="319"/>
  <c r="S1066" i="319"/>
  <c r="CV1065" i="319"/>
  <c r="S1065" i="319"/>
  <c r="CV1064" i="319"/>
  <c r="S1064" i="319"/>
  <c r="CV1063" i="319"/>
  <c r="S1063" i="319"/>
  <c r="CV1062" i="319"/>
  <c r="S1062" i="319"/>
  <c r="CV1061" i="319"/>
  <c r="S1061" i="319"/>
  <c r="CV1060" i="319"/>
  <c r="S1060" i="319"/>
  <c r="CV1059" i="319"/>
  <c r="S1059" i="319"/>
  <c r="CV1058" i="319"/>
  <c r="S1058" i="319"/>
  <c r="CV1057" i="319"/>
  <c r="S1057" i="319"/>
  <c r="CV1056" i="319"/>
  <c r="S1056" i="319"/>
  <c r="CV1055" i="319"/>
  <c r="S1055" i="319"/>
  <c r="CV1054" i="319"/>
  <c r="S1054" i="319"/>
  <c r="CV1053" i="319"/>
  <c r="S1053" i="319"/>
  <c r="CV1052" i="319"/>
  <c r="S1052" i="319"/>
  <c r="CV1051" i="319"/>
  <c r="S1051" i="319"/>
  <c r="CV1050" i="319"/>
  <c r="S1050" i="319"/>
  <c r="CV1049" i="319"/>
  <c r="S1049" i="319"/>
  <c r="CV1048" i="319"/>
  <c r="S1048" i="319"/>
  <c r="CV1047" i="319"/>
  <c r="S1047" i="319"/>
  <c r="CV1046" i="319"/>
  <c r="S1046" i="319"/>
  <c r="CV1045" i="319"/>
  <c r="S1045" i="319"/>
  <c r="CV1044" i="319"/>
  <c r="S1044" i="319"/>
  <c r="CV1043" i="319"/>
  <c r="S1043" i="319"/>
  <c r="CV1042" i="319"/>
  <c r="S1042" i="319"/>
  <c r="CV1041" i="319"/>
  <c r="S1041" i="319"/>
  <c r="CV1040" i="319"/>
  <c r="S1040" i="319"/>
  <c r="CV1039" i="319"/>
  <c r="S1039" i="319"/>
  <c r="CV1038" i="319"/>
  <c r="S1038" i="319"/>
  <c r="CV1037" i="319"/>
  <c r="S1037" i="319"/>
  <c r="CV1036" i="319"/>
  <c r="S1036" i="319"/>
  <c r="CV1035" i="319"/>
  <c r="S1035" i="319"/>
  <c r="CV1034" i="319"/>
  <c r="CH1034" i="319"/>
  <c r="S1034" i="319"/>
  <c r="CV1033" i="319"/>
  <c r="CH1033" i="319"/>
  <c r="S1033" i="319"/>
  <c r="CV1032" i="319"/>
  <c r="CH1032" i="319"/>
  <c r="S1032" i="319"/>
  <c r="CV1031" i="319"/>
  <c r="CH1031" i="319"/>
  <c r="S1031" i="319"/>
  <c r="CV1030" i="319"/>
  <c r="CH1030" i="319"/>
  <c r="S1030" i="319"/>
  <c r="CV1029" i="319"/>
  <c r="CH1029" i="319"/>
  <c r="S1029" i="319"/>
  <c r="CV1028" i="319"/>
  <c r="CH1028" i="319"/>
  <c r="S1028" i="319"/>
  <c r="CV1027" i="319"/>
  <c r="CH1027" i="319"/>
  <c r="S1027" i="319"/>
  <c r="CV1026" i="319"/>
  <c r="CH1026" i="319"/>
  <c r="S1026" i="319"/>
  <c r="CV1025" i="319"/>
  <c r="CH1025" i="319"/>
  <c r="S1025" i="319"/>
  <c r="CV1024" i="319"/>
  <c r="CH1024" i="319"/>
  <c r="S1024" i="319"/>
  <c r="CV1023" i="319"/>
  <c r="CH1023" i="319"/>
  <c r="S1023" i="319"/>
  <c r="CV1022" i="319"/>
  <c r="CH1022" i="319"/>
  <c r="S1022" i="319"/>
  <c r="CV1021" i="319"/>
  <c r="CH1021" i="319"/>
  <c r="S1021" i="319"/>
  <c r="CV1020" i="319"/>
  <c r="CH1020" i="319"/>
  <c r="S1020" i="319"/>
  <c r="CV1019" i="319"/>
  <c r="CH1019" i="319"/>
  <c r="S1019" i="319"/>
  <c r="CV1018" i="319"/>
  <c r="CH1018" i="319"/>
  <c r="S1018" i="319"/>
  <c r="CV1017" i="319"/>
  <c r="CH1017" i="319"/>
  <c r="S1017" i="319"/>
  <c r="CV1016" i="319"/>
  <c r="CH1016" i="319"/>
  <c r="S1016" i="319"/>
  <c r="CV1015" i="319"/>
  <c r="CH1015" i="319"/>
  <c r="S1015" i="319"/>
  <c r="CV1014" i="319"/>
  <c r="CH1014" i="319"/>
  <c r="S1014" i="319"/>
  <c r="CV1013" i="319"/>
  <c r="CH1013" i="319"/>
  <c r="S1013" i="319"/>
  <c r="CV1012" i="319"/>
  <c r="CH1012" i="319"/>
  <c r="S1012" i="319"/>
  <c r="CV1011" i="319"/>
  <c r="CH1011" i="319"/>
  <c r="S1011" i="319"/>
  <c r="CV1010" i="319"/>
  <c r="CH1010" i="319"/>
  <c r="S1010" i="319"/>
  <c r="CV1009" i="319"/>
  <c r="CH1009" i="319"/>
  <c r="S1009" i="319"/>
  <c r="CV1008" i="319"/>
  <c r="CH1008" i="319"/>
  <c r="S1008" i="319"/>
  <c r="CV1007" i="319"/>
  <c r="CH1007" i="319"/>
  <c r="S1007" i="319"/>
  <c r="CV1006" i="319"/>
  <c r="CH1006" i="319"/>
  <c r="S1006" i="319"/>
  <c r="CV1005" i="319"/>
  <c r="CH1005" i="319"/>
  <c r="S1005" i="319"/>
  <c r="CV1004" i="319"/>
  <c r="CH1004" i="319"/>
  <c r="S1004" i="319"/>
  <c r="CV1003" i="319"/>
  <c r="CH1003" i="319"/>
  <c r="S1003" i="319"/>
  <c r="CV1002" i="319"/>
  <c r="CH1002" i="319"/>
  <c r="S1002" i="319"/>
  <c r="CV1001" i="319"/>
  <c r="CH1001" i="319"/>
  <c r="S1001" i="319"/>
  <c r="CV1000" i="319"/>
  <c r="CH1000" i="319"/>
  <c r="S1000" i="319"/>
  <c r="CV999" i="319"/>
  <c r="CH999" i="319"/>
  <c r="S999" i="319"/>
  <c r="CV998" i="319"/>
  <c r="CH998" i="319"/>
  <c r="S998" i="319"/>
  <c r="CV997" i="319"/>
  <c r="CH997" i="319"/>
  <c r="S997" i="319"/>
  <c r="CV996" i="319"/>
  <c r="CH996" i="319"/>
  <c r="S996" i="319"/>
  <c r="CV995" i="319"/>
  <c r="CH995" i="319"/>
  <c r="S995" i="319"/>
  <c r="CV994" i="319"/>
  <c r="CH994" i="319"/>
  <c r="S994" i="319"/>
  <c r="CV993" i="319"/>
  <c r="CH993" i="319"/>
  <c r="S993" i="319"/>
  <c r="CV992" i="319"/>
  <c r="CH992" i="319"/>
  <c r="S992" i="319"/>
  <c r="CV991" i="319"/>
  <c r="CH991" i="319"/>
  <c r="S991" i="319"/>
  <c r="CV990" i="319"/>
  <c r="CH990" i="319"/>
  <c r="S990" i="319"/>
  <c r="CV989" i="319"/>
  <c r="CH989" i="319"/>
  <c r="S989" i="319"/>
  <c r="CV988" i="319"/>
  <c r="CH988" i="319"/>
  <c r="S988" i="319"/>
  <c r="CV987" i="319"/>
  <c r="CH987" i="319"/>
  <c r="S987" i="319"/>
  <c r="CV986" i="319"/>
  <c r="CH986" i="319"/>
  <c r="S986" i="319"/>
  <c r="CV985" i="319"/>
  <c r="CH985" i="319"/>
  <c r="S985" i="319"/>
  <c r="CV984" i="319"/>
  <c r="CH984" i="319"/>
  <c r="S984" i="319"/>
  <c r="CV983" i="319"/>
  <c r="CH983" i="319"/>
  <c r="S983" i="319"/>
  <c r="CV982" i="319"/>
  <c r="CH982" i="319"/>
  <c r="S982" i="319"/>
  <c r="CV981" i="319"/>
  <c r="CH981" i="319"/>
  <c r="S981" i="319"/>
  <c r="CV980" i="319"/>
  <c r="CH980" i="319"/>
  <c r="S980" i="319"/>
  <c r="CV979" i="319"/>
  <c r="CH979" i="319"/>
  <c r="S979" i="319"/>
  <c r="CV978" i="319"/>
  <c r="CH978" i="319"/>
  <c r="S978" i="319"/>
  <c r="CV977" i="319"/>
  <c r="CH977" i="319"/>
  <c r="S977" i="319"/>
  <c r="CV976" i="319"/>
  <c r="CH976" i="319"/>
  <c r="S976" i="319"/>
  <c r="CV975" i="319"/>
  <c r="CH975" i="319"/>
  <c r="S975" i="319"/>
  <c r="CV974" i="319"/>
  <c r="CH974" i="319"/>
  <c r="S974" i="319"/>
  <c r="CV973" i="319"/>
  <c r="CH973" i="319"/>
  <c r="S973" i="319"/>
  <c r="CV972" i="319"/>
  <c r="CH972" i="319"/>
  <c r="S972" i="319"/>
  <c r="CV971" i="319"/>
  <c r="CH971" i="319"/>
  <c r="S971" i="319"/>
  <c r="CV970" i="319"/>
  <c r="CH970" i="319"/>
  <c r="S970" i="319"/>
  <c r="CV969" i="319"/>
  <c r="CH969" i="319"/>
  <c r="S969" i="319"/>
  <c r="CV968" i="319"/>
  <c r="CH968" i="319"/>
  <c r="S968" i="319"/>
  <c r="CV967" i="319"/>
  <c r="CH967" i="319"/>
  <c r="S967" i="319"/>
  <c r="CV966" i="319"/>
  <c r="CH966" i="319"/>
  <c r="S966" i="319"/>
  <c r="CV965" i="319"/>
  <c r="CH965" i="319"/>
  <c r="S965" i="319"/>
  <c r="CV964" i="319"/>
  <c r="CH964" i="319"/>
  <c r="S964" i="319"/>
  <c r="CV963" i="319"/>
  <c r="CH963" i="319"/>
  <c r="S963" i="319"/>
  <c r="CV962" i="319"/>
  <c r="CH962" i="319"/>
  <c r="S962" i="319"/>
  <c r="CV961" i="319"/>
  <c r="CH961" i="319"/>
  <c r="S961" i="319"/>
  <c r="CV960" i="319"/>
  <c r="CH960" i="319"/>
  <c r="S960" i="319"/>
  <c r="CV959" i="319"/>
  <c r="CH959" i="319"/>
  <c r="S959" i="319"/>
  <c r="CV958" i="319"/>
  <c r="CH958" i="319"/>
  <c r="S958" i="319"/>
  <c r="CV957" i="319"/>
  <c r="CH957" i="319"/>
  <c r="S957" i="319"/>
  <c r="CV956" i="319"/>
  <c r="CH956" i="319"/>
  <c r="S956" i="319"/>
  <c r="CV955" i="319"/>
  <c r="CH955" i="319"/>
  <c r="S955" i="319"/>
  <c r="CV954" i="319"/>
  <c r="CH954" i="319"/>
  <c r="S954" i="319"/>
  <c r="CV953" i="319"/>
  <c r="CH953" i="319"/>
  <c r="S953" i="319"/>
  <c r="CV952" i="319"/>
  <c r="CH952" i="319"/>
  <c r="S952" i="319"/>
  <c r="CV951" i="319"/>
  <c r="CH951" i="319"/>
  <c r="S951" i="319"/>
  <c r="CV950" i="319"/>
  <c r="CH950" i="319"/>
  <c r="S950" i="319"/>
  <c r="CV949" i="319"/>
  <c r="CH949" i="319"/>
  <c r="S949" i="319"/>
  <c r="CV948" i="319"/>
  <c r="CH948" i="319"/>
  <c r="S948" i="319"/>
  <c r="CV947" i="319"/>
  <c r="CH947" i="319"/>
  <c r="S947" i="319"/>
  <c r="CV946" i="319"/>
  <c r="CH946" i="319"/>
  <c r="S946" i="319"/>
  <c r="CV945" i="319"/>
  <c r="CH945" i="319"/>
  <c r="S945" i="319"/>
  <c r="CV944" i="319"/>
  <c r="CH944" i="319"/>
  <c r="S944" i="319"/>
  <c r="CV943" i="319"/>
  <c r="CH943" i="319"/>
  <c r="S943" i="319"/>
  <c r="CV942" i="319"/>
  <c r="CH942" i="319"/>
  <c r="S942" i="319"/>
  <c r="CV941" i="319"/>
  <c r="CH941" i="319"/>
  <c r="S941" i="319"/>
  <c r="CV940" i="319"/>
  <c r="CH940" i="319"/>
  <c r="S940" i="319"/>
  <c r="CV939" i="319"/>
  <c r="CH939" i="319"/>
  <c r="S939" i="319"/>
  <c r="CV938" i="319"/>
  <c r="CH938" i="319"/>
  <c r="S938" i="319"/>
  <c r="CV937" i="319"/>
  <c r="CH937" i="319"/>
  <c r="S937" i="319"/>
  <c r="CV936" i="319"/>
  <c r="CH936" i="319"/>
  <c r="S936" i="319"/>
  <c r="CV935" i="319"/>
  <c r="CH935" i="319"/>
  <c r="S935" i="319"/>
  <c r="CV934" i="319"/>
  <c r="CH934" i="319"/>
  <c r="S934" i="319"/>
  <c r="CV933" i="319"/>
  <c r="CH933" i="319"/>
  <c r="S933" i="319"/>
  <c r="CV932" i="319"/>
  <c r="CH932" i="319"/>
  <c r="S932" i="319"/>
  <c r="CV931" i="319"/>
  <c r="CH931" i="319"/>
  <c r="S931" i="319"/>
  <c r="CV930" i="319"/>
  <c r="CH930" i="319"/>
  <c r="S930" i="319"/>
  <c r="CV929" i="319"/>
  <c r="CH929" i="319"/>
  <c r="S929" i="319"/>
  <c r="CV928" i="319"/>
  <c r="CH928" i="319"/>
  <c r="S928" i="319"/>
  <c r="CV927" i="319"/>
  <c r="CH927" i="319"/>
  <c r="S927" i="319"/>
  <c r="CV926" i="319"/>
  <c r="CH926" i="319"/>
  <c r="S926" i="319"/>
  <c r="CV925" i="319"/>
  <c r="CH925" i="319"/>
  <c r="S925" i="319"/>
  <c r="CV924" i="319"/>
  <c r="CH924" i="319"/>
  <c r="S924" i="319"/>
  <c r="CV923" i="319"/>
  <c r="CH923" i="319"/>
  <c r="S923" i="319"/>
  <c r="CV922" i="319"/>
  <c r="CH922" i="319"/>
  <c r="S922" i="319"/>
  <c r="CV921" i="319"/>
  <c r="CH921" i="319"/>
  <c r="S921" i="319"/>
  <c r="CV920" i="319"/>
  <c r="CH920" i="319"/>
  <c r="S920" i="319"/>
  <c r="CV919" i="319"/>
  <c r="CH919" i="319"/>
  <c r="S919" i="319"/>
  <c r="CV918" i="319"/>
  <c r="CH918" i="319"/>
  <c r="S918" i="319"/>
  <c r="CV917" i="319"/>
  <c r="CH917" i="319"/>
  <c r="S917" i="319"/>
  <c r="CV916" i="319"/>
  <c r="CH916" i="319"/>
  <c r="S916" i="319"/>
  <c r="CV915" i="319"/>
  <c r="CH915" i="319"/>
  <c r="S915" i="319"/>
  <c r="CV914" i="319"/>
  <c r="CH914" i="319"/>
  <c r="S914" i="319"/>
  <c r="CV913" i="319"/>
  <c r="CH913" i="319"/>
  <c r="S913" i="319"/>
  <c r="CV912" i="319"/>
  <c r="CH912" i="319"/>
  <c r="S912" i="319"/>
  <c r="CV911" i="319"/>
  <c r="CH911" i="319"/>
  <c r="S911" i="319"/>
  <c r="CV910" i="319"/>
  <c r="CH910" i="319"/>
  <c r="S910" i="319"/>
  <c r="CV909" i="319"/>
  <c r="CH909" i="319"/>
  <c r="S909" i="319"/>
  <c r="CV908" i="319"/>
  <c r="CH908" i="319"/>
  <c r="S908" i="319"/>
  <c r="CV907" i="319"/>
  <c r="CH907" i="319"/>
  <c r="S907" i="319"/>
  <c r="CV906" i="319"/>
  <c r="CH906" i="319"/>
  <c r="S906" i="319"/>
  <c r="CV905" i="319"/>
  <c r="CH905" i="319"/>
  <c r="S905" i="319"/>
  <c r="CV904" i="319"/>
  <c r="CH904" i="319"/>
  <c r="S904" i="319"/>
  <c r="CV903" i="319"/>
  <c r="CH903" i="319"/>
  <c r="S903" i="319"/>
  <c r="CV902" i="319"/>
  <c r="CH902" i="319"/>
  <c r="S902" i="319"/>
  <c r="CV901" i="319"/>
  <c r="CH901" i="319"/>
  <c r="S901" i="319"/>
  <c r="CV900" i="319"/>
  <c r="CH900" i="319"/>
  <c r="S900" i="319"/>
  <c r="CV899" i="319"/>
  <c r="CH899" i="319"/>
  <c r="S899" i="319"/>
  <c r="CV898" i="319"/>
  <c r="CH898" i="319"/>
  <c r="S898" i="319"/>
  <c r="CV897" i="319"/>
  <c r="CH897" i="319"/>
  <c r="S897" i="319"/>
  <c r="CV896" i="319"/>
  <c r="CH896" i="319"/>
  <c r="S896" i="319"/>
  <c r="CV895" i="319"/>
  <c r="CH895" i="319"/>
  <c r="S895" i="319"/>
  <c r="CV894" i="319"/>
  <c r="CH894" i="319"/>
  <c r="S894" i="319"/>
  <c r="CV893" i="319"/>
  <c r="CH893" i="319"/>
  <c r="S893" i="319"/>
  <c r="CV892" i="319"/>
  <c r="CH892" i="319"/>
  <c r="S892" i="319"/>
  <c r="CV891" i="319"/>
  <c r="CH891" i="319"/>
  <c r="S891" i="319"/>
  <c r="CV890" i="319"/>
  <c r="CH890" i="319"/>
  <c r="S890" i="319"/>
  <c r="CV889" i="319"/>
  <c r="CH889" i="319"/>
  <c r="S889" i="319"/>
  <c r="CV888" i="319"/>
  <c r="CH888" i="319"/>
  <c r="S888" i="319"/>
  <c r="CV887" i="319"/>
  <c r="CH887" i="319"/>
  <c r="S887" i="319"/>
  <c r="CV886" i="319"/>
  <c r="CH886" i="319"/>
  <c r="S886" i="319"/>
  <c r="CV885" i="319"/>
  <c r="CH885" i="319"/>
  <c r="S885" i="319"/>
  <c r="CV884" i="319"/>
  <c r="CH884" i="319"/>
  <c r="S884" i="319"/>
  <c r="CV883" i="319"/>
  <c r="CH883" i="319"/>
  <c r="S883" i="319"/>
  <c r="CV882" i="319"/>
  <c r="CH882" i="319"/>
  <c r="S882" i="319"/>
  <c r="CV881" i="319"/>
  <c r="CH881" i="319"/>
  <c r="S881" i="319"/>
  <c r="CV880" i="319"/>
  <c r="CH880" i="319"/>
  <c r="S880" i="319"/>
  <c r="CV879" i="319"/>
  <c r="CH879" i="319"/>
  <c r="S879" i="319"/>
  <c r="CV878" i="319"/>
  <c r="CH878" i="319"/>
  <c r="S878" i="319"/>
  <c r="CV877" i="319"/>
  <c r="CH877" i="319"/>
  <c r="S877" i="319"/>
  <c r="CV876" i="319"/>
  <c r="CH876" i="319"/>
  <c r="S876" i="319"/>
  <c r="CV875" i="319"/>
  <c r="CH875" i="319"/>
  <c r="S875" i="319"/>
  <c r="CV874" i="319"/>
  <c r="CH874" i="319"/>
  <c r="S874" i="319"/>
  <c r="CV873" i="319"/>
  <c r="CH873" i="319"/>
  <c r="S873" i="319"/>
  <c r="CV872" i="319"/>
  <c r="CH872" i="319"/>
  <c r="S872" i="319"/>
  <c r="CV871" i="319"/>
  <c r="CH871" i="319"/>
  <c r="S871" i="319"/>
  <c r="CV870" i="319"/>
  <c r="CH870" i="319"/>
  <c r="S870" i="319"/>
  <c r="CV869" i="319"/>
  <c r="CH869" i="319"/>
  <c r="S869" i="319"/>
  <c r="CV868" i="319"/>
  <c r="CH868" i="319"/>
  <c r="S868" i="319"/>
  <c r="CV867" i="319"/>
  <c r="CH867" i="319"/>
  <c r="S867" i="319"/>
  <c r="CV866" i="319"/>
  <c r="CH866" i="319"/>
  <c r="S866" i="319"/>
  <c r="CV865" i="319"/>
  <c r="CH865" i="319"/>
  <c r="S865" i="319"/>
  <c r="CV864" i="319"/>
  <c r="CH864" i="319"/>
  <c r="S864" i="319"/>
  <c r="CV863" i="319"/>
  <c r="CH863" i="319"/>
  <c r="S863" i="319"/>
  <c r="CV862" i="319"/>
  <c r="CH862" i="319"/>
  <c r="S862" i="319"/>
  <c r="CV861" i="319"/>
  <c r="CH861" i="319"/>
  <c r="S861" i="319"/>
  <c r="CV860" i="319"/>
  <c r="CH860" i="319"/>
  <c r="S860" i="319"/>
  <c r="CV859" i="319"/>
  <c r="CH859" i="319"/>
  <c r="S859" i="319"/>
  <c r="CV858" i="319"/>
  <c r="CH858" i="319"/>
  <c r="S858" i="319"/>
  <c r="CV857" i="319"/>
  <c r="CH857" i="319"/>
  <c r="S857" i="319"/>
  <c r="CV856" i="319"/>
  <c r="CH856" i="319"/>
  <c r="S856" i="319"/>
  <c r="CV855" i="319"/>
  <c r="CL855" i="319"/>
  <c r="CN855" i="319" s="1"/>
  <c r="CP855" i="319" s="1"/>
  <c r="CH855" i="319"/>
  <c r="S855" i="319"/>
  <c r="CL854" i="319"/>
  <c r="CN854" i="319" s="1"/>
  <c r="CH854" i="319"/>
  <c r="S854" i="319"/>
  <c r="CL853" i="319"/>
  <c r="CN853" i="319" s="1"/>
  <c r="CH853" i="319"/>
  <c r="S853" i="319"/>
  <c r="CL852" i="319"/>
  <c r="CN852" i="319" s="1"/>
  <c r="CH852" i="319"/>
  <c r="S852" i="319"/>
  <c r="CL851" i="319"/>
  <c r="CH851" i="319"/>
  <c r="S851" i="319"/>
  <c r="CV850" i="319"/>
  <c r="CL850" i="319"/>
  <c r="CN850" i="319" s="1"/>
  <c r="CP850" i="319" s="1"/>
  <c r="CH850" i="319"/>
  <c r="S850" i="319"/>
  <c r="CL849" i="319"/>
  <c r="CN849" i="319" s="1"/>
  <c r="CH849" i="319"/>
  <c r="S849" i="319"/>
  <c r="CL848" i="319"/>
  <c r="CN848" i="319" s="1"/>
  <c r="CH848" i="319"/>
  <c r="S848" i="319"/>
  <c r="CL847" i="319"/>
  <c r="CN847" i="319" s="1"/>
  <c r="CH847" i="319"/>
  <c r="S847" i="319"/>
  <c r="CL846" i="319"/>
  <c r="CH846" i="319"/>
  <c r="S846" i="319"/>
  <c r="CV845" i="319"/>
  <c r="CL845" i="319"/>
  <c r="CN845" i="319" s="1"/>
  <c r="CP845" i="319" s="1"/>
  <c r="CH845" i="319"/>
  <c r="S845" i="319"/>
  <c r="CL844" i="319"/>
  <c r="CN844" i="319" s="1"/>
  <c r="CH844" i="319"/>
  <c r="S844" i="319"/>
  <c r="CL843" i="319"/>
  <c r="CN843" i="319" s="1"/>
  <c r="CH843" i="319"/>
  <c r="S843" i="319"/>
  <c r="CL842" i="319"/>
  <c r="CN842" i="319" s="1"/>
  <c r="CH842" i="319"/>
  <c r="S842" i="319"/>
  <c r="CL841" i="319"/>
  <c r="CH841" i="319"/>
  <c r="S841" i="319"/>
  <c r="CV840" i="319"/>
  <c r="CL840" i="319"/>
  <c r="CN840" i="319" s="1"/>
  <c r="CP840" i="319" s="1"/>
  <c r="CN839" i="319"/>
  <c r="CL839" i="319"/>
  <c r="CH839" i="319"/>
  <c r="S839" i="319"/>
  <c r="CL838" i="319"/>
  <c r="CN838" i="319" s="1"/>
  <c r="CH838" i="319"/>
  <c r="S838" i="319"/>
  <c r="CL837" i="319"/>
  <c r="CN837" i="319" s="1"/>
  <c r="CV837" i="319" s="1"/>
  <c r="CH837" i="319"/>
  <c r="S837" i="319"/>
  <c r="CL836" i="319"/>
  <c r="CN836" i="319" s="1"/>
  <c r="CH836" i="319"/>
  <c r="S836" i="319"/>
  <c r="CL835" i="319"/>
  <c r="CT840" i="319" s="1"/>
  <c r="CH835" i="319"/>
  <c r="S835" i="319"/>
  <c r="CV834" i="319"/>
  <c r="CL834" i="319"/>
  <c r="CN834" i="319" s="1"/>
  <c r="CP834" i="319" s="1"/>
  <c r="CH834" i="319"/>
  <c r="S834" i="319"/>
  <c r="CL833" i="319"/>
  <c r="CN833" i="319" s="1"/>
  <c r="CH833" i="319"/>
  <c r="S833" i="319"/>
  <c r="CL832" i="319"/>
  <c r="CN832" i="319" s="1"/>
  <c r="CH832" i="319"/>
  <c r="S832" i="319"/>
  <c r="CN831" i="319"/>
  <c r="CL831" i="319"/>
  <c r="CH831" i="319"/>
  <c r="S831" i="319"/>
  <c r="CL830" i="319"/>
  <c r="CH830" i="319"/>
  <c r="S830" i="319"/>
  <c r="CV829" i="319"/>
  <c r="CT829" i="319"/>
  <c r="CL829" i="319"/>
  <c r="CN829" i="319" s="1"/>
  <c r="CP829" i="319" s="1"/>
  <c r="CH829" i="319"/>
  <c r="S829" i="319"/>
  <c r="CL828" i="319"/>
  <c r="CN828" i="319" s="1"/>
  <c r="CV828" i="319" s="1"/>
  <c r="CH828" i="319"/>
  <c r="S828" i="319"/>
  <c r="CL827" i="319"/>
  <c r="CN827" i="319" s="1"/>
  <c r="CH827" i="319"/>
  <c r="S827" i="319"/>
  <c r="CL826" i="319"/>
  <c r="CN826" i="319" s="1"/>
  <c r="CV826" i="319" s="1"/>
  <c r="CH826" i="319"/>
  <c r="S826" i="319"/>
  <c r="CL825" i="319"/>
  <c r="CN825" i="319" s="1"/>
  <c r="CV824" i="319"/>
  <c r="CL824" i="319"/>
  <c r="CN824" i="319" s="1"/>
  <c r="CP824" i="319" s="1"/>
  <c r="CH824" i="319"/>
  <c r="S824" i="319"/>
  <c r="CL823" i="319"/>
  <c r="CN823" i="319" s="1"/>
  <c r="CH823" i="319"/>
  <c r="S823" i="319"/>
  <c r="CL822" i="319"/>
  <c r="CN822" i="319" s="1"/>
  <c r="CH822" i="319"/>
  <c r="S822" i="319"/>
  <c r="CL821" i="319"/>
  <c r="CN821" i="319" s="1"/>
  <c r="CH821" i="319"/>
  <c r="S821" i="319"/>
  <c r="CL820" i="319"/>
  <c r="CV819" i="319"/>
  <c r="CL819" i="319"/>
  <c r="CN819" i="319" s="1"/>
  <c r="CP819" i="319" s="1"/>
  <c r="CH819" i="319"/>
  <c r="S819" i="319"/>
  <c r="CL818" i="319"/>
  <c r="CN818" i="319" s="1"/>
  <c r="CH818" i="319"/>
  <c r="S818" i="319"/>
  <c r="CL817" i="319"/>
  <c r="CN817" i="319" s="1"/>
  <c r="CV817" i="319" s="1"/>
  <c r="CH817" i="319"/>
  <c r="S817" i="319"/>
  <c r="CN816" i="319"/>
  <c r="CL816" i="319"/>
  <c r="CH816" i="319"/>
  <c r="S816" i="319"/>
  <c r="CL815" i="319"/>
  <c r="CH815" i="319"/>
  <c r="S815" i="319"/>
  <c r="CV814" i="319"/>
  <c r="CT814" i="319"/>
  <c r="CL814" i="319"/>
  <c r="CN814" i="319" s="1"/>
  <c r="CP814" i="319" s="1"/>
  <c r="CH814" i="319"/>
  <c r="S814" i="319"/>
  <c r="CL813" i="319"/>
  <c r="CN813" i="319" s="1"/>
  <c r="CP813" i="319" s="1"/>
  <c r="CH813" i="319"/>
  <c r="S813" i="319"/>
  <c r="CL812" i="319"/>
  <c r="CN812" i="319" s="1"/>
  <c r="CH812" i="319"/>
  <c r="S812" i="319"/>
  <c r="CL811" i="319"/>
  <c r="CN811" i="319" s="1"/>
  <c r="CH811" i="319"/>
  <c r="S811" i="319"/>
  <c r="CL810" i="319"/>
  <c r="CN810" i="319" s="1"/>
  <c r="CH810" i="319"/>
  <c r="S810" i="319"/>
  <c r="CN809" i="319"/>
  <c r="CL809" i="319"/>
  <c r="CH809" i="319"/>
  <c r="S809" i="319"/>
  <c r="CV806" i="319"/>
  <c r="CL806" i="319"/>
  <c r="CN806" i="319" s="1"/>
  <c r="CP806" i="319" s="1"/>
  <c r="CH806" i="319"/>
  <c r="S806" i="319"/>
  <c r="CN805" i="319"/>
  <c r="CL805" i="319"/>
  <c r="CH805" i="319"/>
  <c r="S805" i="319"/>
  <c r="CL804" i="319"/>
  <c r="CT808" i="319" s="1"/>
  <c r="CH804" i="319"/>
  <c r="S804" i="319"/>
  <c r="CV803" i="319"/>
  <c r="CL803" i="319"/>
  <c r="CN803" i="319" s="1"/>
  <c r="CP803" i="319" s="1"/>
  <c r="CH803" i="319"/>
  <c r="S803" i="319"/>
  <c r="CL802" i="319"/>
  <c r="CN802" i="319" s="1"/>
  <c r="CH802" i="319"/>
  <c r="S802" i="319"/>
  <c r="CL801" i="319"/>
  <c r="CN801" i="319" s="1"/>
  <c r="CH801" i="319"/>
  <c r="S801" i="319"/>
  <c r="CL800" i="319"/>
  <c r="CN800" i="319" s="1"/>
  <c r="CH800" i="319"/>
  <c r="S800" i="319"/>
  <c r="CL799" i="319"/>
  <c r="CH799" i="319"/>
  <c r="S799" i="319"/>
  <c r="CV798" i="319"/>
  <c r="CL798" i="319"/>
  <c r="CN798" i="319" s="1"/>
  <c r="CP798" i="319" s="1"/>
  <c r="CH798" i="319"/>
  <c r="S798" i="319"/>
  <c r="CL797" i="319"/>
  <c r="CN797" i="319" s="1"/>
  <c r="CH797" i="319"/>
  <c r="S797" i="319"/>
  <c r="CL796" i="319"/>
  <c r="CN796" i="319" s="1"/>
  <c r="CH796" i="319"/>
  <c r="S796" i="319"/>
  <c r="CL795" i="319"/>
  <c r="CN795" i="319" s="1"/>
  <c r="CH795" i="319"/>
  <c r="S795" i="319"/>
  <c r="CL794" i="319"/>
  <c r="CH794" i="319"/>
  <c r="S794" i="319"/>
  <c r="CV793" i="319"/>
  <c r="CL793" i="319"/>
  <c r="CN793" i="319" s="1"/>
  <c r="CP793" i="319" s="1"/>
  <c r="CH793" i="319"/>
  <c r="S793" i="319"/>
  <c r="CL792" i="319"/>
  <c r="CN792" i="319" s="1"/>
  <c r="CP792" i="319" s="1"/>
  <c r="CH792" i="319"/>
  <c r="S792" i="319"/>
  <c r="CL791" i="319"/>
  <c r="CN791" i="319" s="1"/>
  <c r="CH791" i="319"/>
  <c r="S791" i="319"/>
  <c r="CL790" i="319"/>
  <c r="CN790" i="319" s="1"/>
  <c r="CH790" i="319"/>
  <c r="S790" i="319"/>
  <c r="CL789" i="319"/>
  <c r="CN789" i="319" s="1"/>
  <c r="CH789" i="319"/>
  <c r="S789" i="319"/>
  <c r="CL788" i="319"/>
  <c r="CH788" i="319"/>
  <c r="S788" i="319"/>
  <c r="CV787" i="319"/>
  <c r="CL787" i="319"/>
  <c r="CN787" i="319" s="1"/>
  <c r="CP787" i="319" s="1"/>
  <c r="CH787" i="319"/>
  <c r="S787" i="319"/>
  <c r="CL786" i="319"/>
  <c r="CN786" i="319" s="1"/>
  <c r="CP786" i="319" s="1"/>
  <c r="CH786" i="319"/>
  <c r="S786" i="319"/>
  <c r="CL785" i="319"/>
  <c r="CN785" i="319" s="1"/>
  <c r="CH785" i="319"/>
  <c r="S785" i="319"/>
  <c r="CL784" i="319"/>
  <c r="CN784" i="319" s="1"/>
  <c r="CH784" i="319"/>
  <c r="S784" i="319"/>
  <c r="CL783" i="319"/>
  <c r="CN783" i="319" s="1"/>
  <c r="CV783" i="319" s="1"/>
  <c r="CH783" i="319"/>
  <c r="S783" i="319"/>
  <c r="CL782" i="319"/>
  <c r="CH782" i="319"/>
  <c r="S782" i="319"/>
  <c r="CV781" i="319"/>
  <c r="CL781" i="319"/>
  <c r="CN781" i="319" s="1"/>
  <c r="CP781" i="319" s="1"/>
  <c r="CH781" i="319"/>
  <c r="S781" i="319"/>
  <c r="CL780" i="319"/>
  <c r="CN780" i="319" s="1"/>
  <c r="CV780" i="319" s="1"/>
  <c r="CH780" i="319"/>
  <c r="S780" i="319"/>
  <c r="CP779" i="319"/>
  <c r="CL779" i="319"/>
  <c r="CN779" i="319" s="1"/>
  <c r="CV779" i="319" s="1"/>
  <c r="CH779" i="319"/>
  <c r="S779" i="319"/>
  <c r="CL778" i="319"/>
  <c r="CN778" i="319" s="1"/>
  <c r="CH778" i="319"/>
  <c r="S778" i="319"/>
  <c r="CL777" i="319"/>
  <c r="CN777" i="319" s="1"/>
  <c r="CH777" i="319"/>
  <c r="S777" i="319"/>
  <c r="CV776" i="319"/>
  <c r="CL776" i="319"/>
  <c r="CN776" i="319" s="1"/>
  <c r="CP776" i="319" s="1"/>
  <c r="CH776" i="319"/>
  <c r="S776" i="319"/>
  <c r="CL775" i="319"/>
  <c r="CN775" i="319" s="1"/>
  <c r="CH775" i="319"/>
  <c r="S775" i="319"/>
  <c r="CL774" i="319"/>
  <c r="CN774" i="319" s="1"/>
  <c r="CH774" i="319"/>
  <c r="S774" i="319"/>
  <c r="CP773" i="319"/>
  <c r="CL773" i="319"/>
  <c r="CN773" i="319" s="1"/>
  <c r="CV773" i="319" s="1"/>
  <c r="CH773" i="319"/>
  <c r="S773" i="319"/>
  <c r="CL772" i="319"/>
  <c r="CH772" i="319"/>
  <c r="S772" i="319"/>
  <c r="CV771" i="319"/>
  <c r="CL771" i="319"/>
  <c r="CN771" i="319" s="1"/>
  <c r="CP771" i="319" s="1"/>
  <c r="CH771" i="319"/>
  <c r="S771" i="319"/>
  <c r="CL770" i="319"/>
  <c r="CN770" i="319" s="1"/>
  <c r="CH770" i="319"/>
  <c r="S770" i="319"/>
  <c r="CL769" i="319"/>
  <c r="CN769" i="319" s="1"/>
  <c r="CV769" i="319" s="1"/>
  <c r="CH769" i="319"/>
  <c r="S769" i="319"/>
  <c r="CL768" i="319"/>
  <c r="CN768" i="319" s="1"/>
  <c r="CH768" i="319"/>
  <c r="S768" i="319"/>
  <c r="CL767" i="319"/>
  <c r="CH767" i="319"/>
  <c r="S767" i="319"/>
  <c r="CL766" i="319"/>
  <c r="CN766" i="319" s="1"/>
  <c r="CP766" i="319" s="1"/>
  <c r="CH766" i="319"/>
  <c r="S766" i="319"/>
  <c r="CL765" i="319"/>
  <c r="CN765" i="319" s="1"/>
  <c r="CV766" i="319" s="1"/>
  <c r="CH765" i="319"/>
  <c r="S765" i="319"/>
  <c r="CL764" i="319"/>
  <c r="CN764" i="319" s="1"/>
  <c r="CH764" i="319"/>
  <c r="S764" i="319"/>
  <c r="CL763" i="319"/>
  <c r="CN763" i="319" s="1"/>
  <c r="CH763" i="319"/>
  <c r="S763" i="319"/>
  <c r="CL762" i="319"/>
  <c r="CN762" i="319" s="1"/>
  <c r="CH762" i="319"/>
  <c r="S762" i="319"/>
  <c r="CL761" i="319"/>
  <c r="CN761" i="319" s="1"/>
  <c r="CV761" i="319" s="1"/>
  <c r="CH761" i="319"/>
  <c r="S761" i="319"/>
  <c r="CL760" i="319"/>
  <c r="CN760" i="319" s="1"/>
  <c r="CH760" i="319"/>
  <c r="S760" i="319"/>
  <c r="CL759" i="319"/>
  <c r="CN759" i="319" s="1"/>
  <c r="CH759" i="319"/>
  <c r="S759" i="319"/>
  <c r="K759" i="319"/>
  <c r="CL758" i="319"/>
  <c r="CN758" i="319" s="1"/>
  <c r="CH758" i="319"/>
  <c r="S758" i="319"/>
  <c r="K758" i="319"/>
  <c r="CN757" i="319"/>
  <c r="CL757" i="319"/>
  <c r="CH757" i="319"/>
  <c r="S757" i="319"/>
  <c r="K757" i="319"/>
  <c r="CL756" i="319"/>
  <c r="CH756" i="319"/>
  <c r="S756" i="319"/>
  <c r="K756" i="319"/>
  <c r="CL755" i="319"/>
  <c r="CN755" i="319" s="1"/>
  <c r="CH755" i="319"/>
  <c r="S755" i="319"/>
  <c r="K755" i="319"/>
  <c r="CL754" i="319"/>
  <c r="CN754" i="319" s="1"/>
  <c r="CH754" i="319"/>
  <c r="S754" i="319"/>
  <c r="K754" i="319"/>
  <c r="CL753" i="319"/>
  <c r="CN753" i="319" s="1"/>
  <c r="CP753" i="319" s="1"/>
  <c r="CH753" i="319"/>
  <c r="S753" i="319"/>
  <c r="K753" i="319"/>
  <c r="CL752" i="319"/>
  <c r="CN752" i="319" s="1"/>
  <c r="CH752" i="319"/>
  <c r="S752" i="319"/>
  <c r="K752" i="319"/>
  <c r="CL751" i="319"/>
  <c r="CH751" i="319"/>
  <c r="S751" i="319"/>
  <c r="K751" i="319"/>
  <c r="CL750" i="319"/>
  <c r="CN750" i="319" s="1"/>
  <c r="CH750" i="319"/>
  <c r="S750" i="319"/>
  <c r="K750" i="319"/>
  <c r="CL749" i="319"/>
  <c r="CN749" i="319" s="1"/>
  <c r="CP749" i="319" s="1"/>
  <c r="CH749" i="319"/>
  <c r="S749" i="319"/>
  <c r="K749" i="319"/>
  <c r="CL748" i="319"/>
  <c r="CN748" i="319" s="1"/>
  <c r="CH748" i="319"/>
  <c r="S748" i="319"/>
  <c r="K748" i="319"/>
  <c r="CL747" i="319"/>
  <c r="CN747" i="319" s="1"/>
  <c r="CH747" i="319"/>
  <c r="S747" i="319"/>
  <c r="K747" i="319"/>
  <c r="CL746" i="319"/>
  <c r="CN746" i="319" s="1"/>
  <c r="CH746" i="319"/>
  <c r="S746" i="319"/>
  <c r="K746" i="319"/>
  <c r="CL745" i="319"/>
  <c r="CN745" i="319" s="1"/>
  <c r="CH745" i="319"/>
  <c r="S745" i="319"/>
  <c r="K745" i="319"/>
  <c r="CL744" i="319"/>
  <c r="CN744" i="319" s="1"/>
  <c r="CH744" i="319"/>
  <c r="S744" i="319"/>
  <c r="K744" i="319"/>
  <c r="CL743" i="319"/>
  <c r="CN743" i="319" s="1"/>
  <c r="CH743" i="319"/>
  <c r="S743" i="319"/>
  <c r="K743" i="319"/>
  <c r="CL742" i="319"/>
  <c r="CN742" i="319" s="1"/>
  <c r="CH742" i="319"/>
  <c r="S742" i="319"/>
  <c r="K742" i="319"/>
  <c r="CL741" i="319"/>
  <c r="CN741" i="319" s="1"/>
  <c r="CH741" i="319"/>
  <c r="S741" i="319"/>
  <c r="K741" i="319"/>
  <c r="CL740" i="319"/>
  <c r="CH740" i="319"/>
  <c r="S740" i="319"/>
  <c r="K740" i="319"/>
  <c r="CL739" i="319"/>
  <c r="CN739" i="319" s="1"/>
  <c r="CH739" i="319"/>
  <c r="S739" i="319"/>
  <c r="K739" i="319"/>
  <c r="CL738" i="319"/>
  <c r="CN738" i="319" s="1"/>
  <c r="CH738" i="319"/>
  <c r="S738" i="319"/>
  <c r="K738" i="319"/>
  <c r="CL737" i="319"/>
  <c r="CN737" i="319" s="1"/>
  <c r="CV737" i="319" s="1"/>
  <c r="CH737" i="319"/>
  <c r="S737" i="319"/>
  <c r="K737" i="319"/>
  <c r="CL736" i="319"/>
  <c r="CN736" i="319" s="1"/>
  <c r="CP736" i="319" s="1"/>
  <c r="CH736" i="319"/>
  <c r="S736" i="319"/>
  <c r="K736" i="319"/>
  <c r="CL735" i="319"/>
  <c r="CH735" i="319"/>
  <c r="S735" i="319"/>
  <c r="K735" i="319"/>
  <c r="CL734" i="319"/>
  <c r="CN734" i="319" s="1"/>
  <c r="CH734" i="319"/>
  <c r="S734" i="319"/>
  <c r="K734" i="319"/>
  <c r="CL733" i="319"/>
  <c r="CN733" i="319" s="1"/>
  <c r="CH733" i="319"/>
  <c r="S733" i="319"/>
  <c r="K733" i="319"/>
  <c r="CL732" i="319"/>
  <c r="CN732" i="319" s="1"/>
  <c r="CV732" i="319" s="1"/>
  <c r="CH732" i="319"/>
  <c r="S732" i="319"/>
  <c r="K732" i="319"/>
  <c r="CL731" i="319"/>
  <c r="CN731" i="319" s="1"/>
  <c r="CH731" i="319"/>
  <c r="S731" i="319"/>
  <c r="K731" i="319"/>
  <c r="CL730" i="319"/>
  <c r="CH730" i="319"/>
  <c r="S730" i="319"/>
  <c r="K730" i="319"/>
  <c r="CL729" i="319"/>
  <c r="CN729" i="319" s="1"/>
  <c r="CP729" i="319" s="1"/>
  <c r="CH729" i="319"/>
  <c r="S729" i="319"/>
  <c r="K729" i="319"/>
  <c r="CL728" i="319"/>
  <c r="CN728" i="319" s="1"/>
  <c r="CH728" i="319"/>
  <c r="S728" i="319"/>
  <c r="K728" i="319"/>
  <c r="CL727" i="319"/>
  <c r="CN727" i="319" s="1"/>
  <c r="CH727" i="319"/>
  <c r="S727" i="319"/>
  <c r="K727" i="319"/>
  <c r="CL726" i="319"/>
  <c r="CN726" i="319" s="1"/>
  <c r="CP726" i="319" s="1"/>
  <c r="CH726" i="319"/>
  <c r="S726" i="319"/>
  <c r="K726" i="319"/>
  <c r="CL725" i="319"/>
  <c r="CH725" i="319"/>
  <c r="S725" i="319"/>
  <c r="K725" i="319"/>
  <c r="CL724" i="319"/>
  <c r="CH724" i="319"/>
  <c r="S724" i="319"/>
  <c r="K724" i="319"/>
  <c r="CL723" i="319"/>
  <c r="CN723" i="319" s="1"/>
  <c r="CH723" i="319"/>
  <c r="S723" i="319"/>
  <c r="K723" i="319"/>
  <c r="CL722" i="319"/>
  <c r="CN722" i="319" s="1"/>
  <c r="CH722" i="319"/>
  <c r="S722" i="319"/>
  <c r="K722" i="319"/>
  <c r="CL721" i="319"/>
  <c r="CN721" i="319" s="1"/>
  <c r="CH721" i="319"/>
  <c r="S721" i="319"/>
  <c r="K721" i="319"/>
  <c r="CL720" i="319"/>
  <c r="CN720" i="319" s="1"/>
  <c r="CP720" i="319" s="1"/>
  <c r="CH720" i="319"/>
  <c r="S720" i="319"/>
  <c r="K720" i="319"/>
  <c r="CL719" i="319"/>
  <c r="CN719" i="319" s="1"/>
  <c r="CH719" i="319"/>
  <c r="S719" i="319"/>
  <c r="K719" i="319"/>
  <c r="CL718" i="319"/>
  <c r="CN718" i="319" s="1"/>
  <c r="CH718" i="319"/>
  <c r="S718" i="319"/>
  <c r="K718" i="319"/>
  <c r="CL717" i="319"/>
  <c r="CN717" i="319" s="1"/>
  <c r="CH717" i="319"/>
  <c r="S717" i="319"/>
  <c r="K717" i="319"/>
  <c r="CL716" i="319"/>
  <c r="CN716" i="319" s="1"/>
  <c r="CH716" i="319"/>
  <c r="S716" i="319"/>
  <c r="K716" i="319"/>
  <c r="CL715" i="319"/>
  <c r="CN715" i="319" s="1"/>
  <c r="CH715" i="319"/>
  <c r="S715" i="319"/>
  <c r="K715" i="319"/>
  <c r="CL714" i="319"/>
  <c r="CH714" i="319"/>
  <c r="S714" i="319"/>
  <c r="K714" i="319"/>
  <c r="CL713" i="319"/>
  <c r="CN713" i="319" s="1"/>
  <c r="CH713" i="319"/>
  <c r="S713" i="319"/>
  <c r="K713" i="319"/>
  <c r="CL712" i="319"/>
  <c r="CN712" i="319" s="1"/>
  <c r="CH712" i="319"/>
  <c r="S712" i="319"/>
  <c r="K712" i="319"/>
  <c r="CL711" i="319"/>
  <c r="CN711" i="319" s="1"/>
  <c r="CH711" i="319"/>
  <c r="S711" i="319"/>
  <c r="K711" i="319"/>
  <c r="CL710" i="319"/>
  <c r="CN710" i="319" s="1"/>
  <c r="CP710" i="319" s="1"/>
  <c r="CH710" i="319"/>
  <c r="S710" i="319"/>
  <c r="K710" i="319"/>
  <c r="CL709" i="319"/>
  <c r="CH709" i="319"/>
  <c r="S709" i="319"/>
  <c r="K709" i="319"/>
  <c r="CL708" i="319"/>
  <c r="CN708" i="319" s="1"/>
  <c r="CH708" i="319"/>
  <c r="S708" i="319"/>
  <c r="K708" i="319"/>
  <c r="CL707" i="319"/>
  <c r="CN707" i="319" s="1"/>
  <c r="CP707" i="319" s="1"/>
  <c r="CH707" i="319"/>
  <c r="S707" i="319"/>
  <c r="K707" i="319"/>
  <c r="CL706" i="319"/>
  <c r="CN706" i="319" s="1"/>
  <c r="CH706" i="319"/>
  <c r="S706" i="319"/>
  <c r="K706" i="319"/>
  <c r="CL705" i="319"/>
  <c r="CN705" i="319" s="1"/>
  <c r="CH705" i="319"/>
  <c r="S705" i="319"/>
  <c r="K705" i="319"/>
  <c r="CL704" i="319"/>
  <c r="CH704" i="319"/>
  <c r="S704" i="319"/>
  <c r="K704" i="319"/>
  <c r="CL703" i="319"/>
  <c r="CN703" i="319" s="1"/>
  <c r="CH703" i="319"/>
  <c r="S703" i="319"/>
  <c r="K703" i="319"/>
  <c r="CL702" i="319"/>
  <c r="CN702" i="319" s="1"/>
  <c r="CH702" i="319"/>
  <c r="S702" i="319"/>
  <c r="K702" i="319"/>
  <c r="CL701" i="319"/>
  <c r="CN701" i="319" s="1"/>
  <c r="CH701" i="319"/>
  <c r="S701" i="319"/>
  <c r="K701" i="319"/>
  <c r="CL700" i="319"/>
  <c r="CN700" i="319" s="1"/>
  <c r="CH700" i="319"/>
  <c r="S700" i="319"/>
  <c r="K700" i="319"/>
  <c r="CL699" i="319"/>
  <c r="CN699" i="319" s="1"/>
  <c r="CH699" i="319"/>
  <c r="S699" i="319"/>
  <c r="K699" i="319"/>
  <c r="CL698" i="319"/>
  <c r="CN698" i="319" s="1"/>
  <c r="CH698" i="319"/>
  <c r="S698" i="319"/>
  <c r="K698" i="319"/>
  <c r="CL697" i="319"/>
  <c r="CN697" i="319" s="1"/>
  <c r="CH697" i="319"/>
  <c r="S697" i="319"/>
  <c r="K697" i="319"/>
  <c r="CL696" i="319"/>
  <c r="CN696" i="319" s="1"/>
  <c r="CH696" i="319"/>
  <c r="S696" i="319"/>
  <c r="K696" i="319"/>
  <c r="CL695" i="319"/>
  <c r="CN695" i="319" s="1"/>
  <c r="CP695" i="319" s="1"/>
  <c r="CH695" i="319"/>
  <c r="S695" i="319"/>
  <c r="K695" i="319"/>
  <c r="CL694" i="319"/>
  <c r="CH694" i="319"/>
  <c r="S694" i="319"/>
  <c r="K694" i="319"/>
  <c r="CL693" i="319"/>
  <c r="CN693" i="319" s="1"/>
  <c r="CP693" i="319" s="1"/>
  <c r="CH693" i="319"/>
  <c r="S693" i="319"/>
  <c r="K693" i="319"/>
  <c r="CL692" i="319"/>
  <c r="CN692" i="319" s="1"/>
  <c r="CP692" i="319" s="1"/>
  <c r="CH692" i="319"/>
  <c r="S692" i="319"/>
  <c r="K692" i="319"/>
  <c r="CL691" i="319"/>
  <c r="CN691" i="319" s="1"/>
  <c r="CH691" i="319"/>
  <c r="S691" i="319"/>
  <c r="K691" i="319"/>
  <c r="CL690" i="319"/>
  <c r="CN690" i="319" s="1"/>
  <c r="CH690" i="319"/>
  <c r="S690" i="319"/>
  <c r="K690" i="319"/>
  <c r="CL689" i="319"/>
  <c r="CN689" i="319" s="1"/>
  <c r="CH689" i="319"/>
  <c r="S689" i="319"/>
  <c r="K689" i="319"/>
  <c r="CN688" i="319"/>
  <c r="CL688" i="319"/>
  <c r="CT693" i="319" s="1"/>
  <c r="CH688" i="319"/>
  <c r="S688" i="319"/>
  <c r="K688" i="319"/>
  <c r="CL687" i="319"/>
  <c r="CN687" i="319" s="1"/>
  <c r="CH687" i="319"/>
  <c r="S687" i="319"/>
  <c r="K687" i="319"/>
  <c r="CL686" i="319"/>
  <c r="CN686" i="319" s="1"/>
  <c r="CV686" i="319" s="1"/>
  <c r="CH686" i="319"/>
  <c r="S686" i="319"/>
  <c r="K686" i="319"/>
  <c r="CL685" i="319"/>
  <c r="CN685" i="319" s="1"/>
  <c r="CP685" i="319" s="1"/>
  <c r="CH685" i="319"/>
  <c r="S685" i="319"/>
  <c r="K685" i="319"/>
  <c r="CL684" i="319"/>
  <c r="CN684" i="319" s="1"/>
  <c r="CH684" i="319"/>
  <c r="S684" i="319"/>
  <c r="K684" i="319"/>
  <c r="CL683" i="319"/>
  <c r="CH683" i="319"/>
  <c r="S683" i="319"/>
  <c r="K683" i="319"/>
  <c r="CL682" i="319"/>
  <c r="CN682" i="319" s="1"/>
  <c r="CH682" i="319"/>
  <c r="S682" i="319"/>
  <c r="K682" i="319"/>
  <c r="CL681" i="319"/>
  <c r="CN681" i="319" s="1"/>
  <c r="CH681" i="319"/>
  <c r="S681" i="319"/>
  <c r="K681" i="319"/>
  <c r="CL680" i="319"/>
  <c r="CN680" i="319" s="1"/>
  <c r="CH680" i="319"/>
  <c r="S680" i="319"/>
  <c r="K680" i="319"/>
  <c r="CL679" i="319"/>
  <c r="CN679" i="319" s="1"/>
  <c r="CH679" i="319"/>
  <c r="S679" i="319"/>
  <c r="K679" i="319"/>
  <c r="CL678" i="319"/>
  <c r="CT682" i="319" s="1"/>
  <c r="CH678" i="319"/>
  <c r="S678" i="319"/>
  <c r="K678" i="319"/>
  <c r="CL677" i="319"/>
  <c r="CN677" i="319" s="1"/>
  <c r="CH677" i="319"/>
  <c r="S677" i="319"/>
  <c r="K677" i="319"/>
  <c r="CL676" i="319"/>
  <c r="CN676" i="319" s="1"/>
  <c r="CH676" i="319"/>
  <c r="S676" i="319"/>
  <c r="K676" i="319"/>
  <c r="CL675" i="319"/>
  <c r="CN675" i="319" s="1"/>
  <c r="CP675" i="319" s="1"/>
  <c r="CH675" i="319"/>
  <c r="S675" i="319"/>
  <c r="K675" i="319"/>
  <c r="CL674" i="319"/>
  <c r="CN674" i="319" s="1"/>
  <c r="CV674" i="319" s="1"/>
  <c r="CH674" i="319"/>
  <c r="S674" i="319"/>
  <c r="K674" i="319"/>
  <c r="CL673" i="319"/>
  <c r="CN673" i="319" s="1"/>
  <c r="CH673" i="319"/>
  <c r="S673" i="319"/>
  <c r="K673" i="319"/>
  <c r="CL672" i="319"/>
  <c r="CH672" i="319"/>
  <c r="S672" i="319"/>
  <c r="K672" i="319"/>
  <c r="CL671" i="319"/>
  <c r="CN671" i="319" s="1"/>
  <c r="CV671" i="319" s="1"/>
  <c r="CH671" i="319"/>
  <c r="S671" i="319"/>
  <c r="K671" i="319"/>
  <c r="CL670" i="319"/>
  <c r="CN670" i="319" s="1"/>
  <c r="CH670" i="319"/>
  <c r="S670" i="319"/>
  <c r="K670" i="319"/>
  <c r="CL669" i="319"/>
  <c r="CN669" i="319" s="1"/>
  <c r="CH669" i="319"/>
  <c r="S669" i="319"/>
  <c r="K669" i="319"/>
  <c r="CL668" i="319"/>
  <c r="CN668" i="319" s="1"/>
  <c r="CH668" i="319"/>
  <c r="S668" i="319"/>
  <c r="K668" i="319"/>
  <c r="CL667" i="319"/>
  <c r="CH667" i="319"/>
  <c r="S667" i="319"/>
  <c r="K667" i="319"/>
  <c r="CL666" i="319"/>
  <c r="CN666" i="319" s="1"/>
  <c r="CH666" i="319"/>
  <c r="S666" i="319"/>
  <c r="K666" i="319"/>
  <c r="CL665" i="319"/>
  <c r="CN665" i="319" s="1"/>
  <c r="CP665" i="319" s="1"/>
  <c r="CH665" i="319"/>
  <c r="S665" i="319"/>
  <c r="K665" i="319"/>
  <c r="CL664" i="319"/>
  <c r="CN664" i="319" s="1"/>
  <c r="CV664" i="319" s="1"/>
  <c r="CH664" i="319"/>
  <c r="S664" i="319"/>
  <c r="K664" i="319"/>
  <c r="CL663" i="319"/>
  <c r="CN663" i="319" s="1"/>
  <c r="CH663" i="319"/>
  <c r="S663" i="319"/>
  <c r="K663" i="319"/>
  <c r="CL662" i="319"/>
  <c r="CN662" i="319" s="1"/>
  <c r="CV662" i="319" s="1"/>
  <c r="CH662" i="319"/>
  <c r="S662" i="319"/>
  <c r="K662" i="319"/>
  <c r="CL661" i="319"/>
  <c r="CN661" i="319" s="1"/>
  <c r="CH661" i="319"/>
  <c r="S661" i="319"/>
  <c r="K661" i="319"/>
  <c r="CL660" i="319"/>
  <c r="CN660" i="319" s="1"/>
  <c r="CH660" i="319"/>
  <c r="S660" i="319"/>
  <c r="K660" i="319"/>
  <c r="CL659" i="319"/>
  <c r="CN659" i="319" s="1"/>
  <c r="CH659" i="319"/>
  <c r="S659" i="319"/>
  <c r="K659" i="319"/>
  <c r="CL658" i="319"/>
  <c r="CN658" i="319" s="1"/>
  <c r="CH658" i="319"/>
  <c r="S658" i="319"/>
  <c r="K658" i="319"/>
  <c r="CL657" i="319"/>
  <c r="CN657" i="319" s="1"/>
  <c r="CH657" i="319"/>
  <c r="S657" i="319"/>
  <c r="K657" i="319"/>
  <c r="CL656" i="319"/>
  <c r="CH656" i="319"/>
  <c r="S656" i="319"/>
  <c r="K656" i="319"/>
  <c r="CL655" i="319"/>
  <c r="CN655" i="319" s="1"/>
  <c r="CV655" i="319" s="1"/>
  <c r="CH655" i="319"/>
  <c r="S655" i="319"/>
  <c r="K655" i="319"/>
  <c r="CL654" i="319"/>
  <c r="CN654" i="319" s="1"/>
  <c r="CH654" i="319"/>
  <c r="S654" i="319"/>
  <c r="K654" i="319"/>
  <c r="CL653" i="319"/>
  <c r="CN653" i="319" s="1"/>
  <c r="CH653" i="319"/>
  <c r="S653" i="319"/>
  <c r="K653" i="319"/>
  <c r="CL652" i="319"/>
  <c r="CN652" i="319" s="1"/>
  <c r="CH652" i="319"/>
  <c r="S652" i="319"/>
  <c r="K652" i="319"/>
  <c r="CL651" i="319"/>
  <c r="CN651" i="319" s="1"/>
  <c r="CH651" i="319"/>
  <c r="S651" i="319"/>
  <c r="K651" i="319"/>
  <c r="CL650" i="319"/>
  <c r="CN650" i="319" s="1"/>
  <c r="CH650" i="319"/>
  <c r="S650" i="319"/>
  <c r="K650" i="319"/>
  <c r="CL649" i="319"/>
  <c r="CN649" i="319" s="1"/>
  <c r="CH649" i="319"/>
  <c r="S649" i="319"/>
  <c r="K649" i="319"/>
  <c r="CL648" i="319"/>
  <c r="CN648" i="319" s="1"/>
  <c r="CH648" i="319"/>
  <c r="S648" i="319"/>
  <c r="K648" i="319"/>
  <c r="CL647" i="319"/>
  <c r="CN647" i="319" s="1"/>
  <c r="CH647" i="319"/>
  <c r="S647" i="319"/>
  <c r="K647" i="319"/>
  <c r="CL646" i="319"/>
  <c r="CH646" i="319"/>
  <c r="S646" i="319"/>
  <c r="K646" i="319"/>
  <c r="CL645" i="319"/>
  <c r="CN645" i="319" s="1"/>
  <c r="CP645" i="319" s="1"/>
  <c r="CH645" i="319"/>
  <c r="S645" i="319"/>
  <c r="K645" i="319"/>
  <c r="CL644" i="319"/>
  <c r="CN644" i="319" s="1"/>
  <c r="CH644" i="319"/>
  <c r="S644" i="319"/>
  <c r="K644" i="319"/>
  <c r="CL643" i="319"/>
  <c r="CN643" i="319" s="1"/>
  <c r="CV643" i="319" s="1"/>
  <c r="CH643" i="319"/>
  <c r="S643" i="319"/>
  <c r="K643" i="319"/>
  <c r="CL642" i="319"/>
  <c r="CN642" i="319" s="1"/>
  <c r="CH642" i="319"/>
  <c r="S642" i="319"/>
  <c r="K642" i="319"/>
  <c r="CL641" i="319"/>
  <c r="CN641" i="319" s="1"/>
  <c r="CV641" i="319" s="1"/>
  <c r="CH641" i="319"/>
  <c r="S641" i="319"/>
  <c r="K641" i="319"/>
  <c r="CL640" i="319"/>
  <c r="CH640" i="319"/>
  <c r="S640" i="319"/>
  <c r="K640" i="319"/>
  <c r="CL639" i="319"/>
  <c r="CN639" i="319" s="1"/>
  <c r="CH639" i="319"/>
  <c r="S639" i="319"/>
  <c r="K639" i="319"/>
  <c r="CL638" i="319"/>
  <c r="CN638" i="319" s="1"/>
  <c r="CP638" i="319" s="1"/>
  <c r="CH638" i="319"/>
  <c r="S638" i="319"/>
  <c r="K638" i="319"/>
  <c r="CL637" i="319"/>
  <c r="CN637" i="319" s="1"/>
  <c r="CP637" i="319" s="1"/>
  <c r="CH637" i="319"/>
  <c r="S637" i="319"/>
  <c r="K637" i="319"/>
  <c r="CL636" i="319"/>
  <c r="CN636" i="319" s="1"/>
  <c r="CP636" i="319" s="1"/>
  <c r="CH636" i="319"/>
  <c r="S636" i="319"/>
  <c r="K636" i="319"/>
  <c r="CL635" i="319"/>
  <c r="CH635" i="319"/>
  <c r="S635" i="319"/>
  <c r="K635" i="319"/>
  <c r="CL634" i="319"/>
  <c r="CN634" i="319" s="1"/>
  <c r="CV634" i="319" s="1"/>
  <c r="CH634" i="319"/>
  <c r="S634" i="319"/>
  <c r="K634" i="319"/>
  <c r="CL633" i="319"/>
  <c r="CN633" i="319" s="1"/>
  <c r="CH633" i="319"/>
  <c r="S633" i="319"/>
  <c r="I633" i="319"/>
  <c r="K633" i="319" s="1"/>
  <c r="CL632" i="319"/>
  <c r="CN632" i="319" s="1"/>
  <c r="CH632" i="319"/>
  <c r="S632" i="319"/>
  <c r="I632" i="319"/>
  <c r="K632" i="319" s="1"/>
  <c r="CL631" i="319"/>
  <c r="CN631" i="319" s="1"/>
  <c r="CV631" i="319" s="1"/>
  <c r="CH631" i="319"/>
  <c r="S631" i="319"/>
  <c r="I631" i="319"/>
  <c r="K631" i="319" s="1"/>
  <c r="CL630" i="319"/>
  <c r="CH630" i="319"/>
  <c r="S630" i="319"/>
  <c r="I630" i="319"/>
  <c r="K630" i="319" s="1"/>
  <c r="CL629" i="319"/>
  <c r="CN629" i="319" s="1"/>
  <c r="CH629" i="319"/>
  <c r="S629" i="319"/>
  <c r="I629" i="319"/>
  <c r="K629" i="319" s="1"/>
  <c r="CL628" i="319"/>
  <c r="CN628" i="319" s="1"/>
  <c r="CV628" i="319" s="1"/>
  <c r="CH628" i="319"/>
  <c r="S628" i="319"/>
  <c r="I628" i="319"/>
  <c r="K628" i="319" s="1"/>
  <c r="CL627" i="319"/>
  <c r="CN627" i="319" s="1"/>
  <c r="CH627" i="319"/>
  <c r="S627" i="319"/>
  <c r="I627" i="319"/>
  <c r="K627" i="319" s="1"/>
  <c r="CL626" i="319"/>
  <c r="CN626" i="319" s="1"/>
  <c r="CH626" i="319"/>
  <c r="S626" i="319"/>
  <c r="I626" i="319"/>
  <c r="K626" i="319" s="1"/>
  <c r="CL625" i="319"/>
  <c r="CH625" i="319"/>
  <c r="S625" i="319"/>
  <c r="I625" i="319"/>
  <c r="K625" i="319" s="1"/>
  <c r="CL624" i="319"/>
  <c r="CN624" i="319" s="1"/>
  <c r="CH624" i="319"/>
  <c r="S624" i="319"/>
  <c r="I624" i="319"/>
  <c r="K624" i="319" s="1"/>
  <c r="CL623" i="319"/>
  <c r="CN623" i="319" s="1"/>
  <c r="CH623" i="319"/>
  <c r="S623" i="319"/>
  <c r="I623" i="319"/>
  <c r="K623" i="319" s="1"/>
  <c r="CN622" i="319"/>
  <c r="CL622" i="319"/>
  <c r="CH622" i="319"/>
  <c r="S622" i="319"/>
  <c r="I622" i="319"/>
  <c r="K622" i="319" s="1"/>
  <c r="CL621" i="319"/>
  <c r="CN621" i="319" s="1"/>
  <c r="CH621" i="319"/>
  <c r="S621" i="319"/>
  <c r="K621" i="319"/>
  <c r="I621" i="319"/>
  <c r="CL620" i="319"/>
  <c r="CH620" i="319"/>
  <c r="S620" i="319"/>
  <c r="I620" i="319"/>
  <c r="K620" i="319" s="1"/>
  <c r="CL619" i="319"/>
  <c r="CN619" i="319" s="1"/>
  <c r="CH619" i="319"/>
  <c r="S619" i="319"/>
  <c r="I619" i="319"/>
  <c r="K619" i="319" s="1"/>
  <c r="CL618" i="319"/>
  <c r="CN618" i="319" s="1"/>
  <c r="CH618" i="319"/>
  <c r="S618" i="319"/>
  <c r="I618" i="319"/>
  <c r="K618" i="319" s="1"/>
  <c r="CL617" i="319"/>
  <c r="CN617" i="319" s="1"/>
  <c r="CP617" i="319" s="1"/>
  <c r="CH617" i="319"/>
  <c r="S617" i="319"/>
  <c r="I617" i="319"/>
  <c r="K617" i="319" s="1"/>
  <c r="CP616" i="319"/>
  <c r="CL616" i="319"/>
  <c r="CN616" i="319" s="1"/>
  <c r="CV616" i="319" s="1"/>
  <c r="CH616" i="319"/>
  <c r="S616" i="319"/>
  <c r="K616" i="319"/>
  <c r="I616" i="319"/>
  <c r="CL615" i="319"/>
  <c r="CH615" i="319"/>
  <c r="S615" i="319"/>
  <c r="I615" i="319"/>
  <c r="K615" i="319" s="1"/>
  <c r="CT614" i="319"/>
  <c r="CL614" i="319"/>
  <c r="CN614" i="319" s="1"/>
  <c r="CH614" i="319"/>
  <c r="S614" i="319"/>
  <c r="I614" i="319"/>
  <c r="K614" i="319" s="1"/>
  <c r="CL613" i="319"/>
  <c r="CN613" i="319" s="1"/>
  <c r="CH613" i="319"/>
  <c r="S613" i="319"/>
  <c r="I613" i="319"/>
  <c r="K613" i="319" s="1"/>
  <c r="CL612" i="319"/>
  <c r="CN612" i="319" s="1"/>
  <c r="CP612" i="319" s="1"/>
  <c r="CH612" i="319"/>
  <c r="S612" i="319"/>
  <c r="I612" i="319"/>
  <c r="K612" i="319" s="1"/>
  <c r="CL611" i="319"/>
  <c r="CN611" i="319" s="1"/>
  <c r="CV611" i="319" s="1"/>
  <c r="CH611" i="319"/>
  <c r="S611" i="319"/>
  <c r="I611" i="319"/>
  <c r="K611" i="319" s="1"/>
  <c r="CL610" i="319"/>
  <c r="CN610" i="319" s="1"/>
  <c r="CH610" i="319"/>
  <c r="S610" i="319"/>
  <c r="I610" i="319"/>
  <c r="K610" i="319" s="1"/>
  <c r="CT609" i="319"/>
  <c r="CL609" i="319"/>
  <c r="CN609" i="319" s="1"/>
  <c r="CH609" i="319"/>
  <c r="S609" i="319"/>
  <c r="I609" i="319"/>
  <c r="K609" i="319" s="1"/>
  <c r="CL608" i="319"/>
  <c r="CN608" i="319" s="1"/>
  <c r="CH608" i="319"/>
  <c r="S608" i="319"/>
  <c r="I608" i="319"/>
  <c r="K608" i="319" s="1"/>
  <c r="CL607" i="319"/>
  <c r="CN607" i="319" s="1"/>
  <c r="CP607" i="319" s="1"/>
  <c r="CH607" i="319"/>
  <c r="S607" i="319"/>
  <c r="I607" i="319"/>
  <c r="K607" i="319" s="1"/>
  <c r="CL606" i="319"/>
  <c r="CN606" i="319" s="1"/>
  <c r="CH606" i="319"/>
  <c r="S606" i="319"/>
  <c r="I606" i="319"/>
  <c r="K606" i="319" s="1"/>
  <c r="CL605" i="319"/>
  <c r="CN605" i="319" s="1"/>
  <c r="CP605" i="319" s="1"/>
  <c r="CH605" i="319"/>
  <c r="S605" i="319"/>
  <c r="I605" i="319"/>
  <c r="K605" i="319" s="1"/>
  <c r="CT604" i="319"/>
  <c r="CL604" i="319"/>
  <c r="CN604" i="319" s="1"/>
  <c r="CH604" i="319"/>
  <c r="S604" i="319"/>
  <c r="I604" i="319"/>
  <c r="K604" i="319" s="1"/>
  <c r="CL603" i="319"/>
  <c r="CN603" i="319" s="1"/>
  <c r="CH603" i="319"/>
  <c r="S603" i="319"/>
  <c r="I603" i="319"/>
  <c r="K603" i="319" s="1"/>
  <c r="CL602" i="319"/>
  <c r="CN602" i="319" s="1"/>
  <c r="CP602" i="319" s="1"/>
  <c r="CH602" i="319"/>
  <c r="S602" i="319"/>
  <c r="I602" i="319"/>
  <c r="K602" i="319" s="1"/>
  <c r="CL601" i="319"/>
  <c r="CN601" i="319" s="1"/>
  <c r="CV601" i="319" s="1"/>
  <c r="CH601" i="319"/>
  <c r="S601" i="319"/>
  <c r="I601" i="319"/>
  <c r="K601" i="319" s="1"/>
  <c r="CL600" i="319"/>
  <c r="CN600" i="319" s="1"/>
  <c r="CH600" i="319"/>
  <c r="S600" i="319"/>
  <c r="I600" i="319"/>
  <c r="K600" i="319" s="1"/>
  <c r="CT599" i="319"/>
  <c r="CL599" i="319"/>
  <c r="CN599" i="319" s="1"/>
  <c r="CH599" i="319"/>
  <c r="S599" i="319"/>
  <c r="I599" i="319"/>
  <c r="K599" i="319" s="1"/>
  <c r="CL598" i="319"/>
  <c r="CN598" i="319" s="1"/>
  <c r="CH598" i="319"/>
  <c r="S598" i="319"/>
  <c r="I598" i="319"/>
  <c r="K598" i="319" s="1"/>
  <c r="CL597" i="319"/>
  <c r="CN597" i="319" s="1"/>
  <c r="CP597" i="319" s="1"/>
  <c r="CH597" i="319"/>
  <c r="S597" i="319"/>
  <c r="I597" i="319"/>
  <c r="K597" i="319" s="1"/>
  <c r="CP596" i="319"/>
  <c r="CL596" i="319"/>
  <c r="CN596" i="319" s="1"/>
  <c r="CV596" i="319" s="1"/>
  <c r="CH596" i="319"/>
  <c r="S596" i="319"/>
  <c r="K596" i="319"/>
  <c r="I596" i="319"/>
  <c r="CL595" i="319"/>
  <c r="CN595" i="319" s="1"/>
  <c r="CH595" i="319"/>
  <c r="S595" i="319"/>
  <c r="I595" i="319"/>
  <c r="K595" i="319" s="1"/>
  <c r="CL594" i="319"/>
  <c r="CN594" i="319" s="1"/>
  <c r="CH594" i="319"/>
  <c r="S594" i="319"/>
  <c r="I594" i="319"/>
  <c r="K594" i="319" s="1"/>
  <c r="CT593" i="319"/>
  <c r="CL593" i="319"/>
  <c r="CN593" i="319" s="1"/>
  <c r="CV593" i="319" s="1"/>
  <c r="CH593" i="319"/>
  <c r="S593" i="319"/>
  <c r="K593" i="319"/>
  <c r="I593" i="319"/>
  <c r="CL592" i="319"/>
  <c r="CN592" i="319" s="1"/>
  <c r="CH592" i="319"/>
  <c r="S592" i="319"/>
  <c r="I592" i="319"/>
  <c r="K592" i="319" s="1"/>
  <c r="CL591" i="319"/>
  <c r="CN591" i="319" s="1"/>
  <c r="CH591" i="319"/>
  <c r="S591" i="319"/>
  <c r="I591" i="319"/>
  <c r="K591" i="319" s="1"/>
  <c r="CN590" i="319"/>
  <c r="CP590" i="319" s="1"/>
  <c r="CL590" i="319"/>
  <c r="CH590" i="319"/>
  <c r="S590" i="319"/>
  <c r="I590" i="319"/>
  <c r="K590" i="319" s="1"/>
  <c r="CL589" i="319"/>
  <c r="CN589" i="319" s="1"/>
  <c r="CH589" i="319"/>
  <c r="S589" i="319"/>
  <c r="I589" i="319"/>
  <c r="K589" i="319" s="1"/>
  <c r="CT588" i="319"/>
  <c r="CL588" i="319"/>
  <c r="CN588" i="319" s="1"/>
  <c r="CH588" i="319"/>
  <c r="S588" i="319"/>
  <c r="I588" i="319"/>
  <c r="K588" i="319" s="1"/>
  <c r="CL587" i="319"/>
  <c r="CN587" i="319" s="1"/>
  <c r="CP587" i="319" s="1"/>
  <c r="CH587" i="319"/>
  <c r="S587" i="319"/>
  <c r="I587" i="319"/>
  <c r="K587" i="319" s="1"/>
  <c r="CL586" i="319"/>
  <c r="CN586" i="319" s="1"/>
  <c r="CH586" i="319"/>
  <c r="S586" i="319"/>
  <c r="I586" i="319"/>
  <c r="K586" i="319" s="1"/>
  <c r="CL585" i="319"/>
  <c r="CN585" i="319" s="1"/>
  <c r="CH585" i="319"/>
  <c r="S585" i="319"/>
  <c r="I585" i="319"/>
  <c r="K585" i="319" s="1"/>
  <c r="CP584" i="319"/>
  <c r="CN584" i="319"/>
  <c r="CV584" i="319" s="1"/>
  <c r="CH584" i="319"/>
  <c r="S584" i="319"/>
  <c r="I584" i="319"/>
  <c r="K584" i="319" s="1"/>
  <c r="CT583" i="319"/>
  <c r="CL583" i="319"/>
  <c r="CN583" i="319" s="1"/>
  <c r="CH583" i="319"/>
  <c r="S583" i="319"/>
  <c r="I583" i="319"/>
  <c r="K583" i="319" s="1"/>
  <c r="CL582" i="319"/>
  <c r="CN582" i="319" s="1"/>
  <c r="CV582" i="319" s="1"/>
  <c r="CH582" i="319"/>
  <c r="S582" i="319"/>
  <c r="I582" i="319"/>
  <c r="K582" i="319" s="1"/>
  <c r="CL581" i="319"/>
  <c r="CN581" i="319" s="1"/>
  <c r="CH581" i="319"/>
  <c r="S581" i="319"/>
  <c r="I581" i="319"/>
  <c r="K581" i="319" s="1"/>
  <c r="CL580" i="319"/>
  <c r="CN580" i="319" s="1"/>
  <c r="CV580" i="319" s="1"/>
  <c r="CH580" i="319"/>
  <c r="S580" i="319"/>
  <c r="I580" i="319"/>
  <c r="K580" i="319" s="1"/>
  <c r="CL579" i="319"/>
  <c r="CN579" i="319" s="1"/>
  <c r="CH579" i="319"/>
  <c r="S579" i="319"/>
  <c r="I579" i="319"/>
  <c r="K579" i="319" s="1"/>
  <c r="CT578" i="319"/>
  <c r="CL578" i="319"/>
  <c r="CN578" i="319" s="1"/>
  <c r="CH578" i="319"/>
  <c r="S578" i="319"/>
  <c r="K578" i="319"/>
  <c r="I578" i="319"/>
  <c r="CL577" i="319"/>
  <c r="CN577" i="319" s="1"/>
  <c r="CH577" i="319"/>
  <c r="S577" i="319"/>
  <c r="I577" i="319"/>
  <c r="K577" i="319" s="1"/>
  <c r="CL576" i="319"/>
  <c r="CN576" i="319" s="1"/>
  <c r="CV576" i="319" s="1"/>
  <c r="CH576" i="319"/>
  <c r="S576" i="319"/>
  <c r="I576" i="319"/>
  <c r="K576" i="319" s="1"/>
  <c r="CL575" i="319"/>
  <c r="CN575" i="319" s="1"/>
  <c r="CP575" i="319" s="1"/>
  <c r="CH575" i="319"/>
  <c r="S575" i="319"/>
  <c r="I575" i="319"/>
  <c r="K575" i="319" s="1"/>
  <c r="CN574" i="319"/>
  <c r="CL574" i="319"/>
  <c r="CH574" i="319"/>
  <c r="S574" i="319"/>
  <c r="I574" i="319"/>
  <c r="K574" i="319" s="1"/>
  <c r="CT573" i="319"/>
  <c r="CL573" i="319"/>
  <c r="CN573" i="319" s="1"/>
  <c r="CH573" i="319"/>
  <c r="S573" i="319"/>
  <c r="I573" i="319"/>
  <c r="K573" i="319" s="1"/>
  <c r="CL572" i="319"/>
  <c r="CN572" i="319" s="1"/>
  <c r="CH572" i="319"/>
  <c r="S572" i="319"/>
  <c r="I572" i="319"/>
  <c r="K572" i="319" s="1"/>
  <c r="CL571" i="319"/>
  <c r="CN571" i="319" s="1"/>
  <c r="CP571" i="319" s="1"/>
  <c r="CH571" i="319"/>
  <c r="S571" i="319"/>
  <c r="I571" i="319"/>
  <c r="K571" i="319" s="1"/>
  <c r="CL570" i="319"/>
  <c r="CN570" i="319" s="1"/>
  <c r="CH570" i="319"/>
  <c r="S570" i="319"/>
  <c r="I570" i="319"/>
  <c r="K570" i="319" s="1"/>
  <c r="CV569" i="319"/>
  <c r="CL569" i="319"/>
  <c r="CN569" i="319" s="1"/>
  <c r="CP569" i="319" s="1"/>
  <c r="CH569" i="319"/>
  <c r="S569" i="319"/>
  <c r="I569" i="319"/>
  <c r="K569" i="319" s="1"/>
  <c r="CL568" i="319"/>
  <c r="CN568" i="319" s="1"/>
  <c r="CP568" i="319" s="1"/>
  <c r="CH568" i="319"/>
  <c r="S568" i="319"/>
  <c r="I568" i="319"/>
  <c r="K568" i="319" s="1"/>
  <c r="CT567" i="319"/>
  <c r="CL567" i="319"/>
  <c r="CN567" i="319" s="1"/>
  <c r="CH567" i="319"/>
  <c r="S567" i="319"/>
  <c r="I567" i="319"/>
  <c r="K567" i="319" s="1"/>
  <c r="CN566" i="319"/>
  <c r="CL566" i="319"/>
  <c r="CH566" i="319"/>
  <c r="S566" i="319"/>
  <c r="I566" i="319"/>
  <c r="K566" i="319" s="1"/>
  <c r="CL565" i="319"/>
  <c r="CN565" i="319" s="1"/>
  <c r="CH565" i="319"/>
  <c r="S565" i="319"/>
  <c r="I565" i="319"/>
  <c r="K565" i="319" s="1"/>
  <c r="CL564" i="319"/>
  <c r="CN564" i="319" s="1"/>
  <c r="CP564" i="319" s="1"/>
  <c r="CH564" i="319"/>
  <c r="S564" i="319"/>
  <c r="I564" i="319"/>
  <c r="K564" i="319" s="1"/>
  <c r="CT563" i="319"/>
  <c r="CL563" i="319"/>
  <c r="CN563" i="319" s="1"/>
  <c r="CV563" i="319" s="1"/>
  <c r="CH563" i="319"/>
  <c r="S563" i="319"/>
  <c r="I563" i="319"/>
  <c r="K563" i="319" s="1"/>
  <c r="CL562" i="319"/>
  <c r="CN562" i="319" s="1"/>
  <c r="CH562" i="319"/>
  <c r="S562" i="319"/>
  <c r="I562" i="319"/>
  <c r="K562" i="319" s="1"/>
  <c r="CL561" i="319"/>
  <c r="CN561" i="319" s="1"/>
  <c r="CH561" i="319"/>
  <c r="S561" i="319"/>
  <c r="I561" i="319"/>
  <c r="K561" i="319" s="1"/>
  <c r="CL560" i="319"/>
  <c r="CN560" i="319" s="1"/>
  <c r="CH560" i="319"/>
  <c r="S560" i="319"/>
  <c r="I560" i="319"/>
  <c r="K560" i="319" s="1"/>
  <c r="CL559" i="319"/>
  <c r="CN559" i="319" s="1"/>
  <c r="CH559" i="319"/>
  <c r="S559" i="319"/>
  <c r="I559" i="319"/>
  <c r="K559" i="319" s="1"/>
  <c r="CT558" i="319"/>
  <c r="CL558" i="319"/>
  <c r="CN558" i="319" s="1"/>
  <c r="CH558" i="319"/>
  <c r="S558" i="319"/>
  <c r="I558" i="319"/>
  <c r="K558" i="319" s="1"/>
  <c r="CL557" i="319"/>
  <c r="CN557" i="319" s="1"/>
  <c r="CH557" i="319"/>
  <c r="S557" i="319"/>
  <c r="I557" i="319"/>
  <c r="K557" i="319" s="1"/>
  <c r="CL556" i="319"/>
  <c r="CN556" i="319" s="1"/>
  <c r="CH556" i="319"/>
  <c r="S556" i="319"/>
  <c r="I556" i="319"/>
  <c r="K556" i="319" s="1"/>
  <c r="CL555" i="319"/>
  <c r="CN555" i="319" s="1"/>
  <c r="CP555" i="319" s="1"/>
  <c r="CH555" i="319"/>
  <c r="S555" i="319"/>
  <c r="I555" i="319"/>
  <c r="K555" i="319" s="1"/>
  <c r="CL554" i="319"/>
  <c r="CN554" i="319" s="1"/>
  <c r="CH554" i="319"/>
  <c r="S554" i="319"/>
  <c r="I554" i="319"/>
  <c r="K554" i="319" s="1"/>
  <c r="CL553" i="319"/>
  <c r="CN553" i="319" s="1"/>
  <c r="CV553" i="319" s="1"/>
  <c r="CH553" i="319"/>
  <c r="S553" i="319"/>
  <c r="I553" i="319"/>
  <c r="K553" i="319" s="1"/>
  <c r="CT552" i="319"/>
  <c r="CL552" i="319"/>
  <c r="CN552" i="319" s="1"/>
  <c r="CH552" i="319"/>
  <c r="S552" i="319"/>
  <c r="I552" i="319"/>
  <c r="K552" i="319" s="1"/>
  <c r="CN551" i="319"/>
  <c r="CP551" i="319" s="1"/>
  <c r="CL551" i="319"/>
  <c r="CH551" i="319"/>
  <c r="S551" i="319"/>
  <c r="I551" i="319"/>
  <c r="K551" i="319" s="1"/>
  <c r="CL550" i="319"/>
  <c r="CN550" i="319" s="1"/>
  <c r="CH550" i="319"/>
  <c r="S550" i="319"/>
  <c r="I550" i="319"/>
  <c r="K550" i="319" s="1"/>
  <c r="CL549" i="319"/>
  <c r="CN549" i="319" s="1"/>
  <c r="CH549" i="319"/>
  <c r="S549" i="319"/>
  <c r="I549" i="319"/>
  <c r="K549" i="319" s="1"/>
  <c r="CL548" i="319"/>
  <c r="CN548" i="319" s="1"/>
  <c r="CH548" i="319"/>
  <c r="S548" i="319"/>
  <c r="I548" i="319"/>
  <c r="K548" i="319" s="1"/>
  <c r="CT547" i="319"/>
  <c r="CL547" i="319"/>
  <c r="CN547" i="319" s="1"/>
  <c r="CH547" i="319"/>
  <c r="S547" i="319"/>
  <c r="I547" i="319"/>
  <c r="K547" i="319" s="1"/>
  <c r="CL546" i="319"/>
  <c r="CN546" i="319" s="1"/>
  <c r="CP546" i="319" s="1"/>
  <c r="CH546" i="319"/>
  <c r="S546" i="319"/>
  <c r="I546" i="319"/>
  <c r="K546" i="319" s="1"/>
  <c r="CV545" i="319"/>
  <c r="CL545" i="319"/>
  <c r="CN545" i="319" s="1"/>
  <c r="CP545" i="319" s="1"/>
  <c r="CH545" i="319"/>
  <c r="S545" i="319"/>
  <c r="K545" i="319"/>
  <c r="I545" i="319"/>
  <c r="CL544" i="319"/>
  <c r="CN544" i="319" s="1"/>
  <c r="CH544" i="319"/>
  <c r="S544" i="319"/>
  <c r="I544" i="319"/>
  <c r="K544" i="319" s="1"/>
  <c r="CL543" i="319"/>
  <c r="CN543" i="319" s="1"/>
  <c r="CV543" i="319" s="1"/>
  <c r="CH543" i="319"/>
  <c r="S543" i="319"/>
  <c r="I543" i="319"/>
  <c r="K543" i="319" s="1"/>
  <c r="CT542" i="319"/>
  <c r="CL542" i="319"/>
  <c r="CN542" i="319" s="1"/>
  <c r="CH542" i="319"/>
  <c r="S542" i="319"/>
  <c r="I542" i="319"/>
  <c r="K542" i="319" s="1"/>
  <c r="CL541" i="319"/>
  <c r="CN541" i="319" s="1"/>
  <c r="CP541" i="319" s="1"/>
  <c r="CH541" i="319"/>
  <c r="S541" i="319"/>
  <c r="I541" i="319"/>
  <c r="K541" i="319" s="1"/>
  <c r="CL540" i="319"/>
  <c r="CN540" i="319" s="1"/>
  <c r="CH540" i="319"/>
  <c r="S540" i="319"/>
  <c r="I540" i="319"/>
  <c r="K540" i="319" s="1"/>
  <c r="CL539" i="319"/>
  <c r="CN539" i="319" s="1"/>
  <c r="CH539" i="319"/>
  <c r="S539" i="319"/>
  <c r="I539" i="319"/>
  <c r="K539" i="319" s="1"/>
  <c r="CL538" i="319"/>
  <c r="CN538" i="319" s="1"/>
  <c r="CP538" i="319" s="1"/>
  <c r="CH538" i="319"/>
  <c r="S538" i="319"/>
  <c r="I538" i="319"/>
  <c r="K538" i="319" s="1"/>
  <c r="CT537" i="319"/>
  <c r="CL537" i="319"/>
  <c r="CN537" i="319" s="1"/>
  <c r="CH537" i="319"/>
  <c r="S537" i="319"/>
  <c r="I537" i="319"/>
  <c r="K537" i="319" s="1"/>
  <c r="CL536" i="319"/>
  <c r="CN536" i="319" s="1"/>
  <c r="CH536" i="319"/>
  <c r="S536" i="319"/>
  <c r="I536" i="319"/>
  <c r="K536" i="319" s="1"/>
  <c r="CL535" i="319"/>
  <c r="CN535" i="319" s="1"/>
  <c r="CP535" i="319" s="1"/>
  <c r="CH535" i="319"/>
  <c r="S535" i="319"/>
  <c r="I535" i="319"/>
  <c r="K535" i="319" s="1"/>
  <c r="CL534" i="319"/>
  <c r="CN534" i="319" s="1"/>
  <c r="CV534" i="319" s="1"/>
  <c r="CL533" i="319"/>
  <c r="CN533" i="319" s="1"/>
  <c r="CH533" i="319"/>
  <c r="S533" i="319"/>
  <c r="K533" i="319"/>
  <c r="I533" i="319"/>
  <c r="CL532" i="319"/>
  <c r="CN532" i="319" s="1"/>
  <c r="CP532" i="319" s="1"/>
  <c r="CH532" i="319"/>
  <c r="S532" i="319"/>
  <c r="I532" i="319"/>
  <c r="K532" i="319" s="1"/>
  <c r="CT531" i="319"/>
  <c r="CL531" i="319"/>
  <c r="CN531" i="319" s="1"/>
  <c r="CH531" i="319"/>
  <c r="S531" i="319"/>
  <c r="I531" i="319"/>
  <c r="K531" i="319" s="1"/>
  <c r="CL530" i="319"/>
  <c r="CN530" i="319" s="1"/>
  <c r="CH530" i="319"/>
  <c r="S530" i="319"/>
  <c r="I530" i="319"/>
  <c r="K530" i="319" s="1"/>
  <c r="CL529" i="319"/>
  <c r="CN529" i="319" s="1"/>
  <c r="CH529" i="319"/>
  <c r="S529" i="319"/>
  <c r="I529" i="319"/>
  <c r="K529" i="319" s="1"/>
  <c r="CL528" i="319"/>
  <c r="CN528" i="319" s="1"/>
  <c r="CH528" i="319"/>
  <c r="S528" i="319"/>
  <c r="I528" i="319"/>
  <c r="K528" i="319" s="1"/>
  <c r="CL527" i="319"/>
  <c r="CN527" i="319" s="1"/>
  <c r="CH527" i="319"/>
  <c r="S527" i="319"/>
  <c r="I527" i="319"/>
  <c r="K527" i="319" s="1"/>
  <c r="CT526" i="319"/>
  <c r="CL526" i="319"/>
  <c r="CN526" i="319" s="1"/>
  <c r="CP526" i="319" s="1"/>
  <c r="CH526" i="319"/>
  <c r="S526" i="319"/>
  <c r="I526" i="319"/>
  <c r="K526" i="319" s="1"/>
  <c r="CL525" i="319"/>
  <c r="CN525" i="319" s="1"/>
  <c r="CH525" i="319"/>
  <c r="S525" i="319"/>
  <c r="I525" i="319"/>
  <c r="K525" i="319" s="1"/>
  <c r="CL524" i="319"/>
  <c r="CN524" i="319" s="1"/>
  <c r="CH524" i="319"/>
  <c r="S524" i="319"/>
  <c r="I524" i="319"/>
  <c r="K524" i="319" s="1"/>
  <c r="CL523" i="319"/>
  <c r="CN523" i="319" s="1"/>
  <c r="CH523" i="319"/>
  <c r="S523" i="319"/>
  <c r="I523" i="319"/>
  <c r="K523" i="319" s="1"/>
  <c r="CL522" i="319"/>
  <c r="CN522" i="319" s="1"/>
  <c r="CH522" i="319"/>
  <c r="S522" i="319"/>
  <c r="I522" i="319"/>
  <c r="K522" i="319" s="1"/>
  <c r="CL521" i="319"/>
  <c r="CN521" i="319" s="1"/>
  <c r="CH521" i="319"/>
  <c r="S521" i="319"/>
  <c r="I521" i="319"/>
  <c r="K521" i="319" s="1"/>
  <c r="CT520" i="319"/>
  <c r="CL520" i="319"/>
  <c r="CN520" i="319" s="1"/>
  <c r="CP520" i="319" s="1"/>
  <c r="CH520" i="319"/>
  <c r="S520" i="319"/>
  <c r="I520" i="319"/>
  <c r="K520" i="319" s="1"/>
  <c r="CL519" i="319"/>
  <c r="CN519" i="319" s="1"/>
  <c r="CV519" i="319" s="1"/>
  <c r="CH519" i="319"/>
  <c r="S519" i="319"/>
  <c r="I519" i="319"/>
  <c r="K519" i="319" s="1"/>
  <c r="CL518" i="319"/>
  <c r="CN518" i="319" s="1"/>
  <c r="CH518" i="319"/>
  <c r="S518" i="319"/>
  <c r="I518" i="319"/>
  <c r="K518" i="319" s="1"/>
  <c r="CL517" i="319"/>
  <c r="CN517" i="319" s="1"/>
  <c r="CH517" i="319"/>
  <c r="S517" i="319"/>
  <c r="I517" i="319"/>
  <c r="K517" i="319" s="1"/>
  <c r="CL516" i="319"/>
  <c r="CN516" i="319" s="1"/>
  <c r="CP516" i="319" s="1"/>
  <c r="CH516" i="319"/>
  <c r="S516" i="319"/>
  <c r="I516" i="319"/>
  <c r="K516" i="319" s="1"/>
  <c r="CT515" i="319"/>
  <c r="CL515" i="319"/>
  <c r="CN515" i="319" s="1"/>
  <c r="CH515" i="319"/>
  <c r="S515" i="319"/>
  <c r="I515" i="319"/>
  <c r="K515" i="319" s="1"/>
  <c r="CL514" i="319"/>
  <c r="CN514" i="319" s="1"/>
  <c r="CH514" i="319"/>
  <c r="S514" i="319"/>
  <c r="I514" i="319"/>
  <c r="K514" i="319" s="1"/>
  <c r="CL513" i="319"/>
  <c r="CN513" i="319" s="1"/>
  <c r="CP513" i="319" s="1"/>
  <c r="CH513" i="319"/>
  <c r="S513" i="319"/>
  <c r="I513" i="319"/>
  <c r="K513" i="319" s="1"/>
  <c r="CL512" i="319"/>
  <c r="CN512" i="319" s="1"/>
  <c r="CV512" i="319" s="1"/>
  <c r="CH512" i="319"/>
  <c r="S512" i="319"/>
  <c r="I512" i="319"/>
  <c r="K512" i="319" s="1"/>
  <c r="CV511" i="319"/>
  <c r="CL511" i="319"/>
  <c r="CN511" i="319" s="1"/>
  <c r="CP511" i="319" s="1"/>
  <c r="CH511" i="319"/>
  <c r="S511" i="319"/>
  <c r="I511" i="319"/>
  <c r="K511" i="319" s="1"/>
  <c r="CT510" i="319"/>
  <c r="CL510" i="319"/>
  <c r="CN510" i="319" s="1"/>
  <c r="CP510" i="319" s="1"/>
  <c r="CH510" i="319"/>
  <c r="S510" i="319"/>
  <c r="I510" i="319"/>
  <c r="K510" i="319" s="1"/>
  <c r="CL509" i="319"/>
  <c r="CN509" i="319" s="1"/>
  <c r="CH509" i="319"/>
  <c r="S509" i="319"/>
  <c r="I509" i="319"/>
  <c r="K509" i="319" s="1"/>
  <c r="CL508" i="319"/>
  <c r="CN508" i="319" s="1"/>
  <c r="CH508" i="319"/>
  <c r="S508" i="319"/>
  <c r="I508" i="319"/>
  <c r="K508" i="319" s="1"/>
  <c r="CL507" i="319"/>
  <c r="CN507" i="319" s="1"/>
  <c r="CH507" i="319"/>
  <c r="S507" i="319"/>
  <c r="I507" i="319"/>
  <c r="K507" i="319" s="1"/>
  <c r="CN506" i="319"/>
  <c r="CL506" i="319"/>
  <c r="CH506" i="319"/>
  <c r="S506" i="319"/>
  <c r="I506" i="319"/>
  <c r="K506" i="319" s="1"/>
  <c r="CL505" i="319"/>
  <c r="CN505" i="319" s="1"/>
  <c r="CH505" i="319"/>
  <c r="S505" i="319"/>
  <c r="I505" i="319"/>
  <c r="K505" i="319" s="1"/>
  <c r="CT504" i="319"/>
  <c r="CL504" i="319"/>
  <c r="CN504" i="319" s="1"/>
  <c r="CP504" i="319" s="1"/>
  <c r="CH504" i="319"/>
  <c r="S504" i="319"/>
  <c r="I504" i="319"/>
  <c r="K504" i="319" s="1"/>
  <c r="CL503" i="319"/>
  <c r="CN503" i="319" s="1"/>
  <c r="CH503" i="319"/>
  <c r="S503" i="319"/>
  <c r="I503" i="319"/>
  <c r="K503" i="319" s="1"/>
  <c r="CL502" i="319"/>
  <c r="CN502" i="319" s="1"/>
  <c r="CH502" i="319"/>
  <c r="S502" i="319"/>
  <c r="I502" i="319"/>
  <c r="K502" i="319" s="1"/>
  <c r="CL501" i="319"/>
  <c r="CN501" i="319" s="1"/>
  <c r="CV501" i="319" s="1"/>
  <c r="CH501" i="319"/>
  <c r="S501" i="319"/>
  <c r="I501" i="319"/>
  <c r="K501" i="319" s="1"/>
  <c r="CR500" i="319"/>
  <c r="CL500" i="319"/>
  <c r="CN500" i="319" s="1"/>
  <c r="CP500" i="319" s="1"/>
  <c r="CH500" i="319"/>
  <c r="S500" i="319"/>
  <c r="I500" i="319"/>
  <c r="K500" i="319" s="1"/>
  <c r="CT499" i="319"/>
  <c r="CL499" i="319"/>
  <c r="CN499" i="319" s="1"/>
  <c r="CH499" i="319"/>
  <c r="S499" i="319"/>
  <c r="I499" i="319"/>
  <c r="K499" i="319" s="1"/>
  <c r="CL498" i="319"/>
  <c r="CN498" i="319" s="1"/>
  <c r="CH498" i="319"/>
  <c r="S498" i="319"/>
  <c r="I498" i="319"/>
  <c r="K498" i="319" s="1"/>
  <c r="CL497" i="319"/>
  <c r="CN497" i="319" s="1"/>
  <c r="CV497" i="319" s="1"/>
  <c r="CH497" i="319"/>
  <c r="S497" i="319"/>
  <c r="I497" i="319"/>
  <c r="K497" i="319" s="1"/>
  <c r="CL496" i="319"/>
  <c r="CN496" i="319" s="1"/>
  <c r="CH496" i="319"/>
  <c r="S496" i="319"/>
  <c r="I496" i="319"/>
  <c r="K496" i="319" s="1"/>
  <c r="CL495" i="319"/>
  <c r="CN495" i="319" s="1"/>
  <c r="CP495" i="319" s="1"/>
  <c r="CH495" i="319"/>
  <c r="S495" i="319"/>
  <c r="I495" i="319"/>
  <c r="K495" i="319" s="1"/>
  <c r="CT494" i="319"/>
  <c r="CL494" i="319"/>
  <c r="CN494" i="319" s="1"/>
  <c r="CH494" i="319"/>
  <c r="S494" i="319"/>
  <c r="I494" i="319"/>
  <c r="K494" i="319" s="1"/>
  <c r="CL493" i="319"/>
  <c r="CN493" i="319" s="1"/>
  <c r="CH493" i="319"/>
  <c r="S493" i="319"/>
  <c r="I493" i="319"/>
  <c r="K493" i="319" s="1"/>
  <c r="CL492" i="319"/>
  <c r="CN492" i="319" s="1"/>
  <c r="CP492" i="319" s="1"/>
  <c r="CH492" i="319"/>
  <c r="S492" i="319"/>
  <c r="I492" i="319"/>
  <c r="K492" i="319" s="1"/>
  <c r="CL491" i="319"/>
  <c r="CN491" i="319" s="1"/>
  <c r="CH491" i="319"/>
  <c r="S491" i="319"/>
  <c r="I491" i="319"/>
  <c r="K491" i="319" s="1"/>
  <c r="CL490" i="319"/>
  <c r="CN490" i="319" s="1"/>
  <c r="CH490" i="319"/>
  <c r="S490" i="319"/>
  <c r="I490" i="319"/>
  <c r="K490" i="319" s="1"/>
  <c r="CT489" i="319"/>
  <c r="CL489" i="319"/>
  <c r="CN489" i="319" s="1"/>
  <c r="CP489" i="319" s="1"/>
  <c r="CH489" i="319"/>
  <c r="S489" i="319"/>
  <c r="I489" i="319"/>
  <c r="K489" i="319" s="1"/>
  <c r="CL488" i="319"/>
  <c r="CN488" i="319" s="1"/>
  <c r="CH488" i="319"/>
  <c r="S488" i="319"/>
  <c r="I488" i="319"/>
  <c r="K488" i="319" s="1"/>
  <c r="CL487" i="319"/>
  <c r="CN487" i="319" s="1"/>
  <c r="CH487" i="319"/>
  <c r="S487" i="319"/>
  <c r="I487" i="319"/>
  <c r="K487" i="319" s="1"/>
  <c r="CV486" i="319"/>
  <c r="CL486" i="319"/>
  <c r="CN486" i="319" s="1"/>
  <c r="CH486" i="319"/>
  <c r="S486" i="319"/>
  <c r="K486" i="319"/>
  <c r="I486" i="319"/>
  <c r="CL485" i="319"/>
  <c r="CN485" i="319" s="1"/>
  <c r="CH485" i="319"/>
  <c r="S485" i="319"/>
  <c r="I485" i="319"/>
  <c r="K485" i="319" s="1"/>
  <c r="CT484" i="319"/>
  <c r="CL484" i="319"/>
  <c r="CN484" i="319" s="1"/>
  <c r="CH484" i="319"/>
  <c r="S484" i="319"/>
  <c r="I484" i="319"/>
  <c r="K484" i="319" s="1"/>
  <c r="CL483" i="319"/>
  <c r="CN483" i="319" s="1"/>
  <c r="CH483" i="319"/>
  <c r="S483" i="319"/>
  <c r="I483" i="319"/>
  <c r="K483" i="319" s="1"/>
  <c r="CL482" i="319"/>
  <c r="CN482" i="319" s="1"/>
  <c r="CH482" i="319"/>
  <c r="S482" i="319"/>
  <c r="I482" i="319"/>
  <c r="K482" i="319" s="1"/>
  <c r="CL481" i="319"/>
  <c r="CN481" i="319" s="1"/>
  <c r="CH481" i="319"/>
  <c r="S481" i="319"/>
  <c r="I481" i="319"/>
  <c r="K481" i="319" s="1"/>
  <c r="CL480" i="319"/>
  <c r="CN480" i="319" s="1"/>
  <c r="CH480" i="319"/>
  <c r="S480" i="319"/>
  <c r="I480" i="319"/>
  <c r="K480" i="319" s="1"/>
  <c r="CT479" i="319"/>
  <c r="CL479" i="319"/>
  <c r="CN479" i="319" s="1"/>
  <c r="CH479" i="319"/>
  <c r="S479" i="319"/>
  <c r="I479" i="319"/>
  <c r="K479" i="319" s="1"/>
  <c r="CL478" i="319"/>
  <c r="CN478" i="319" s="1"/>
  <c r="CR478" i="319" s="1"/>
  <c r="CH478" i="319"/>
  <c r="S478" i="319"/>
  <c r="I478" i="319"/>
  <c r="K478" i="319" s="1"/>
  <c r="CN477" i="319"/>
  <c r="CL477" i="319"/>
  <c r="CH477" i="319"/>
  <c r="S477" i="319"/>
  <c r="I477" i="319"/>
  <c r="K477" i="319" s="1"/>
  <c r="CL476" i="319"/>
  <c r="CN476" i="319" s="1"/>
  <c r="CH476" i="319"/>
  <c r="S476" i="319"/>
  <c r="I476" i="319"/>
  <c r="K476" i="319" s="1"/>
  <c r="CL475" i="319"/>
  <c r="CN475" i="319" s="1"/>
  <c r="CH475" i="319"/>
  <c r="S475" i="319"/>
  <c r="I475" i="319"/>
  <c r="K475" i="319" s="1"/>
  <c r="CL474" i="319"/>
  <c r="CN474" i="319" s="1"/>
  <c r="CH474" i="319"/>
  <c r="S474" i="319"/>
  <c r="I474" i="319"/>
  <c r="K474" i="319" s="1"/>
  <c r="CT473" i="319"/>
  <c r="CN473" i="319"/>
  <c r="CL473" i="319"/>
  <c r="CH473" i="319"/>
  <c r="S473" i="319"/>
  <c r="K473" i="319"/>
  <c r="I473" i="319"/>
  <c r="CL472" i="319"/>
  <c r="CN472" i="319" s="1"/>
  <c r="CL471" i="319"/>
  <c r="CN471" i="319" s="1"/>
  <c r="CV471" i="319" s="1"/>
  <c r="CH471" i="319"/>
  <c r="Q471" i="319"/>
  <c r="S471" i="319" s="1"/>
  <c r="I471" i="319"/>
  <c r="K471" i="319" s="1"/>
  <c r="CL470" i="319"/>
  <c r="CN470" i="319" s="1"/>
  <c r="CH470" i="319"/>
  <c r="Q470" i="319"/>
  <c r="S470" i="319" s="1"/>
  <c r="I470" i="319"/>
  <c r="K470" i="319" s="1"/>
  <c r="CL469" i="319"/>
  <c r="CN469" i="319" s="1"/>
  <c r="CV469" i="319" s="1"/>
  <c r="CH469" i="319"/>
  <c r="Q469" i="319"/>
  <c r="S469" i="319" s="1"/>
  <c r="I469" i="319"/>
  <c r="K469" i="319" s="1"/>
  <c r="CL468" i="319"/>
  <c r="CN468" i="319" s="1"/>
  <c r="CH468" i="319"/>
  <c r="Q468" i="319"/>
  <c r="S468" i="319" s="1"/>
  <c r="I468" i="319"/>
  <c r="K468" i="319" s="1"/>
  <c r="CT467" i="319"/>
  <c r="CL467" i="319"/>
  <c r="CN467" i="319" s="1"/>
  <c r="CH467" i="319"/>
  <c r="Q467" i="319"/>
  <c r="S467" i="319" s="1"/>
  <c r="I467" i="319"/>
  <c r="K467" i="319" s="1"/>
  <c r="CL466" i="319"/>
  <c r="CN466" i="319" s="1"/>
  <c r="CH466" i="319"/>
  <c r="Q466" i="319"/>
  <c r="S466" i="319" s="1"/>
  <c r="I466" i="319"/>
  <c r="K466" i="319" s="1"/>
  <c r="CL465" i="319"/>
  <c r="CN465" i="319" s="1"/>
  <c r="CH465" i="319"/>
  <c r="Q465" i="319"/>
  <c r="S465" i="319" s="1"/>
  <c r="I465" i="319"/>
  <c r="K465" i="319" s="1"/>
  <c r="CL464" i="319"/>
  <c r="CN464" i="319" s="1"/>
  <c r="CH464" i="319"/>
  <c r="Q464" i="319"/>
  <c r="S464" i="319" s="1"/>
  <c r="I464" i="319"/>
  <c r="K464" i="319" s="1"/>
  <c r="CL463" i="319"/>
  <c r="CN463" i="319" s="1"/>
  <c r="Q463" i="319"/>
  <c r="S463" i="319" s="1"/>
  <c r="I463" i="319"/>
  <c r="K463" i="319" s="1"/>
  <c r="CT462" i="319"/>
  <c r="CL462" i="319"/>
  <c r="CN462" i="319" s="1"/>
  <c r="Q462" i="319"/>
  <c r="S462" i="319" s="1"/>
  <c r="I462" i="319"/>
  <c r="K462" i="319" s="1"/>
  <c r="CL461" i="319"/>
  <c r="CN461" i="319" s="1"/>
  <c r="CP461" i="319" s="1"/>
  <c r="Q461" i="319"/>
  <c r="S461" i="319" s="1"/>
  <c r="I461" i="319"/>
  <c r="K461" i="319" s="1"/>
  <c r="CL460" i="319"/>
  <c r="CN460" i="319" s="1"/>
  <c r="Q460" i="319"/>
  <c r="S460" i="319" s="1"/>
  <c r="I460" i="319"/>
  <c r="K460" i="319" s="1"/>
  <c r="CL459" i="319"/>
  <c r="CN459" i="319" s="1"/>
  <c r="CV459" i="319" s="1"/>
  <c r="Q459" i="319"/>
  <c r="S459" i="319" s="1"/>
  <c r="I459" i="319"/>
  <c r="K459" i="319" s="1"/>
  <c r="CL458" i="319"/>
  <c r="CN458" i="319" s="1"/>
  <c r="Q458" i="319"/>
  <c r="S458" i="319" s="1"/>
  <c r="I458" i="319"/>
  <c r="K458" i="319" s="1"/>
  <c r="CT457" i="319"/>
  <c r="CL457" i="319"/>
  <c r="CN457" i="319" s="1"/>
  <c r="CV457" i="319" s="1"/>
  <c r="BO457" i="319"/>
  <c r="BQ457" i="319" s="1"/>
  <c r="BS457" i="319" s="1"/>
  <c r="BT457" i="319" s="1"/>
  <c r="Q457" i="319"/>
  <c r="S457" i="319" s="1"/>
  <c r="I457" i="319"/>
  <c r="K457" i="319" s="1"/>
  <c r="CL456" i="319"/>
  <c r="CN456" i="319" s="1"/>
  <c r="BO456" i="319"/>
  <c r="BQ456" i="319" s="1"/>
  <c r="BS456" i="319" s="1"/>
  <c r="Q456" i="319"/>
  <c r="S456" i="319" s="1"/>
  <c r="I456" i="319"/>
  <c r="K456" i="319" s="1"/>
  <c r="CL455" i="319"/>
  <c r="CN455" i="319" s="1"/>
  <c r="CV455" i="319" s="1"/>
  <c r="BO455" i="319"/>
  <c r="BQ455" i="319" s="1"/>
  <c r="BS455" i="319" s="1"/>
  <c r="Q455" i="319"/>
  <c r="S455" i="319" s="1"/>
  <c r="I455" i="319"/>
  <c r="K455" i="319" s="1"/>
  <c r="CL454" i="319"/>
  <c r="CN454" i="319" s="1"/>
  <c r="CP454" i="319" s="1"/>
  <c r="BO454" i="319"/>
  <c r="BQ454" i="319" s="1"/>
  <c r="BS454" i="319" s="1"/>
  <c r="BE454" i="319"/>
  <c r="BG454" i="319" s="1"/>
  <c r="BI454" i="319" s="1"/>
  <c r="Q454" i="319"/>
  <c r="S454" i="319" s="1"/>
  <c r="I454" i="319"/>
  <c r="K454" i="319" s="1"/>
  <c r="CL453" i="319"/>
  <c r="CN453" i="319" s="1"/>
  <c r="BO453" i="319"/>
  <c r="BQ453" i="319" s="1"/>
  <c r="BS453" i="319" s="1"/>
  <c r="BE453" i="319"/>
  <c r="BG453" i="319" s="1"/>
  <c r="BI453" i="319" s="1"/>
  <c r="Q453" i="319"/>
  <c r="S453" i="319" s="1"/>
  <c r="I453" i="319"/>
  <c r="K453" i="319" s="1"/>
  <c r="CT452" i="319"/>
  <c r="CL452" i="319"/>
  <c r="CN452" i="319" s="1"/>
  <c r="CP452" i="319" s="1"/>
  <c r="BO452" i="319"/>
  <c r="BQ452" i="319" s="1"/>
  <c r="BS452" i="319" s="1"/>
  <c r="BE452" i="319"/>
  <c r="BG452" i="319" s="1"/>
  <c r="BI452" i="319" s="1"/>
  <c r="Q452" i="319"/>
  <c r="S452" i="319" s="1"/>
  <c r="I452" i="319"/>
  <c r="K452" i="319" s="1"/>
  <c r="CL451" i="319"/>
  <c r="CN451" i="319" s="1"/>
  <c r="CV451" i="319" s="1"/>
  <c r="BO451" i="319"/>
  <c r="BQ451" i="319" s="1"/>
  <c r="BS451" i="319" s="1"/>
  <c r="BE451" i="319"/>
  <c r="BG451" i="319" s="1"/>
  <c r="BI451" i="319" s="1"/>
  <c r="BJ454" i="319" s="1"/>
  <c r="BL454" i="319" s="1"/>
  <c r="Q451" i="319"/>
  <c r="S451" i="319" s="1"/>
  <c r="I451" i="319"/>
  <c r="K451" i="319" s="1"/>
  <c r="CL450" i="319"/>
  <c r="CN450" i="319" s="1"/>
  <c r="BO450" i="319"/>
  <c r="BQ450" i="319" s="1"/>
  <c r="BS450" i="319" s="1"/>
  <c r="BE450" i="319"/>
  <c r="BG450" i="319" s="1"/>
  <c r="BI450" i="319" s="1"/>
  <c r="Q450" i="319"/>
  <c r="S450" i="319" s="1"/>
  <c r="I450" i="319"/>
  <c r="K450" i="319" s="1"/>
  <c r="CL449" i="319"/>
  <c r="CN449" i="319" s="1"/>
  <c r="CP449" i="319" s="1"/>
  <c r="BO449" i="319"/>
  <c r="BQ449" i="319" s="1"/>
  <c r="BS449" i="319" s="1"/>
  <c r="BE449" i="319"/>
  <c r="BG449" i="319" s="1"/>
  <c r="BI449" i="319" s="1"/>
  <c r="Q449" i="319"/>
  <c r="S449" i="319" s="1"/>
  <c r="I449" i="319"/>
  <c r="K449" i="319" s="1"/>
  <c r="CL448" i="319"/>
  <c r="CN448" i="319" s="1"/>
  <c r="BO448" i="319"/>
  <c r="BQ448" i="319" s="1"/>
  <c r="BS448" i="319" s="1"/>
  <c r="BE448" i="319"/>
  <c r="BG448" i="319" s="1"/>
  <c r="BI448" i="319" s="1"/>
  <c r="Q448" i="319"/>
  <c r="S448" i="319" s="1"/>
  <c r="I448" i="319"/>
  <c r="K448" i="319" s="1"/>
  <c r="CL447" i="319"/>
  <c r="CN447" i="319" s="1"/>
  <c r="BO447" i="319"/>
  <c r="BQ447" i="319" s="1"/>
  <c r="BS447" i="319" s="1"/>
  <c r="BE447" i="319"/>
  <c r="BG447" i="319" s="1"/>
  <c r="BI447" i="319" s="1"/>
  <c r="Q447" i="319"/>
  <c r="S447" i="319" s="1"/>
  <c r="I447" i="319"/>
  <c r="K447" i="319" s="1"/>
  <c r="CT446" i="319"/>
  <c r="CL446" i="319"/>
  <c r="CN446" i="319" s="1"/>
  <c r="BO446" i="319"/>
  <c r="BQ446" i="319" s="1"/>
  <c r="BS446" i="319" s="1"/>
  <c r="BE446" i="319"/>
  <c r="BG446" i="319" s="1"/>
  <c r="BI446" i="319" s="1"/>
  <c r="Q446" i="319"/>
  <c r="S446" i="319" s="1"/>
  <c r="I446" i="319"/>
  <c r="K446" i="319" s="1"/>
  <c r="CL445" i="319"/>
  <c r="CN445" i="319" s="1"/>
  <c r="CP445" i="319" s="1"/>
  <c r="BO445" i="319"/>
  <c r="BQ445" i="319" s="1"/>
  <c r="BS445" i="319" s="1"/>
  <c r="BE445" i="319"/>
  <c r="BG445" i="319" s="1"/>
  <c r="BI445" i="319" s="1"/>
  <c r="S445" i="319"/>
  <c r="Q445" i="319"/>
  <c r="I445" i="319"/>
  <c r="K445" i="319" s="1"/>
  <c r="CL444" i="319"/>
  <c r="CN444" i="319" s="1"/>
  <c r="BO444" i="319"/>
  <c r="BQ444" i="319" s="1"/>
  <c r="BS444" i="319" s="1"/>
  <c r="BE444" i="319"/>
  <c r="BG444" i="319" s="1"/>
  <c r="BI444" i="319" s="1"/>
  <c r="Q444" i="319"/>
  <c r="S444" i="319" s="1"/>
  <c r="I444" i="319"/>
  <c r="K444" i="319" s="1"/>
  <c r="CL443" i="319"/>
  <c r="CN443" i="319" s="1"/>
  <c r="CP443" i="319" s="1"/>
  <c r="BO443" i="319"/>
  <c r="BQ443" i="319" s="1"/>
  <c r="BS443" i="319" s="1"/>
  <c r="BE443" i="319"/>
  <c r="BG443" i="319" s="1"/>
  <c r="BI443" i="319" s="1"/>
  <c r="Q443" i="319"/>
  <c r="S443" i="319" s="1"/>
  <c r="I443" i="319"/>
  <c r="K443" i="319" s="1"/>
  <c r="CL442" i="319"/>
  <c r="CN442" i="319" s="1"/>
  <c r="BO442" i="319"/>
  <c r="BQ442" i="319" s="1"/>
  <c r="BS442" i="319" s="1"/>
  <c r="BE442" i="319"/>
  <c r="BG442" i="319" s="1"/>
  <c r="BI442" i="319" s="1"/>
  <c r="Q442" i="319"/>
  <c r="S442" i="319" s="1"/>
  <c r="I442" i="319"/>
  <c r="K442" i="319" s="1"/>
  <c r="CT441" i="319"/>
  <c r="CL441" i="319"/>
  <c r="CN441" i="319" s="1"/>
  <c r="CP441" i="319" s="1"/>
  <c r="BO441" i="319"/>
  <c r="BQ441" i="319" s="1"/>
  <c r="BS441" i="319" s="1"/>
  <c r="BE441" i="319"/>
  <c r="BG441" i="319" s="1"/>
  <c r="BI441" i="319" s="1"/>
  <c r="Q441" i="319"/>
  <c r="S441" i="319" s="1"/>
  <c r="I441" i="319"/>
  <c r="K441" i="319" s="1"/>
  <c r="CL440" i="319"/>
  <c r="CN440" i="319" s="1"/>
  <c r="BO440" i="319"/>
  <c r="BQ440" i="319" s="1"/>
  <c r="BS440" i="319" s="1"/>
  <c r="BE440" i="319"/>
  <c r="BG440" i="319" s="1"/>
  <c r="BI440" i="319" s="1"/>
  <c r="Q440" i="319"/>
  <c r="S440" i="319" s="1"/>
  <c r="I440" i="319"/>
  <c r="K440" i="319" s="1"/>
  <c r="CL439" i="319"/>
  <c r="CN439" i="319" s="1"/>
  <c r="BO439" i="319"/>
  <c r="BQ439" i="319" s="1"/>
  <c r="BS439" i="319" s="1"/>
  <c r="BE439" i="319"/>
  <c r="BG439" i="319" s="1"/>
  <c r="BI439" i="319" s="1"/>
  <c r="Q439" i="319"/>
  <c r="S439" i="319" s="1"/>
  <c r="I439" i="319"/>
  <c r="K439" i="319" s="1"/>
  <c r="CL438" i="319"/>
  <c r="CN438" i="319" s="1"/>
  <c r="BO438" i="319"/>
  <c r="BQ438" i="319" s="1"/>
  <c r="BS438" i="319" s="1"/>
  <c r="BE438" i="319"/>
  <c r="BG438" i="319" s="1"/>
  <c r="BI438" i="319" s="1"/>
  <c r="Q438" i="319"/>
  <c r="S438" i="319" s="1"/>
  <c r="I438" i="319"/>
  <c r="K438" i="319" s="1"/>
  <c r="CL437" i="319"/>
  <c r="CN437" i="319" s="1"/>
  <c r="CP437" i="319" s="1"/>
  <c r="BO437" i="319"/>
  <c r="BQ437" i="319" s="1"/>
  <c r="BS437" i="319" s="1"/>
  <c r="BE437" i="319"/>
  <c r="BG437" i="319" s="1"/>
  <c r="BI437" i="319" s="1"/>
  <c r="Q437" i="319"/>
  <c r="S437" i="319" s="1"/>
  <c r="I437" i="319"/>
  <c r="K437" i="319" s="1"/>
  <c r="CT436" i="319"/>
  <c r="CL436" i="319"/>
  <c r="CN436" i="319" s="1"/>
  <c r="BO436" i="319"/>
  <c r="BQ436" i="319" s="1"/>
  <c r="BS436" i="319" s="1"/>
  <c r="BE436" i="319"/>
  <c r="BG436" i="319" s="1"/>
  <c r="BI436" i="319" s="1"/>
  <c r="Q436" i="319"/>
  <c r="S436" i="319" s="1"/>
  <c r="I436" i="319"/>
  <c r="K436" i="319" s="1"/>
  <c r="CL435" i="319"/>
  <c r="CN435" i="319" s="1"/>
  <c r="BO435" i="319"/>
  <c r="BQ435" i="319" s="1"/>
  <c r="BS435" i="319" s="1"/>
  <c r="BE435" i="319"/>
  <c r="BG435" i="319" s="1"/>
  <c r="BI435" i="319" s="1"/>
  <c r="Q435" i="319"/>
  <c r="S435" i="319" s="1"/>
  <c r="I435" i="319"/>
  <c r="K435" i="319" s="1"/>
  <c r="CL434" i="319"/>
  <c r="CN434" i="319" s="1"/>
  <c r="CP434" i="319" s="1"/>
  <c r="BO434" i="319"/>
  <c r="BQ434" i="319" s="1"/>
  <c r="BS434" i="319" s="1"/>
  <c r="BE434" i="319"/>
  <c r="BG434" i="319" s="1"/>
  <c r="BI434" i="319" s="1"/>
  <c r="Q434" i="319"/>
  <c r="S434" i="319" s="1"/>
  <c r="I434" i="319"/>
  <c r="K434" i="319" s="1"/>
  <c r="CL433" i="319"/>
  <c r="CN433" i="319" s="1"/>
  <c r="CV433" i="319" s="1"/>
  <c r="BO433" i="319"/>
  <c r="BQ433" i="319" s="1"/>
  <c r="BS433" i="319" s="1"/>
  <c r="BE433" i="319"/>
  <c r="BG433" i="319" s="1"/>
  <c r="BI433" i="319" s="1"/>
  <c r="Q433" i="319"/>
  <c r="S433" i="319" s="1"/>
  <c r="I433" i="319"/>
  <c r="K433" i="319" s="1"/>
  <c r="CL432" i="319"/>
  <c r="CN432" i="319" s="1"/>
  <c r="BO432" i="319"/>
  <c r="BQ432" i="319" s="1"/>
  <c r="BS432" i="319" s="1"/>
  <c r="BE432" i="319"/>
  <c r="BG432" i="319" s="1"/>
  <c r="BI432" i="319" s="1"/>
  <c r="Q432" i="319"/>
  <c r="S432" i="319" s="1"/>
  <c r="I432" i="319"/>
  <c r="K432" i="319" s="1"/>
  <c r="CL431" i="319"/>
  <c r="CN431" i="319" s="1"/>
  <c r="BO431" i="319"/>
  <c r="BQ431" i="319" s="1"/>
  <c r="BS431" i="319" s="1"/>
  <c r="BE431" i="319"/>
  <c r="BG431" i="319" s="1"/>
  <c r="BI431" i="319" s="1"/>
  <c r="Q431" i="319"/>
  <c r="S431" i="319" s="1"/>
  <c r="I431" i="319"/>
  <c r="K431" i="319" s="1"/>
  <c r="CT430" i="319"/>
  <c r="CL430" i="319"/>
  <c r="CN430" i="319" s="1"/>
  <c r="BO430" i="319"/>
  <c r="BQ430" i="319" s="1"/>
  <c r="BS430" i="319" s="1"/>
  <c r="BE430" i="319"/>
  <c r="BG430" i="319" s="1"/>
  <c r="BI430" i="319" s="1"/>
  <c r="Q430" i="319"/>
  <c r="S430" i="319" s="1"/>
  <c r="I430" i="319"/>
  <c r="K430" i="319" s="1"/>
  <c r="CL429" i="319"/>
  <c r="CN429" i="319" s="1"/>
  <c r="BO429" i="319"/>
  <c r="BQ429" i="319" s="1"/>
  <c r="BS429" i="319" s="1"/>
  <c r="BE429" i="319"/>
  <c r="BG429" i="319" s="1"/>
  <c r="BI429" i="319" s="1"/>
  <c r="Q429" i="319"/>
  <c r="S429" i="319" s="1"/>
  <c r="I429" i="319"/>
  <c r="K429" i="319" s="1"/>
  <c r="CL428" i="319"/>
  <c r="CN428" i="319" s="1"/>
  <c r="BO428" i="319"/>
  <c r="BQ428" i="319" s="1"/>
  <c r="BS428" i="319" s="1"/>
  <c r="BE428" i="319"/>
  <c r="BG428" i="319" s="1"/>
  <c r="BI428" i="319" s="1"/>
  <c r="Q428" i="319"/>
  <c r="S428" i="319" s="1"/>
  <c r="I428" i="319"/>
  <c r="K428" i="319" s="1"/>
  <c r="CL427" i="319"/>
  <c r="CN427" i="319" s="1"/>
  <c r="BO427" i="319"/>
  <c r="BQ427" i="319" s="1"/>
  <c r="BS427" i="319" s="1"/>
  <c r="BE427" i="319"/>
  <c r="BG427" i="319" s="1"/>
  <c r="BI427" i="319" s="1"/>
  <c r="Q427" i="319"/>
  <c r="S427" i="319" s="1"/>
  <c r="I427" i="319"/>
  <c r="K427" i="319" s="1"/>
  <c r="CL426" i="319"/>
  <c r="CN426" i="319" s="1"/>
  <c r="CP426" i="319" s="1"/>
  <c r="BO426" i="319"/>
  <c r="BQ426" i="319" s="1"/>
  <c r="BS426" i="319" s="1"/>
  <c r="BE426" i="319"/>
  <c r="BG426" i="319" s="1"/>
  <c r="BI426" i="319" s="1"/>
  <c r="Q426" i="319"/>
  <c r="S426" i="319" s="1"/>
  <c r="I426" i="319"/>
  <c r="K426" i="319" s="1"/>
  <c r="A426" i="319"/>
  <c r="CT425" i="319"/>
  <c r="CL425" i="319"/>
  <c r="CN425" i="319" s="1"/>
  <c r="BO425" i="319"/>
  <c r="BQ425" i="319" s="1"/>
  <c r="BS425" i="319" s="1"/>
  <c r="BE425" i="319"/>
  <c r="BG425" i="319" s="1"/>
  <c r="BI425" i="319" s="1"/>
  <c r="Q425" i="319"/>
  <c r="S425" i="319" s="1"/>
  <c r="I425" i="319"/>
  <c r="K425" i="319" s="1"/>
  <c r="A425" i="319"/>
  <c r="C425" i="319" s="1"/>
  <c r="CL424" i="319"/>
  <c r="CN424" i="319" s="1"/>
  <c r="BO424" i="319"/>
  <c r="BQ424" i="319" s="1"/>
  <c r="BS424" i="319" s="1"/>
  <c r="BE424" i="319"/>
  <c r="BG424" i="319" s="1"/>
  <c r="BI424" i="319" s="1"/>
  <c r="Q424" i="319"/>
  <c r="S424" i="319" s="1"/>
  <c r="I424" i="319"/>
  <c r="K424" i="319" s="1"/>
  <c r="A424" i="319"/>
  <c r="C424" i="319" s="1"/>
  <c r="CL423" i="319"/>
  <c r="CN423" i="319" s="1"/>
  <c r="CV423" i="319" s="1"/>
  <c r="BO423" i="319"/>
  <c r="BQ423" i="319" s="1"/>
  <c r="BS423" i="319" s="1"/>
  <c r="BE423" i="319"/>
  <c r="BG423" i="319" s="1"/>
  <c r="BI423" i="319" s="1"/>
  <c r="Q423" i="319"/>
  <c r="S423" i="319" s="1"/>
  <c r="I423" i="319"/>
  <c r="K423" i="319" s="1"/>
  <c r="A423" i="319"/>
  <c r="C423" i="319" s="1"/>
  <c r="CL422" i="319"/>
  <c r="CN422" i="319" s="1"/>
  <c r="BO422" i="319"/>
  <c r="BQ422" i="319" s="1"/>
  <c r="BS422" i="319" s="1"/>
  <c r="BE422" i="319"/>
  <c r="BG422" i="319" s="1"/>
  <c r="BI422" i="319" s="1"/>
  <c r="Q422" i="319"/>
  <c r="S422" i="319" s="1"/>
  <c r="I422" i="319"/>
  <c r="K422" i="319" s="1"/>
  <c r="A422" i="319"/>
  <c r="C422" i="319" s="1"/>
  <c r="CL421" i="319"/>
  <c r="CN421" i="319" s="1"/>
  <c r="BO421" i="319"/>
  <c r="BQ421" i="319" s="1"/>
  <c r="BS421" i="319" s="1"/>
  <c r="BE421" i="319"/>
  <c r="BG421" i="319" s="1"/>
  <c r="BI421" i="319" s="1"/>
  <c r="Q421" i="319"/>
  <c r="S421" i="319" s="1"/>
  <c r="I421" i="319"/>
  <c r="K421" i="319" s="1"/>
  <c r="A421" i="319"/>
  <c r="C421" i="319" s="1"/>
  <c r="CT420" i="319"/>
  <c r="CL420" i="319"/>
  <c r="CN420" i="319" s="1"/>
  <c r="BO420" i="319"/>
  <c r="BQ420" i="319" s="1"/>
  <c r="BS420" i="319" s="1"/>
  <c r="BE420" i="319"/>
  <c r="BG420" i="319" s="1"/>
  <c r="BI420" i="319" s="1"/>
  <c r="Q420" i="319"/>
  <c r="S420" i="319" s="1"/>
  <c r="I420" i="319"/>
  <c r="K420" i="319" s="1"/>
  <c r="A420" i="319"/>
  <c r="C420" i="319" s="1"/>
  <c r="CL419" i="319"/>
  <c r="CN419" i="319" s="1"/>
  <c r="BO419" i="319"/>
  <c r="BQ419" i="319" s="1"/>
  <c r="BS419" i="319" s="1"/>
  <c r="BE419" i="319"/>
  <c r="BG419" i="319" s="1"/>
  <c r="BI419" i="319" s="1"/>
  <c r="Q419" i="319"/>
  <c r="S419" i="319" s="1"/>
  <c r="I419" i="319"/>
  <c r="K419" i="319" s="1"/>
  <c r="A419" i="319"/>
  <c r="C419" i="319" s="1"/>
  <c r="CL418" i="319"/>
  <c r="CN418" i="319" s="1"/>
  <c r="BO418" i="319"/>
  <c r="BQ418" i="319" s="1"/>
  <c r="BS418" i="319" s="1"/>
  <c r="BE418" i="319"/>
  <c r="BG418" i="319" s="1"/>
  <c r="BI418" i="319" s="1"/>
  <c r="Q418" i="319"/>
  <c r="S418" i="319" s="1"/>
  <c r="I418" i="319"/>
  <c r="K418" i="319" s="1"/>
  <c r="A418" i="319"/>
  <c r="C418" i="319" s="1"/>
  <c r="CL417" i="319"/>
  <c r="CN417" i="319" s="1"/>
  <c r="BO417" i="319"/>
  <c r="BQ417" i="319" s="1"/>
  <c r="BS417" i="319" s="1"/>
  <c r="BE417" i="319"/>
  <c r="BG417" i="319" s="1"/>
  <c r="BI417" i="319" s="1"/>
  <c r="Q417" i="319"/>
  <c r="S417" i="319" s="1"/>
  <c r="I417" i="319"/>
  <c r="K417" i="319" s="1"/>
  <c r="A417" i="319"/>
  <c r="C417" i="319" s="1"/>
  <c r="CT416" i="319"/>
  <c r="CL416" i="319"/>
  <c r="CN416" i="319" s="1"/>
  <c r="BO416" i="319"/>
  <c r="BQ416" i="319" s="1"/>
  <c r="BS416" i="319" s="1"/>
  <c r="BE416" i="319"/>
  <c r="BG416" i="319" s="1"/>
  <c r="BI416" i="319" s="1"/>
  <c r="Q416" i="319"/>
  <c r="S416" i="319" s="1"/>
  <c r="I416" i="319"/>
  <c r="K416" i="319" s="1"/>
  <c r="A416" i="319"/>
  <c r="C416" i="319" s="1"/>
  <c r="CL415" i="319"/>
  <c r="CN415" i="319" s="1"/>
  <c r="BO415" i="319"/>
  <c r="BQ415" i="319" s="1"/>
  <c r="BS415" i="319" s="1"/>
  <c r="BE415" i="319"/>
  <c r="BG415" i="319" s="1"/>
  <c r="BI415" i="319" s="1"/>
  <c r="Q415" i="319"/>
  <c r="S415" i="319" s="1"/>
  <c r="I415" i="319"/>
  <c r="K415" i="319" s="1"/>
  <c r="A415" i="319"/>
  <c r="C415" i="319" s="1"/>
  <c r="CL414" i="319"/>
  <c r="CN414" i="319" s="1"/>
  <c r="BO414" i="319"/>
  <c r="BQ414" i="319" s="1"/>
  <c r="BS414" i="319" s="1"/>
  <c r="BE414" i="319"/>
  <c r="BG414" i="319" s="1"/>
  <c r="BI414" i="319" s="1"/>
  <c r="Q414" i="319"/>
  <c r="S414" i="319" s="1"/>
  <c r="I414" i="319"/>
  <c r="K414" i="319" s="1"/>
  <c r="A414" i="319"/>
  <c r="C414" i="319" s="1"/>
  <c r="CL413" i="319"/>
  <c r="CN413" i="319" s="1"/>
  <c r="BO413" i="319"/>
  <c r="BQ413" i="319" s="1"/>
  <c r="BS413" i="319" s="1"/>
  <c r="BE413" i="319"/>
  <c r="BG413" i="319" s="1"/>
  <c r="BI413" i="319" s="1"/>
  <c r="Q413" i="319"/>
  <c r="S413" i="319" s="1"/>
  <c r="I413" i="319"/>
  <c r="K413" i="319" s="1"/>
  <c r="A413" i="319"/>
  <c r="C413" i="319" s="1"/>
  <c r="CL412" i="319"/>
  <c r="CN412" i="319" s="1"/>
  <c r="BO412" i="319"/>
  <c r="BQ412" i="319" s="1"/>
  <c r="BS412" i="319" s="1"/>
  <c r="BE412" i="319"/>
  <c r="BG412" i="319" s="1"/>
  <c r="BI412" i="319" s="1"/>
  <c r="Q412" i="319"/>
  <c r="S412" i="319" s="1"/>
  <c r="I412" i="319"/>
  <c r="K412" i="319" s="1"/>
  <c r="A412" i="319"/>
  <c r="C412" i="319" s="1"/>
  <c r="CT411" i="319"/>
  <c r="CL411" i="319"/>
  <c r="CN411" i="319" s="1"/>
  <c r="BO411" i="319"/>
  <c r="BQ411" i="319" s="1"/>
  <c r="BS411" i="319" s="1"/>
  <c r="BE411" i="319"/>
  <c r="BG411" i="319" s="1"/>
  <c r="BI411" i="319" s="1"/>
  <c r="Q411" i="319"/>
  <c r="S411" i="319" s="1"/>
  <c r="I411" i="319"/>
  <c r="K411" i="319" s="1"/>
  <c r="A411" i="319"/>
  <c r="C411" i="319" s="1"/>
  <c r="CL410" i="319"/>
  <c r="CN410" i="319" s="1"/>
  <c r="BO410" i="319"/>
  <c r="BQ410" i="319" s="1"/>
  <c r="BS410" i="319" s="1"/>
  <c r="BE410" i="319"/>
  <c r="BG410" i="319" s="1"/>
  <c r="BI410" i="319" s="1"/>
  <c r="Q410" i="319"/>
  <c r="S410" i="319" s="1"/>
  <c r="I410" i="319"/>
  <c r="K410" i="319" s="1"/>
  <c r="A410" i="319"/>
  <c r="C410" i="319" s="1"/>
  <c r="CL409" i="319"/>
  <c r="CN409" i="319" s="1"/>
  <c r="CP409" i="319" s="1"/>
  <c r="BO409" i="319"/>
  <c r="BQ409" i="319" s="1"/>
  <c r="BS409" i="319" s="1"/>
  <c r="BE409" i="319"/>
  <c r="BG409" i="319" s="1"/>
  <c r="BI409" i="319" s="1"/>
  <c r="Q409" i="319"/>
  <c r="S409" i="319" s="1"/>
  <c r="I409" i="319"/>
  <c r="K409" i="319" s="1"/>
  <c r="A409" i="319"/>
  <c r="C409" i="319" s="1"/>
  <c r="CL408" i="319"/>
  <c r="CN408" i="319" s="1"/>
  <c r="BO408" i="319"/>
  <c r="BQ408" i="319" s="1"/>
  <c r="BS408" i="319" s="1"/>
  <c r="BE408" i="319"/>
  <c r="BG408" i="319" s="1"/>
  <c r="BI408" i="319" s="1"/>
  <c r="Q408" i="319"/>
  <c r="S408" i="319" s="1"/>
  <c r="I408" i="319"/>
  <c r="K408" i="319" s="1"/>
  <c r="A408" i="319"/>
  <c r="C408" i="319" s="1"/>
  <c r="CL407" i="319"/>
  <c r="CN407" i="319" s="1"/>
  <c r="CP407" i="319" s="1"/>
  <c r="BO407" i="319"/>
  <c r="BQ407" i="319" s="1"/>
  <c r="BS407" i="319" s="1"/>
  <c r="BE407" i="319"/>
  <c r="BG407" i="319" s="1"/>
  <c r="BI407" i="319" s="1"/>
  <c r="Q407" i="319"/>
  <c r="S407" i="319" s="1"/>
  <c r="I407" i="319"/>
  <c r="K407" i="319" s="1"/>
  <c r="A407" i="319"/>
  <c r="C407" i="319" s="1"/>
  <c r="CT406" i="319"/>
  <c r="CL406" i="319"/>
  <c r="CN406" i="319" s="1"/>
  <c r="BO406" i="319"/>
  <c r="BQ406" i="319" s="1"/>
  <c r="BS406" i="319" s="1"/>
  <c r="BE406" i="319"/>
  <c r="BG406" i="319" s="1"/>
  <c r="BI406" i="319" s="1"/>
  <c r="Q406" i="319"/>
  <c r="S406" i="319" s="1"/>
  <c r="I406" i="319"/>
  <c r="K406" i="319" s="1"/>
  <c r="A406" i="319"/>
  <c r="C406" i="319" s="1"/>
  <c r="CL405" i="319"/>
  <c r="CN405" i="319" s="1"/>
  <c r="BO405" i="319"/>
  <c r="BQ405" i="319" s="1"/>
  <c r="BS405" i="319" s="1"/>
  <c r="BE405" i="319"/>
  <c r="BG405" i="319" s="1"/>
  <c r="BI405" i="319" s="1"/>
  <c r="Q405" i="319"/>
  <c r="S405" i="319" s="1"/>
  <c r="I405" i="319"/>
  <c r="K405" i="319" s="1"/>
  <c r="A405" i="319"/>
  <c r="C405" i="319" s="1"/>
  <c r="CL404" i="319"/>
  <c r="CN404" i="319" s="1"/>
  <c r="BO404" i="319"/>
  <c r="BQ404" i="319" s="1"/>
  <c r="BS404" i="319" s="1"/>
  <c r="BE404" i="319"/>
  <c r="BG404" i="319" s="1"/>
  <c r="BI404" i="319" s="1"/>
  <c r="Q404" i="319"/>
  <c r="S404" i="319" s="1"/>
  <c r="I404" i="319"/>
  <c r="K404" i="319" s="1"/>
  <c r="A404" i="319"/>
  <c r="C404" i="319" s="1"/>
  <c r="CL403" i="319"/>
  <c r="CN403" i="319" s="1"/>
  <c r="CV403" i="319" s="1"/>
  <c r="BO403" i="319"/>
  <c r="BQ403" i="319" s="1"/>
  <c r="BS403" i="319" s="1"/>
  <c r="BE403" i="319"/>
  <c r="BG403" i="319" s="1"/>
  <c r="BI403" i="319" s="1"/>
  <c r="Q403" i="319"/>
  <c r="S403" i="319" s="1"/>
  <c r="I403" i="319"/>
  <c r="K403" i="319" s="1"/>
  <c r="A403" i="319"/>
  <c r="C403" i="319" s="1"/>
  <c r="CL402" i="319"/>
  <c r="CN402" i="319" s="1"/>
  <c r="BO402" i="319"/>
  <c r="BQ402" i="319" s="1"/>
  <c r="BS402" i="319" s="1"/>
  <c r="BE402" i="319"/>
  <c r="BG402" i="319" s="1"/>
  <c r="BI402" i="319" s="1"/>
  <c r="Q402" i="319"/>
  <c r="S402" i="319" s="1"/>
  <c r="I402" i="319"/>
  <c r="K402" i="319" s="1"/>
  <c r="A402" i="319"/>
  <c r="C402" i="319" s="1"/>
  <c r="CL401" i="319"/>
  <c r="CN401" i="319" s="1"/>
  <c r="CV401" i="319" s="1"/>
  <c r="BO401" i="319"/>
  <c r="BQ401" i="319" s="1"/>
  <c r="BS401" i="319" s="1"/>
  <c r="BE401" i="319"/>
  <c r="BG401" i="319" s="1"/>
  <c r="BI401" i="319" s="1"/>
  <c r="Q401" i="319"/>
  <c r="S401" i="319" s="1"/>
  <c r="I401" i="319"/>
  <c r="K401" i="319" s="1"/>
  <c r="A401" i="319"/>
  <c r="C401" i="319" s="1"/>
  <c r="CT400" i="319"/>
  <c r="CL400" i="319"/>
  <c r="CN400" i="319" s="1"/>
  <c r="CP400" i="319" s="1"/>
  <c r="BO400" i="319"/>
  <c r="BQ400" i="319" s="1"/>
  <c r="BS400" i="319" s="1"/>
  <c r="BE400" i="319"/>
  <c r="BG400" i="319" s="1"/>
  <c r="BI400" i="319" s="1"/>
  <c r="Q400" i="319"/>
  <c r="S400" i="319" s="1"/>
  <c r="I400" i="319"/>
  <c r="K400" i="319" s="1"/>
  <c r="A400" i="319"/>
  <c r="C400" i="319" s="1"/>
  <c r="CL399" i="319"/>
  <c r="CN399" i="319" s="1"/>
  <c r="BO399" i="319"/>
  <c r="BQ399" i="319" s="1"/>
  <c r="BS399" i="319" s="1"/>
  <c r="BE399" i="319"/>
  <c r="BG399" i="319" s="1"/>
  <c r="BI399" i="319" s="1"/>
  <c r="Q399" i="319"/>
  <c r="S399" i="319" s="1"/>
  <c r="I399" i="319"/>
  <c r="K399" i="319" s="1"/>
  <c r="A399" i="319"/>
  <c r="C399" i="319" s="1"/>
  <c r="CL398" i="319"/>
  <c r="CN398" i="319" s="1"/>
  <c r="CR398" i="319" s="1"/>
  <c r="BO398" i="319"/>
  <c r="BQ398" i="319" s="1"/>
  <c r="BS398" i="319" s="1"/>
  <c r="BE398" i="319"/>
  <c r="BG398" i="319" s="1"/>
  <c r="BI398" i="319" s="1"/>
  <c r="Q398" i="319"/>
  <c r="S398" i="319" s="1"/>
  <c r="I398" i="319"/>
  <c r="K398" i="319" s="1"/>
  <c r="A398" i="319"/>
  <c r="C398" i="319" s="1"/>
  <c r="CL397" i="319"/>
  <c r="CN397" i="319" s="1"/>
  <c r="BO397" i="319"/>
  <c r="BQ397" i="319" s="1"/>
  <c r="BS397" i="319" s="1"/>
  <c r="BE397" i="319"/>
  <c r="BG397" i="319" s="1"/>
  <c r="BI397" i="319" s="1"/>
  <c r="Q397" i="319"/>
  <c r="S397" i="319" s="1"/>
  <c r="I397" i="319"/>
  <c r="K397" i="319" s="1"/>
  <c r="A397" i="319"/>
  <c r="C397" i="319" s="1"/>
  <c r="CL396" i="319"/>
  <c r="CN396" i="319" s="1"/>
  <c r="CR396" i="319" s="1"/>
  <c r="BO396" i="319"/>
  <c r="BQ396" i="319" s="1"/>
  <c r="BS396" i="319" s="1"/>
  <c r="BE396" i="319"/>
  <c r="BG396" i="319" s="1"/>
  <c r="BI396" i="319" s="1"/>
  <c r="Q396" i="319"/>
  <c r="S396" i="319" s="1"/>
  <c r="I396" i="319"/>
  <c r="K396" i="319" s="1"/>
  <c r="A396" i="319"/>
  <c r="C396" i="319" s="1"/>
  <c r="CT395" i="319"/>
  <c r="CL395" i="319"/>
  <c r="CN395" i="319" s="1"/>
  <c r="CV395" i="319" s="1"/>
  <c r="BO395" i="319"/>
  <c r="BQ395" i="319" s="1"/>
  <c r="BS395" i="319" s="1"/>
  <c r="BE395" i="319"/>
  <c r="BG395" i="319" s="1"/>
  <c r="BI395" i="319" s="1"/>
  <c r="Q395" i="319"/>
  <c r="S395" i="319" s="1"/>
  <c r="I395" i="319"/>
  <c r="K395" i="319" s="1"/>
  <c r="A395" i="319"/>
  <c r="C395" i="319" s="1"/>
  <c r="CL394" i="319"/>
  <c r="CN394" i="319" s="1"/>
  <c r="BO394" i="319"/>
  <c r="BQ394" i="319" s="1"/>
  <c r="BS394" i="319" s="1"/>
  <c r="BE394" i="319"/>
  <c r="BG394" i="319" s="1"/>
  <c r="BI394" i="319" s="1"/>
  <c r="Q394" i="319"/>
  <c r="S394" i="319" s="1"/>
  <c r="I394" i="319"/>
  <c r="K394" i="319" s="1"/>
  <c r="A394" i="319"/>
  <c r="C394" i="319" s="1"/>
  <c r="CL393" i="319"/>
  <c r="CN393" i="319" s="1"/>
  <c r="BO393" i="319"/>
  <c r="BQ393" i="319" s="1"/>
  <c r="BS393" i="319" s="1"/>
  <c r="BE393" i="319"/>
  <c r="BG393" i="319" s="1"/>
  <c r="BI393" i="319" s="1"/>
  <c r="Q393" i="319"/>
  <c r="S393" i="319" s="1"/>
  <c r="I393" i="319"/>
  <c r="K393" i="319" s="1"/>
  <c r="A393" i="319"/>
  <c r="C393" i="319" s="1"/>
  <c r="CL392" i="319"/>
  <c r="CN392" i="319" s="1"/>
  <c r="BO392" i="319"/>
  <c r="BQ392" i="319" s="1"/>
  <c r="BS392" i="319" s="1"/>
  <c r="BE392" i="319"/>
  <c r="BG392" i="319" s="1"/>
  <c r="BI392" i="319" s="1"/>
  <c r="Q392" i="319"/>
  <c r="S392" i="319" s="1"/>
  <c r="I392" i="319"/>
  <c r="K392" i="319" s="1"/>
  <c r="A392" i="319"/>
  <c r="C392" i="319" s="1"/>
  <c r="CL391" i="319"/>
  <c r="CN391" i="319" s="1"/>
  <c r="BO391" i="319"/>
  <c r="BQ391" i="319" s="1"/>
  <c r="BS391" i="319" s="1"/>
  <c r="BE391" i="319"/>
  <c r="BG391" i="319" s="1"/>
  <c r="BI391" i="319" s="1"/>
  <c r="Q391" i="319"/>
  <c r="S391" i="319" s="1"/>
  <c r="I391" i="319"/>
  <c r="K391" i="319" s="1"/>
  <c r="A391" i="319"/>
  <c r="C391" i="319" s="1"/>
  <c r="CT390" i="319"/>
  <c r="CL390" i="319"/>
  <c r="CN390" i="319" s="1"/>
  <c r="BO390" i="319"/>
  <c r="BQ390" i="319" s="1"/>
  <c r="BS390" i="319" s="1"/>
  <c r="BE390" i="319"/>
  <c r="BG390" i="319" s="1"/>
  <c r="BI390" i="319" s="1"/>
  <c r="Q390" i="319"/>
  <c r="S390" i="319" s="1"/>
  <c r="I390" i="319"/>
  <c r="K390" i="319" s="1"/>
  <c r="A390" i="319"/>
  <c r="C390" i="319" s="1"/>
  <c r="CL389" i="319"/>
  <c r="CN389" i="319" s="1"/>
  <c r="BO389" i="319"/>
  <c r="BQ389" i="319" s="1"/>
  <c r="BS389" i="319" s="1"/>
  <c r="BE389" i="319"/>
  <c r="BG389" i="319" s="1"/>
  <c r="BI389" i="319" s="1"/>
  <c r="Q389" i="319"/>
  <c r="S389" i="319" s="1"/>
  <c r="I389" i="319"/>
  <c r="K389" i="319" s="1"/>
  <c r="A389" i="319"/>
  <c r="C389" i="319" s="1"/>
  <c r="CL388" i="319"/>
  <c r="CN388" i="319" s="1"/>
  <c r="BO388" i="319"/>
  <c r="BQ388" i="319" s="1"/>
  <c r="BS388" i="319" s="1"/>
  <c r="BE388" i="319"/>
  <c r="BG388" i="319" s="1"/>
  <c r="BI388" i="319" s="1"/>
  <c r="Q388" i="319"/>
  <c r="S388" i="319" s="1"/>
  <c r="I388" i="319"/>
  <c r="K388" i="319" s="1"/>
  <c r="A388" i="319"/>
  <c r="C388" i="319" s="1"/>
  <c r="CL387" i="319"/>
  <c r="CN387" i="319" s="1"/>
  <c r="BO387" i="319"/>
  <c r="BQ387" i="319" s="1"/>
  <c r="BS387" i="319" s="1"/>
  <c r="CL386" i="319"/>
  <c r="CN386" i="319" s="1"/>
  <c r="CP386" i="319" s="1"/>
  <c r="BO386" i="319"/>
  <c r="BQ386" i="319" s="1"/>
  <c r="BS386" i="319" s="1"/>
  <c r="BE386" i="319"/>
  <c r="BG386" i="319" s="1"/>
  <c r="BI386" i="319" s="1"/>
  <c r="Q386" i="319"/>
  <c r="S386" i="319" s="1"/>
  <c r="I386" i="319"/>
  <c r="K386" i="319" s="1"/>
  <c r="A386" i="319"/>
  <c r="C386" i="319" s="1"/>
  <c r="CL385" i="319"/>
  <c r="CN385" i="319" s="1"/>
  <c r="CR385" i="319" s="1"/>
  <c r="BO385" i="319"/>
  <c r="BQ385" i="319" s="1"/>
  <c r="BS385" i="319" s="1"/>
  <c r="BE385" i="319"/>
  <c r="BG385" i="319" s="1"/>
  <c r="BI385" i="319" s="1"/>
  <c r="Q385" i="319"/>
  <c r="S385" i="319" s="1"/>
  <c r="I385" i="319"/>
  <c r="K385" i="319" s="1"/>
  <c r="A385" i="319"/>
  <c r="C385" i="319" s="1"/>
  <c r="CT384" i="319"/>
  <c r="CL384" i="319"/>
  <c r="CN384" i="319" s="1"/>
  <c r="BO384" i="319"/>
  <c r="BQ384" i="319" s="1"/>
  <c r="BS384" i="319" s="1"/>
  <c r="BE384" i="319"/>
  <c r="BG384" i="319" s="1"/>
  <c r="BI384" i="319" s="1"/>
  <c r="Q384" i="319"/>
  <c r="S384" i="319" s="1"/>
  <c r="I384" i="319"/>
  <c r="K384" i="319" s="1"/>
  <c r="A384" i="319"/>
  <c r="C384" i="319" s="1"/>
  <c r="CL383" i="319"/>
  <c r="CN383" i="319" s="1"/>
  <c r="BO383" i="319"/>
  <c r="BQ383" i="319" s="1"/>
  <c r="BS383" i="319" s="1"/>
  <c r="BE383" i="319"/>
  <c r="BG383" i="319" s="1"/>
  <c r="BI383" i="319" s="1"/>
  <c r="Q383" i="319"/>
  <c r="S383" i="319" s="1"/>
  <c r="I383" i="319"/>
  <c r="K383" i="319" s="1"/>
  <c r="A383" i="319"/>
  <c r="C383" i="319" s="1"/>
  <c r="CL382" i="319"/>
  <c r="CN382" i="319" s="1"/>
  <c r="CR382" i="319" s="1"/>
  <c r="BO382" i="319"/>
  <c r="BQ382" i="319" s="1"/>
  <c r="BS382" i="319" s="1"/>
  <c r="BE382" i="319"/>
  <c r="BG382" i="319" s="1"/>
  <c r="BI382" i="319" s="1"/>
  <c r="Q382" i="319"/>
  <c r="S382" i="319" s="1"/>
  <c r="I382" i="319"/>
  <c r="K382" i="319" s="1"/>
  <c r="A382" i="319"/>
  <c r="C382" i="319" s="1"/>
  <c r="CL381" i="319"/>
  <c r="CN381" i="319" s="1"/>
  <c r="BO381" i="319"/>
  <c r="BQ381" i="319" s="1"/>
  <c r="BS381" i="319" s="1"/>
  <c r="BE381" i="319"/>
  <c r="BG381" i="319" s="1"/>
  <c r="BI381" i="319" s="1"/>
  <c r="Q381" i="319"/>
  <c r="S381" i="319" s="1"/>
  <c r="I381" i="319"/>
  <c r="K381" i="319" s="1"/>
  <c r="A381" i="319"/>
  <c r="C381" i="319" s="1"/>
  <c r="CL380" i="319"/>
  <c r="CN380" i="319" s="1"/>
  <c r="CR380" i="319" s="1"/>
  <c r="BO380" i="319"/>
  <c r="BQ380" i="319" s="1"/>
  <c r="BS380" i="319" s="1"/>
  <c r="BE380" i="319"/>
  <c r="BG380" i="319" s="1"/>
  <c r="BI380" i="319" s="1"/>
  <c r="Q380" i="319"/>
  <c r="S380" i="319" s="1"/>
  <c r="I380" i="319"/>
  <c r="K380" i="319" s="1"/>
  <c r="A380" i="319"/>
  <c r="C380" i="319" s="1"/>
  <c r="CT379" i="319"/>
  <c r="CL379" i="319"/>
  <c r="CN379" i="319" s="1"/>
  <c r="BO379" i="319"/>
  <c r="BQ379" i="319" s="1"/>
  <c r="BS379" i="319" s="1"/>
  <c r="BE379" i="319"/>
  <c r="BG379" i="319" s="1"/>
  <c r="BI379" i="319" s="1"/>
  <c r="Q379" i="319"/>
  <c r="S379" i="319" s="1"/>
  <c r="I379" i="319"/>
  <c r="K379" i="319" s="1"/>
  <c r="A379" i="319"/>
  <c r="C379" i="319" s="1"/>
  <c r="CL378" i="319"/>
  <c r="CN378" i="319" s="1"/>
  <c r="CR378" i="319" s="1"/>
  <c r="BO378" i="319"/>
  <c r="BQ378" i="319" s="1"/>
  <c r="BS378" i="319" s="1"/>
  <c r="BE378" i="319"/>
  <c r="BG378" i="319" s="1"/>
  <c r="BI378" i="319" s="1"/>
  <c r="Q378" i="319"/>
  <c r="S378" i="319" s="1"/>
  <c r="I378" i="319"/>
  <c r="K378" i="319" s="1"/>
  <c r="A378" i="319"/>
  <c r="C378" i="319" s="1"/>
  <c r="CL377" i="319"/>
  <c r="CN377" i="319" s="1"/>
  <c r="CR377" i="319" s="1"/>
  <c r="BO377" i="319"/>
  <c r="BQ377" i="319" s="1"/>
  <c r="BS377" i="319" s="1"/>
  <c r="BE377" i="319"/>
  <c r="BG377" i="319" s="1"/>
  <c r="BI377" i="319" s="1"/>
  <c r="Q377" i="319"/>
  <c r="S377" i="319" s="1"/>
  <c r="I377" i="319"/>
  <c r="K377" i="319" s="1"/>
  <c r="A377" i="319"/>
  <c r="C377" i="319" s="1"/>
  <c r="CL376" i="319"/>
  <c r="CN376" i="319" s="1"/>
  <c r="CR376" i="319" s="1"/>
  <c r="BO376" i="319"/>
  <c r="BQ376" i="319" s="1"/>
  <c r="BS376" i="319" s="1"/>
  <c r="BG376" i="319"/>
  <c r="BI376" i="319" s="1"/>
  <c r="BE376" i="319"/>
  <c r="Q376" i="319"/>
  <c r="S376" i="319" s="1"/>
  <c r="I376" i="319"/>
  <c r="K376" i="319" s="1"/>
  <c r="A376" i="319"/>
  <c r="C376" i="319" s="1"/>
  <c r="CL375" i="319"/>
  <c r="CN375" i="319" s="1"/>
  <c r="CR375" i="319" s="1"/>
  <c r="BO375" i="319"/>
  <c r="BQ375" i="319" s="1"/>
  <c r="BS375" i="319" s="1"/>
  <c r="BE375" i="319"/>
  <c r="BG375" i="319" s="1"/>
  <c r="BI375" i="319" s="1"/>
  <c r="Q375" i="319"/>
  <c r="S375" i="319" s="1"/>
  <c r="I375" i="319"/>
  <c r="K375" i="319" s="1"/>
  <c r="A375" i="319"/>
  <c r="C375" i="319" s="1"/>
  <c r="CL374" i="319"/>
  <c r="CN374" i="319" s="1"/>
  <c r="CV374" i="319" s="1"/>
  <c r="BO374" i="319"/>
  <c r="BQ374" i="319" s="1"/>
  <c r="BS374" i="319" s="1"/>
  <c r="BE374" i="319"/>
  <c r="BG374" i="319" s="1"/>
  <c r="BI374" i="319" s="1"/>
  <c r="Q374" i="319"/>
  <c r="S374" i="319" s="1"/>
  <c r="I374" i="319"/>
  <c r="K374" i="319" s="1"/>
  <c r="A374" i="319"/>
  <c r="C374" i="319" s="1"/>
  <c r="CL373" i="319"/>
  <c r="CN373" i="319" s="1"/>
  <c r="CV373" i="319" s="1"/>
  <c r="BO373" i="319"/>
  <c r="BQ373" i="319" s="1"/>
  <c r="BS373" i="319" s="1"/>
  <c r="BE373" i="319"/>
  <c r="BG373" i="319" s="1"/>
  <c r="BI373" i="319" s="1"/>
  <c r="Q373" i="319"/>
  <c r="S373" i="319" s="1"/>
  <c r="I373" i="319"/>
  <c r="K373" i="319" s="1"/>
  <c r="A373" i="319"/>
  <c r="C373" i="319" s="1"/>
  <c r="CL372" i="319"/>
  <c r="CN372" i="319" s="1"/>
  <c r="CV372" i="319" s="1"/>
  <c r="BO372" i="319"/>
  <c r="BQ372" i="319" s="1"/>
  <c r="BS372" i="319" s="1"/>
  <c r="BE372" i="319"/>
  <c r="BG372" i="319" s="1"/>
  <c r="BI372" i="319" s="1"/>
  <c r="Q372" i="319"/>
  <c r="S372" i="319" s="1"/>
  <c r="I372" i="319"/>
  <c r="K372" i="319" s="1"/>
  <c r="A372" i="319"/>
  <c r="C372" i="319" s="1"/>
  <c r="CL371" i="319"/>
  <c r="CN371" i="319" s="1"/>
  <c r="CV371" i="319" s="1"/>
  <c r="BO371" i="319"/>
  <c r="BQ371" i="319" s="1"/>
  <c r="BS371" i="319" s="1"/>
  <c r="BE371" i="319"/>
  <c r="BG371" i="319" s="1"/>
  <c r="BI371" i="319" s="1"/>
  <c r="Q371" i="319"/>
  <c r="S371" i="319" s="1"/>
  <c r="I371" i="319"/>
  <c r="K371" i="319" s="1"/>
  <c r="A371" i="319"/>
  <c r="C371" i="319" s="1"/>
  <c r="CL370" i="319"/>
  <c r="CN370" i="319" s="1"/>
  <c r="CV370" i="319" s="1"/>
  <c r="BO370" i="319"/>
  <c r="BQ370" i="319" s="1"/>
  <c r="BS370" i="319" s="1"/>
  <c r="BE370" i="319"/>
  <c r="BG370" i="319" s="1"/>
  <c r="BI370" i="319" s="1"/>
  <c r="Q370" i="319"/>
  <c r="S370" i="319" s="1"/>
  <c r="I370" i="319"/>
  <c r="K370" i="319" s="1"/>
  <c r="A370" i="319"/>
  <c r="C370" i="319" s="1"/>
  <c r="CL369" i="319"/>
  <c r="CN369" i="319" s="1"/>
  <c r="CV369" i="319" s="1"/>
  <c r="BO369" i="319"/>
  <c r="BQ369" i="319" s="1"/>
  <c r="BS369" i="319" s="1"/>
  <c r="BE369" i="319"/>
  <c r="BG369" i="319" s="1"/>
  <c r="BI369" i="319" s="1"/>
  <c r="Q369" i="319"/>
  <c r="S369" i="319" s="1"/>
  <c r="I369" i="319"/>
  <c r="K369" i="319" s="1"/>
  <c r="A369" i="319"/>
  <c r="C369" i="319" s="1"/>
  <c r="CL368" i="319"/>
  <c r="CN368" i="319" s="1"/>
  <c r="CV368" i="319" s="1"/>
  <c r="BO368" i="319"/>
  <c r="BQ368" i="319" s="1"/>
  <c r="BS368" i="319" s="1"/>
  <c r="BE368" i="319"/>
  <c r="BG368" i="319" s="1"/>
  <c r="BI368" i="319" s="1"/>
  <c r="Q368" i="319"/>
  <c r="S368" i="319" s="1"/>
  <c r="I368" i="319"/>
  <c r="K368" i="319" s="1"/>
  <c r="A368" i="319"/>
  <c r="C368" i="319" s="1"/>
  <c r="CL367" i="319"/>
  <c r="CN367" i="319" s="1"/>
  <c r="CV367" i="319" s="1"/>
  <c r="BO367" i="319"/>
  <c r="BQ367" i="319" s="1"/>
  <c r="BS367" i="319" s="1"/>
  <c r="BE367" i="319"/>
  <c r="BG367" i="319" s="1"/>
  <c r="BI367" i="319" s="1"/>
  <c r="Q367" i="319"/>
  <c r="S367" i="319" s="1"/>
  <c r="I367" i="319"/>
  <c r="K367" i="319" s="1"/>
  <c r="A367" i="319"/>
  <c r="C367" i="319" s="1"/>
  <c r="CL366" i="319"/>
  <c r="CN366" i="319" s="1"/>
  <c r="CV366" i="319" s="1"/>
  <c r="BO366" i="319"/>
  <c r="BQ366" i="319" s="1"/>
  <c r="BS366" i="319" s="1"/>
  <c r="BE366" i="319"/>
  <c r="BG366" i="319" s="1"/>
  <c r="BI366" i="319" s="1"/>
  <c r="Q366" i="319"/>
  <c r="S366" i="319" s="1"/>
  <c r="I366" i="319"/>
  <c r="K366" i="319" s="1"/>
  <c r="A366" i="319"/>
  <c r="C366" i="319" s="1"/>
  <c r="CL365" i="319"/>
  <c r="CN365" i="319" s="1"/>
  <c r="CV365" i="319" s="1"/>
  <c r="BO365" i="319"/>
  <c r="BQ365" i="319" s="1"/>
  <c r="BS365" i="319" s="1"/>
  <c r="BE365" i="319"/>
  <c r="BG365" i="319" s="1"/>
  <c r="BI365" i="319" s="1"/>
  <c r="Q365" i="319"/>
  <c r="S365" i="319" s="1"/>
  <c r="I365" i="319"/>
  <c r="K365" i="319" s="1"/>
  <c r="A365" i="319"/>
  <c r="C365" i="319" s="1"/>
  <c r="CL364" i="319"/>
  <c r="CN364" i="319" s="1"/>
  <c r="CV364" i="319" s="1"/>
  <c r="BO364" i="319"/>
  <c r="BQ364" i="319" s="1"/>
  <c r="BS364" i="319" s="1"/>
  <c r="BE364" i="319"/>
  <c r="BG364" i="319" s="1"/>
  <c r="BI364" i="319" s="1"/>
  <c r="Q364" i="319"/>
  <c r="S364" i="319" s="1"/>
  <c r="I364" i="319"/>
  <c r="K364" i="319" s="1"/>
  <c r="A364" i="319"/>
  <c r="C364" i="319" s="1"/>
  <c r="CL363" i="319"/>
  <c r="CN363" i="319" s="1"/>
  <c r="CV363" i="319" s="1"/>
  <c r="BO363" i="319"/>
  <c r="BQ363" i="319" s="1"/>
  <c r="BS363" i="319" s="1"/>
  <c r="BE363" i="319"/>
  <c r="BG363" i="319" s="1"/>
  <c r="BI363" i="319" s="1"/>
  <c r="Q363" i="319"/>
  <c r="S363" i="319" s="1"/>
  <c r="I363" i="319"/>
  <c r="K363" i="319" s="1"/>
  <c r="A363" i="319"/>
  <c r="C363" i="319" s="1"/>
  <c r="CL362" i="319"/>
  <c r="CN362" i="319" s="1"/>
  <c r="CV362" i="319" s="1"/>
  <c r="BO362" i="319"/>
  <c r="BQ362" i="319" s="1"/>
  <c r="BS362" i="319" s="1"/>
  <c r="BE362" i="319"/>
  <c r="BG362" i="319" s="1"/>
  <c r="BI362" i="319" s="1"/>
  <c r="Q362" i="319"/>
  <c r="S362" i="319" s="1"/>
  <c r="I362" i="319"/>
  <c r="K362" i="319" s="1"/>
  <c r="A362" i="319"/>
  <c r="C362" i="319" s="1"/>
  <c r="CL361" i="319"/>
  <c r="CN361" i="319" s="1"/>
  <c r="CV361" i="319" s="1"/>
  <c r="BO361" i="319"/>
  <c r="BQ361" i="319" s="1"/>
  <c r="BS361" i="319" s="1"/>
  <c r="BE361" i="319"/>
  <c r="BG361" i="319" s="1"/>
  <c r="BI361" i="319" s="1"/>
  <c r="Q361" i="319"/>
  <c r="S361" i="319" s="1"/>
  <c r="I361" i="319"/>
  <c r="K361" i="319" s="1"/>
  <c r="A361" i="319"/>
  <c r="C361" i="319" s="1"/>
  <c r="CL360" i="319"/>
  <c r="CN360" i="319" s="1"/>
  <c r="CV360" i="319" s="1"/>
  <c r="BO360" i="319"/>
  <c r="BQ360" i="319" s="1"/>
  <c r="BS360" i="319" s="1"/>
  <c r="BE360" i="319"/>
  <c r="BG360" i="319" s="1"/>
  <c r="BI360" i="319" s="1"/>
  <c r="Q360" i="319"/>
  <c r="S360" i="319" s="1"/>
  <c r="I360" i="319"/>
  <c r="K360" i="319" s="1"/>
  <c r="A360" i="319"/>
  <c r="C360" i="319" s="1"/>
  <c r="CL359" i="319"/>
  <c r="CN359" i="319" s="1"/>
  <c r="CV359" i="319" s="1"/>
  <c r="BO359" i="319"/>
  <c r="BQ359" i="319" s="1"/>
  <c r="BS359" i="319" s="1"/>
  <c r="BE359" i="319"/>
  <c r="BG359" i="319" s="1"/>
  <c r="BI359" i="319" s="1"/>
  <c r="Q359" i="319"/>
  <c r="S359" i="319" s="1"/>
  <c r="I359" i="319"/>
  <c r="K359" i="319" s="1"/>
  <c r="A359" i="319"/>
  <c r="C359" i="319" s="1"/>
  <c r="CL358" i="319"/>
  <c r="CN358" i="319" s="1"/>
  <c r="CV358" i="319" s="1"/>
  <c r="BO358" i="319"/>
  <c r="BQ358" i="319" s="1"/>
  <c r="BS358" i="319" s="1"/>
  <c r="BE358" i="319"/>
  <c r="BG358" i="319" s="1"/>
  <c r="BI358" i="319" s="1"/>
  <c r="Q358" i="319"/>
  <c r="S358" i="319" s="1"/>
  <c r="I358" i="319"/>
  <c r="K358" i="319" s="1"/>
  <c r="A358" i="319"/>
  <c r="C358" i="319" s="1"/>
  <c r="CL357" i="319"/>
  <c r="CN357" i="319" s="1"/>
  <c r="CV357" i="319" s="1"/>
  <c r="BO357" i="319"/>
  <c r="BQ357" i="319" s="1"/>
  <c r="BS357" i="319" s="1"/>
  <c r="BE357" i="319"/>
  <c r="BG357" i="319" s="1"/>
  <c r="BI357" i="319" s="1"/>
  <c r="Q357" i="319"/>
  <c r="S357" i="319" s="1"/>
  <c r="I357" i="319"/>
  <c r="K357" i="319" s="1"/>
  <c r="A357" i="319"/>
  <c r="C357" i="319" s="1"/>
  <c r="CL356" i="319"/>
  <c r="CN356" i="319" s="1"/>
  <c r="CV356" i="319" s="1"/>
  <c r="BO356" i="319"/>
  <c r="BQ356" i="319" s="1"/>
  <c r="BS356" i="319" s="1"/>
  <c r="BE356" i="319"/>
  <c r="BG356" i="319" s="1"/>
  <c r="BI356" i="319" s="1"/>
  <c r="Q356" i="319"/>
  <c r="S356" i="319" s="1"/>
  <c r="I356" i="319"/>
  <c r="K356" i="319" s="1"/>
  <c r="A356" i="319"/>
  <c r="C356" i="319" s="1"/>
  <c r="CL355" i="319"/>
  <c r="CN355" i="319" s="1"/>
  <c r="CV355" i="319" s="1"/>
  <c r="BO355" i="319"/>
  <c r="BQ355" i="319" s="1"/>
  <c r="BS355" i="319" s="1"/>
  <c r="BE355" i="319"/>
  <c r="BG355" i="319" s="1"/>
  <c r="BI355" i="319" s="1"/>
  <c r="Q355" i="319"/>
  <c r="S355" i="319" s="1"/>
  <c r="I355" i="319"/>
  <c r="K355" i="319" s="1"/>
  <c r="A355" i="319"/>
  <c r="C355" i="319" s="1"/>
  <c r="CL354" i="319"/>
  <c r="CN354" i="319" s="1"/>
  <c r="CV354" i="319" s="1"/>
  <c r="BO354" i="319"/>
  <c r="BQ354" i="319" s="1"/>
  <c r="BS354" i="319" s="1"/>
  <c r="BE354" i="319"/>
  <c r="BG354" i="319" s="1"/>
  <c r="BI354" i="319" s="1"/>
  <c r="Q354" i="319"/>
  <c r="S354" i="319" s="1"/>
  <c r="I354" i="319"/>
  <c r="K354" i="319" s="1"/>
  <c r="A354" i="319"/>
  <c r="C354" i="319" s="1"/>
  <c r="CL353" i="319"/>
  <c r="CN353" i="319" s="1"/>
  <c r="CV353" i="319" s="1"/>
  <c r="BO353" i="319"/>
  <c r="BQ353" i="319" s="1"/>
  <c r="BS353" i="319" s="1"/>
  <c r="BE353" i="319"/>
  <c r="BG353" i="319" s="1"/>
  <c r="BI353" i="319" s="1"/>
  <c r="Q353" i="319"/>
  <c r="S353" i="319" s="1"/>
  <c r="I353" i="319"/>
  <c r="K353" i="319" s="1"/>
  <c r="A353" i="319"/>
  <c r="C353" i="319" s="1"/>
  <c r="CL352" i="319"/>
  <c r="CN352" i="319" s="1"/>
  <c r="CV352" i="319" s="1"/>
  <c r="BO352" i="319"/>
  <c r="BQ352" i="319" s="1"/>
  <c r="BS352" i="319" s="1"/>
  <c r="BE352" i="319"/>
  <c r="BG352" i="319" s="1"/>
  <c r="BI352" i="319" s="1"/>
  <c r="Q352" i="319"/>
  <c r="S352" i="319" s="1"/>
  <c r="I352" i="319"/>
  <c r="K352" i="319" s="1"/>
  <c r="A352" i="319"/>
  <c r="C352" i="319" s="1"/>
  <c r="CL351" i="319"/>
  <c r="CN351" i="319" s="1"/>
  <c r="CV351" i="319" s="1"/>
  <c r="BO351" i="319"/>
  <c r="BQ351" i="319" s="1"/>
  <c r="BS351" i="319" s="1"/>
  <c r="BE351" i="319"/>
  <c r="BG351" i="319" s="1"/>
  <c r="BI351" i="319" s="1"/>
  <c r="Q351" i="319"/>
  <c r="S351" i="319" s="1"/>
  <c r="I351" i="319"/>
  <c r="K351" i="319" s="1"/>
  <c r="A351" i="319"/>
  <c r="C351" i="319" s="1"/>
  <c r="CL350" i="319"/>
  <c r="CN350" i="319" s="1"/>
  <c r="CV350" i="319" s="1"/>
  <c r="BO350" i="319"/>
  <c r="BQ350" i="319" s="1"/>
  <c r="BS350" i="319" s="1"/>
  <c r="BE350" i="319"/>
  <c r="BG350" i="319" s="1"/>
  <c r="BI350" i="319" s="1"/>
  <c r="Q350" i="319"/>
  <c r="S350" i="319" s="1"/>
  <c r="I350" i="319"/>
  <c r="K350" i="319" s="1"/>
  <c r="A350" i="319"/>
  <c r="C350" i="319" s="1"/>
  <c r="CL349" i="319"/>
  <c r="CN349" i="319" s="1"/>
  <c r="CV349" i="319" s="1"/>
  <c r="BO349" i="319"/>
  <c r="BQ349" i="319" s="1"/>
  <c r="BS349" i="319" s="1"/>
  <c r="BE349" i="319"/>
  <c r="BG349" i="319" s="1"/>
  <c r="BI349" i="319" s="1"/>
  <c r="Q349" i="319"/>
  <c r="S349" i="319" s="1"/>
  <c r="I349" i="319"/>
  <c r="K349" i="319" s="1"/>
  <c r="A349" i="319"/>
  <c r="C349" i="319" s="1"/>
  <c r="CL348" i="319"/>
  <c r="CN348" i="319" s="1"/>
  <c r="CV348" i="319" s="1"/>
  <c r="BO348" i="319"/>
  <c r="BQ348" i="319" s="1"/>
  <c r="BS348" i="319" s="1"/>
  <c r="BE348" i="319"/>
  <c r="BG348" i="319" s="1"/>
  <c r="BI348" i="319" s="1"/>
  <c r="Q348" i="319"/>
  <c r="S348" i="319" s="1"/>
  <c r="I348" i="319"/>
  <c r="K348" i="319" s="1"/>
  <c r="A348" i="319"/>
  <c r="C348" i="319" s="1"/>
  <c r="CL347" i="319"/>
  <c r="CN347" i="319" s="1"/>
  <c r="CV347" i="319" s="1"/>
  <c r="BO347" i="319"/>
  <c r="BQ347" i="319" s="1"/>
  <c r="BS347" i="319" s="1"/>
  <c r="BE347" i="319"/>
  <c r="BG347" i="319" s="1"/>
  <c r="BI347" i="319" s="1"/>
  <c r="Q347" i="319"/>
  <c r="S347" i="319" s="1"/>
  <c r="I347" i="319"/>
  <c r="K347" i="319" s="1"/>
  <c r="A347" i="319"/>
  <c r="C347" i="319" s="1"/>
  <c r="CL346" i="319"/>
  <c r="CN346" i="319" s="1"/>
  <c r="CV346" i="319" s="1"/>
  <c r="BO346" i="319"/>
  <c r="BQ346" i="319" s="1"/>
  <c r="BS346" i="319" s="1"/>
  <c r="BE346" i="319"/>
  <c r="BG346" i="319" s="1"/>
  <c r="BI346" i="319" s="1"/>
  <c r="Q346" i="319"/>
  <c r="S346" i="319" s="1"/>
  <c r="I346" i="319"/>
  <c r="K346" i="319" s="1"/>
  <c r="A346" i="319"/>
  <c r="C346" i="319" s="1"/>
  <c r="CL345" i="319"/>
  <c r="CN345" i="319" s="1"/>
  <c r="CV345" i="319" s="1"/>
  <c r="BO345" i="319"/>
  <c r="BQ345" i="319" s="1"/>
  <c r="BS345" i="319" s="1"/>
  <c r="BE345" i="319"/>
  <c r="BG345" i="319" s="1"/>
  <c r="BI345" i="319" s="1"/>
  <c r="Q345" i="319"/>
  <c r="S345" i="319" s="1"/>
  <c r="I345" i="319"/>
  <c r="K345" i="319" s="1"/>
  <c r="A345" i="319"/>
  <c r="C345" i="319" s="1"/>
  <c r="CL344" i="319"/>
  <c r="CN344" i="319" s="1"/>
  <c r="CV344" i="319" s="1"/>
  <c r="BO344" i="319"/>
  <c r="BQ344" i="319" s="1"/>
  <c r="BS344" i="319" s="1"/>
  <c r="BE344" i="319"/>
  <c r="BG344" i="319" s="1"/>
  <c r="BI344" i="319" s="1"/>
  <c r="Q344" i="319"/>
  <c r="S344" i="319" s="1"/>
  <c r="I344" i="319"/>
  <c r="K344" i="319" s="1"/>
  <c r="A344" i="319"/>
  <c r="C344" i="319" s="1"/>
  <c r="CL343" i="319"/>
  <c r="CN343" i="319" s="1"/>
  <c r="CV343" i="319" s="1"/>
  <c r="BO343" i="319"/>
  <c r="BQ343" i="319" s="1"/>
  <c r="BS343" i="319" s="1"/>
  <c r="BE343" i="319"/>
  <c r="BG343" i="319" s="1"/>
  <c r="BI343" i="319" s="1"/>
  <c r="Q343" i="319"/>
  <c r="S343" i="319" s="1"/>
  <c r="I343" i="319"/>
  <c r="K343" i="319" s="1"/>
  <c r="A343" i="319"/>
  <c r="C343" i="319" s="1"/>
  <c r="CL342" i="319"/>
  <c r="CN342" i="319" s="1"/>
  <c r="CV342" i="319" s="1"/>
  <c r="BO342" i="319"/>
  <c r="BQ342" i="319" s="1"/>
  <c r="BS342" i="319" s="1"/>
  <c r="BE342" i="319"/>
  <c r="BG342" i="319" s="1"/>
  <c r="BI342" i="319" s="1"/>
  <c r="Q342" i="319"/>
  <c r="S342" i="319" s="1"/>
  <c r="I342" i="319"/>
  <c r="K342" i="319" s="1"/>
  <c r="A342" i="319"/>
  <c r="C342" i="319" s="1"/>
  <c r="CL341" i="319"/>
  <c r="CN341" i="319" s="1"/>
  <c r="CV341" i="319" s="1"/>
  <c r="BO341" i="319"/>
  <c r="BQ341" i="319" s="1"/>
  <c r="BS341" i="319" s="1"/>
  <c r="BE341" i="319"/>
  <c r="BG341" i="319" s="1"/>
  <c r="BI341" i="319" s="1"/>
  <c r="Q341" i="319"/>
  <c r="S341" i="319" s="1"/>
  <c r="I341" i="319"/>
  <c r="K341" i="319" s="1"/>
  <c r="A341" i="319"/>
  <c r="C341" i="319" s="1"/>
  <c r="CL340" i="319"/>
  <c r="CN340" i="319" s="1"/>
  <c r="CV340" i="319" s="1"/>
  <c r="BO340" i="319"/>
  <c r="BQ340" i="319" s="1"/>
  <c r="BS340" i="319" s="1"/>
  <c r="BE340" i="319"/>
  <c r="BG340" i="319" s="1"/>
  <c r="BI340" i="319" s="1"/>
  <c r="Q340" i="319"/>
  <c r="S340" i="319" s="1"/>
  <c r="I340" i="319"/>
  <c r="K340" i="319" s="1"/>
  <c r="A340" i="319"/>
  <c r="C340" i="319" s="1"/>
  <c r="CL339" i="319"/>
  <c r="CN339" i="319" s="1"/>
  <c r="CV339" i="319" s="1"/>
  <c r="BO339" i="319"/>
  <c r="BQ339" i="319" s="1"/>
  <c r="BS339" i="319" s="1"/>
  <c r="BE339" i="319"/>
  <c r="BG339" i="319" s="1"/>
  <c r="BI339" i="319" s="1"/>
  <c r="Q339" i="319"/>
  <c r="S339" i="319" s="1"/>
  <c r="I339" i="319"/>
  <c r="K339" i="319" s="1"/>
  <c r="A339" i="319"/>
  <c r="C339" i="319" s="1"/>
  <c r="CL338" i="319"/>
  <c r="CN338" i="319" s="1"/>
  <c r="CV338" i="319" s="1"/>
  <c r="BO338" i="319"/>
  <c r="BQ338" i="319" s="1"/>
  <c r="BS338" i="319" s="1"/>
  <c r="BE338" i="319"/>
  <c r="BG338" i="319" s="1"/>
  <c r="BI338" i="319" s="1"/>
  <c r="Q338" i="319"/>
  <c r="S338" i="319" s="1"/>
  <c r="I338" i="319"/>
  <c r="K338" i="319" s="1"/>
  <c r="A338" i="319"/>
  <c r="C338" i="319" s="1"/>
  <c r="CL337" i="319"/>
  <c r="CN337" i="319" s="1"/>
  <c r="CV337" i="319" s="1"/>
  <c r="BO337" i="319"/>
  <c r="BQ337" i="319" s="1"/>
  <c r="BS337" i="319" s="1"/>
  <c r="BE337" i="319"/>
  <c r="BG337" i="319" s="1"/>
  <c r="BI337" i="319" s="1"/>
  <c r="Q337" i="319"/>
  <c r="S337" i="319" s="1"/>
  <c r="I337" i="319"/>
  <c r="K337" i="319" s="1"/>
  <c r="A337" i="319"/>
  <c r="C337" i="319" s="1"/>
  <c r="CL336" i="319"/>
  <c r="CN336" i="319" s="1"/>
  <c r="CV336" i="319" s="1"/>
  <c r="BO336" i="319"/>
  <c r="BQ336" i="319" s="1"/>
  <c r="BS336" i="319" s="1"/>
  <c r="BE336" i="319"/>
  <c r="BG336" i="319" s="1"/>
  <c r="BI336" i="319" s="1"/>
  <c r="Q336" i="319"/>
  <c r="S336" i="319" s="1"/>
  <c r="I336" i="319"/>
  <c r="K336" i="319" s="1"/>
  <c r="A336" i="319"/>
  <c r="C336" i="319" s="1"/>
  <c r="CL335" i="319"/>
  <c r="CN335" i="319" s="1"/>
  <c r="CV335" i="319" s="1"/>
  <c r="BO335" i="319"/>
  <c r="BQ335" i="319" s="1"/>
  <c r="BS335" i="319" s="1"/>
  <c r="BE335" i="319"/>
  <c r="BG335" i="319" s="1"/>
  <c r="BI335" i="319" s="1"/>
  <c r="Q335" i="319"/>
  <c r="S335" i="319" s="1"/>
  <c r="I335" i="319"/>
  <c r="K335" i="319" s="1"/>
  <c r="A335" i="319"/>
  <c r="C335" i="319" s="1"/>
  <c r="CL334" i="319"/>
  <c r="CN334" i="319" s="1"/>
  <c r="CV334" i="319" s="1"/>
  <c r="BO334" i="319"/>
  <c r="BQ334" i="319" s="1"/>
  <c r="BS334" i="319" s="1"/>
  <c r="BE334" i="319"/>
  <c r="BG334" i="319" s="1"/>
  <c r="BI334" i="319" s="1"/>
  <c r="Q334" i="319"/>
  <c r="S334" i="319" s="1"/>
  <c r="I334" i="319"/>
  <c r="K334" i="319" s="1"/>
  <c r="A334" i="319"/>
  <c r="C334" i="319" s="1"/>
  <c r="CL333" i="319"/>
  <c r="CN333" i="319" s="1"/>
  <c r="CV333" i="319" s="1"/>
  <c r="BO333" i="319"/>
  <c r="BQ333" i="319" s="1"/>
  <c r="BS333" i="319" s="1"/>
  <c r="BE333" i="319"/>
  <c r="BG333" i="319" s="1"/>
  <c r="BI333" i="319" s="1"/>
  <c r="Q333" i="319"/>
  <c r="S333" i="319" s="1"/>
  <c r="I333" i="319"/>
  <c r="K333" i="319" s="1"/>
  <c r="A333" i="319"/>
  <c r="C333" i="319" s="1"/>
  <c r="CL332" i="319"/>
  <c r="CN332" i="319" s="1"/>
  <c r="CV332" i="319" s="1"/>
  <c r="BO332" i="319"/>
  <c r="BQ332" i="319" s="1"/>
  <c r="BS332" i="319" s="1"/>
  <c r="BE332" i="319"/>
  <c r="BG332" i="319" s="1"/>
  <c r="BI332" i="319" s="1"/>
  <c r="S332" i="319"/>
  <c r="Q332" i="319"/>
  <c r="I332" i="319"/>
  <c r="K332" i="319" s="1"/>
  <c r="A332" i="319"/>
  <c r="C332" i="319" s="1"/>
  <c r="CL331" i="319"/>
  <c r="CN331" i="319" s="1"/>
  <c r="CV331" i="319" s="1"/>
  <c r="BO331" i="319"/>
  <c r="BQ331" i="319" s="1"/>
  <c r="BS331" i="319" s="1"/>
  <c r="BE331" i="319"/>
  <c r="BG331" i="319" s="1"/>
  <c r="BI331" i="319" s="1"/>
  <c r="Q331" i="319"/>
  <c r="S331" i="319" s="1"/>
  <c r="I331" i="319"/>
  <c r="K331" i="319" s="1"/>
  <c r="A331" i="319"/>
  <c r="C331" i="319" s="1"/>
  <c r="CL330" i="319"/>
  <c r="CN330" i="319" s="1"/>
  <c r="CV330" i="319" s="1"/>
  <c r="BO330" i="319"/>
  <c r="BQ330" i="319" s="1"/>
  <c r="BS330" i="319" s="1"/>
  <c r="BE330" i="319"/>
  <c r="BG330" i="319" s="1"/>
  <c r="BI330" i="319" s="1"/>
  <c r="Q330" i="319"/>
  <c r="S330" i="319" s="1"/>
  <c r="I330" i="319"/>
  <c r="K330" i="319" s="1"/>
  <c r="A330" i="319"/>
  <c r="C330" i="319" s="1"/>
  <c r="CN329" i="319"/>
  <c r="CV329" i="319" s="1"/>
  <c r="CL329" i="319"/>
  <c r="BQ329" i="319"/>
  <c r="BS329" i="319" s="1"/>
  <c r="BO329" i="319"/>
  <c r="BE329" i="319"/>
  <c r="BG329" i="319" s="1"/>
  <c r="BI329" i="319" s="1"/>
  <c r="Q329" i="319"/>
  <c r="S329" i="319" s="1"/>
  <c r="K329" i="319"/>
  <c r="I329" i="319"/>
  <c r="A329" i="319"/>
  <c r="C329" i="319" s="1"/>
  <c r="CL328" i="319"/>
  <c r="CN328" i="319" s="1"/>
  <c r="CV328" i="319" s="1"/>
  <c r="BO328" i="319"/>
  <c r="BQ328" i="319" s="1"/>
  <c r="BS328" i="319" s="1"/>
  <c r="BE328" i="319"/>
  <c r="BG328" i="319" s="1"/>
  <c r="BI328" i="319" s="1"/>
  <c r="Q328" i="319"/>
  <c r="S328" i="319" s="1"/>
  <c r="I328" i="319"/>
  <c r="K328" i="319" s="1"/>
  <c r="A328" i="319"/>
  <c r="C328" i="319" s="1"/>
  <c r="CL327" i="319"/>
  <c r="CN327" i="319" s="1"/>
  <c r="CV327" i="319" s="1"/>
  <c r="BO327" i="319"/>
  <c r="BQ327" i="319" s="1"/>
  <c r="BS327" i="319" s="1"/>
  <c r="BE327" i="319"/>
  <c r="BG327" i="319" s="1"/>
  <c r="BI327" i="319" s="1"/>
  <c r="Q327" i="319"/>
  <c r="S327" i="319" s="1"/>
  <c r="I327" i="319"/>
  <c r="K327" i="319" s="1"/>
  <c r="A327" i="319"/>
  <c r="C327" i="319" s="1"/>
  <c r="CL326" i="319"/>
  <c r="CN326" i="319" s="1"/>
  <c r="CV326" i="319" s="1"/>
  <c r="BO326" i="319"/>
  <c r="BQ326" i="319" s="1"/>
  <c r="BS326" i="319" s="1"/>
  <c r="BE326" i="319"/>
  <c r="BG326" i="319" s="1"/>
  <c r="BI326" i="319" s="1"/>
  <c r="Q326" i="319"/>
  <c r="S326" i="319" s="1"/>
  <c r="I326" i="319"/>
  <c r="K326" i="319" s="1"/>
  <c r="A326" i="319"/>
  <c r="C326" i="319" s="1"/>
  <c r="CL325" i="319"/>
  <c r="CN325" i="319" s="1"/>
  <c r="CV325" i="319" s="1"/>
  <c r="BO325" i="319"/>
  <c r="BQ325" i="319" s="1"/>
  <c r="BS325" i="319" s="1"/>
  <c r="BE325" i="319"/>
  <c r="BG325" i="319" s="1"/>
  <c r="BI325" i="319" s="1"/>
  <c r="Q325" i="319"/>
  <c r="S325" i="319" s="1"/>
  <c r="I325" i="319"/>
  <c r="K325" i="319" s="1"/>
  <c r="A325" i="319"/>
  <c r="C325" i="319" s="1"/>
  <c r="CL324" i="319"/>
  <c r="CN324" i="319" s="1"/>
  <c r="CV324" i="319" s="1"/>
  <c r="BO324" i="319"/>
  <c r="BQ324" i="319" s="1"/>
  <c r="BS324" i="319" s="1"/>
  <c r="BE324" i="319"/>
  <c r="BG324" i="319" s="1"/>
  <c r="BI324" i="319" s="1"/>
  <c r="Q324" i="319"/>
  <c r="S324" i="319" s="1"/>
  <c r="I324" i="319"/>
  <c r="K324" i="319" s="1"/>
  <c r="A324" i="319"/>
  <c r="C324" i="319" s="1"/>
  <c r="CL323" i="319"/>
  <c r="CN323" i="319" s="1"/>
  <c r="CV323" i="319" s="1"/>
  <c r="BO323" i="319"/>
  <c r="BQ323" i="319" s="1"/>
  <c r="BS323" i="319" s="1"/>
  <c r="BE323" i="319"/>
  <c r="BG323" i="319" s="1"/>
  <c r="BI323" i="319" s="1"/>
  <c r="Q323" i="319"/>
  <c r="S323" i="319" s="1"/>
  <c r="I323" i="319"/>
  <c r="K323" i="319" s="1"/>
  <c r="A323" i="319"/>
  <c r="C323" i="319" s="1"/>
  <c r="CL322" i="319"/>
  <c r="CN322" i="319" s="1"/>
  <c r="CV322" i="319" s="1"/>
  <c r="BO322" i="319"/>
  <c r="BQ322" i="319" s="1"/>
  <c r="BS322" i="319" s="1"/>
  <c r="BE322" i="319"/>
  <c r="BG322" i="319" s="1"/>
  <c r="BI322" i="319" s="1"/>
  <c r="Q322" i="319"/>
  <c r="S322" i="319" s="1"/>
  <c r="I322" i="319"/>
  <c r="K322" i="319" s="1"/>
  <c r="A322" i="319"/>
  <c r="C322" i="319" s="1"/>
  <c r="CL321" i="319"/>
  <c r="CN321" i="319" s="1"/>
  <c r="CV321" i="319" s="1"/>
  <c r="BO321" i="319"/>
  <c r="BQ321" i="319" s="1"/>
  <c r="BS321" i="319" s="1"/>
  <c r="BE321" i="319"/>
  <c r="BG321" i="319" s="1"/>
  <c r="BI321" i="319" s="1"/>
  <c r="Q321" i="319"/>
  <c r="S321" i="319" s="1"/>
  <c r="I321" i="319"/>
  <c r="K321" i="319" s="1"/>
  <c r="A321" i="319"/>
  <c r="C321" i="319" s="1"/>
  <c r="CL320" i="319"/>
  <c r="CN320" i="319" s="1"/>
  <c r="CV320" i="319" s="1"/>
  <c r="BO320" i="319"/>
  <c r="BQ320" i="319" s="1"/>
  <c r="BS320" i="319" s="1"/>
  <c r="BE320" i="319"/>
  <c r="BG320" i="319" s="1"/>
  <c r="BI320" i="319" s="1"/>
  <c r="Q320" i="319"/>
  <c r="S320" i="319" s="1"/>
  <c r="I320" i="319"/>
  <c r="K320" i="319" s="1"/>
  <c r="A320" i="319"/>
  <c r="C320" i="319" s="1"/>
  <c r="CL319" i="319"/>
  <c r="CN319" i="319" s="1"/>
  <c r="CV319" i="319" s="1"/>
  <c r="BO319" i="319"/>
  <c r="BQ319" i="319" s="1"/>
  <c r="BS319" i="319" s="1"/>
  <c r="BE319" i="319"/>
  <c r="BG319" i="319" s="1"/>
  <c r="BI319" i="319" s="1"/>
  <c r="Q319" i="319"/>
  <c r="S319" i="319" s="1"/>
  <c r="I319" i="319"/>
  <c r="K319" i="319" s="1"/>
  <c r="A319" i="319"/>
  <c r="C319" i="319" s="1"/>
  <c r="CL318" i="319"/>
  <c r="CN318" i="319" s="1"/>
  <c r="CV318" i="319" s="1"/>
  <c r="BO318" i="319"/>
  <c r="BQ318" i="319" s="1"/>
  <c r="BS318" i="319" s="1"/>
  <c r="BE318" i="319"/>
  <c r="BG318" i="319" s="1"/>
  <c r="BI318" i="319" s="1"/>
  <c r="Q318" i="319"/>
  <c r="S318" i="319" s="1"/>
  <c r="I318" i="319"/>
  <c r="K318" i="319" s="1"/>
  <c r="A318" i="319"/>
  <c r="C318" i="319" s="1"/>
  <c r="CL317" i="319"/>
  <c r="CN317" i="319" s="1"/>
  <c r="CV317" i="319" s="1"/>
  <c r="CL316" i="319"/>
  <c r="CN316" i="319" s="1"/>
  <c r="CV316" i="319" s="1"/>
  <c r="CL315" i="319"/>
  <c r="CN315" i="319" s="1"/>
  <c r="CV315" i="319" s="1"/>
  <c r="CL314" i="319"/>
  <c r="CN314" i="319" s="1"/>
  <c r="CV314" i="319" s="1"/>
  <c r="CL313" i="319"/>
  <c r="CN313" i="319" s="1"/>
  <c r="CV313" i="319" s="1"/>
  <c r="CL312" i="319"/>
  <c r="CN312" i="319" s="1"/>
  <c r="CV312" i="319" s="1"/>
  <c r="CL311" i="319"/>
  <c r="CN311" i="319" s="1"/>
  <c r="CV311" i="319" s="1"/>
  <c r="BO311" i="319"/>
  <c r="BQ311" i="319" s="1"/>
  <c r="BS311" i="319" s="1"/>
  <c r="BE311" i="319"/>
  <c r="BG311" i="319" s="1"/>
  <c r="BI311" i="319" s="1"/>
  <c r="Q311" i="319"/>
  <c r="S311" i="319" s="1"/>
  <c r="I311" i="319"/>
  <c r="K311" i="319" s="1"/>
  <c r="A311" i="319"/>
  <c r="C311" i="319" s="1"/>
  <c r="CL310" i="319"/>
  <c r="CN310" i="319" s="1"/>
  <c r="CV310" i="319" s="1"/>
  <c r="BO310" i="319"/>
  <c r="BQ310" i="319" s="1"/>
  <c r="BS310" i="319" s="1"/>
  <c r="BE310" i="319"/>
  <c r="BG310" i="319" s="1"/>
  <c r="BI310" i="319" s="1"/>
  <c r="Q310" i="319"/>
  <c r="S310" i="319" s="1"/>
  <c r="I310" i="319"/>
  <c r="K310" i="319" s="1"/>
  <c r="A310" i="319"/>
  <c r="C310" i="319" s="1"/>
  <c r="CL309" i="319"/>
  <c r="CN309" i="319" s="1"/>
  <c r="CV309" i="319" s="1"/>
  <c r="BO309" i="319"/>
  <c r="BQ309" i="319" s="1"/>
  <c r="BS309" i="319" s="1"/>
  <c r="BE309" i="319"/>
  <c r="BG309" i="319" s="1"/>
  <c r="BI309" i="319" s="1"/>
  <c r="Q309" i="319"/>
  <c r="S309" i="319" s="1"/>
  <c r="I309" i="319"/>
  <c r="K309" i="319" s="1"/>
  <c r="A309" i="319"/>
  <c r="C309" i="319" s="1"/>
  <c r="CL308" i="319"/>
  <c r="CN308" i="319" s="1"/>
  <c r="CV308" i="319" s="1"/>
  <c r="BO308" i="319"/>
  <c r="BQ308" i="319" s="1"/>
  <c r="BS308" i="319" s="1"/>
  <c r="BE308" i="319"/>
  <c r="BG308" i="319" s="1"/>
  <c r="BI308" i="319" s="1"/>
  <c r="Q308" i="319"/>
  <c r="S308" i="319" s="1"/>
  <c r="I308" i="319"/>
  <c r="K308" i="319" s="1"/>
  <c r="A308" i="319"/>
  <c r="C308" i="319" s="1"/>
  <c r="CL307" i="319"/>
  <c r="CN307" i="319" s="1"/>
  <c r="CV307" i="319" s="1"/>
  <c r="BO307" i="319"/>
  <c r="BQ307" i="319" s="1"/>
  <c r="BS307" i="319" s="1"/>
  <c r="BE307" i="319"/>
  <c r="BG307" i="319" s="1"/>
  <c r="BI307" i="319" s="1"/>
  <c r="Q307" i="319"/>
  <c r="S307" i="319" s="1"/>
  <c r="I307" i="319"/>
  <c r="K307" i="319" s="1"/>
  <c r="A307" i="319"/>
  <c r="C307" i="319" s="1"/>
  <c r="CL306" i="319"/>
  <c r="CN306" i="319" s="1"/>
  <c r="CV306" i="319" s="1"/>
  <c r="BO306" i="319"/>
  <c r="BQ306" i="319" s="1"/>
  <c r="BS306" i="319" s="1"/>
  <c r="BE306" i="319"/>
  <c r="BG306" i="319" s="1"/>
  <c r="BI306" i="319" s="1"/>
  <c r="Q306" i="319"/>
  <c r="S306" i="319" s="1"/>
  <c r="I306" i="319"/>
  <c r="K306" i="319" s="1"/>
  <c r="A306" i="319"/>
  <c r="C306" i="319" s="1"/>
  <c r="CL305" i="319"/>
  <c r="CN305" i="319" s="1"/>
  <c r="CV305" i="319" s="1"/>
  <c r="BO305" i="319"/>
  <c r="BQ305" i="319" s="1"/>
  <c r="BS305" i="319" s="1"/>
  <c r="BE305" i="319"/>
  <c r="BG305" i="319" s="1"/>
  <c r="BI305" i="319" s="1"/>
  <c r="Q305" i="319"/>
  <c r="S305" i="319" s="1"/>
  <c r="I305" i="319"/>
  <c r="K305" i="319" s="1"/>
  <c r="A305" i="319"/>
  <c r="C305" i="319" s="1"/>
  <c r="CL304" i="319"/>
  <c r="CN304" i="319" s="1"/>
  <c r="CV304" i="319" s="1"/>
  <c r="BO304" i="319"/>
  <c r="BQ304" i="319" s="1"/>
  <c r="BS304" i="319" s="1"/>
  <c r="BE304" i="319"/>
  <c r="BG304" i="319" s="1"/>
  <c r="BI304" i="319" s="1"/>
  <c r="Q304" i="319"/>
  <c r="S304" i="319" s="1"/>
  <c r="I304" i="319"/>
  <c r="K304" i="319" s="1"/>
  <c r="A304" i="319"/>
  <c r="C304" i="319" s="1"/>
  <c r="CL303" i="319"/>
  <c r="CN303" i="319" s="1"/>
  <c r="CV303" i="319" s="1"/>
  <c r="BO303" i="319"/>
  <c r="BQ303" i="319" s="1"/>
  <c r="BS303" i="319" s="1"/>
  <c r="BE303" i="319"/>
  <c r="BG303" i="319" s="1"/>
  <c r="BI303" i="319" s="1"/>
  <c r="Q303" i="319"/>
  <c r="S303" i="319" s="1"/>
  <c r="I303" i="319"/>
  <c r="K303" i="319" s="1"/>
  <c r="A303" i="319"/>
  <c r="C303" i="319" s="1"/>
  <c r="CL302" i="319"/>
  <c r="CN302" i="319" s="1"/>
  <c r="CV302" i="319" s="1"/>
  <c r="BO302" i="319"/>
  <c r="BQ302" i="319" s="1"/>
  <c r="BS302" i="319" s="1"/>
  <c r="BE302" i="319"/>
  <c r="BG302" i="319" s="1"/>
  <c r="BI302" i="319" s="1"/>
  <c r="Q302" i="319"/>
  <c r="S302" i="319" s="1"/>
  <c r="I302" i="319"/>
  <c r="K302" i="319" s="1"/>
  <c r="A302" i="319"/>
  <c r="C302" i="319" s="1"/>
  <c r="CL301" i="319"/>
  <c r="CN301" i="319" s="1"/>
  <c r="CV301" i="319" s="1"/>
  <c r="BO301" i="319"/>
  <c r="BQ301" i="319" s="1"/>
  <c r="BS301" i="319" s="1"/>
  <c r="BE301" i="319"/>
  <c r="BG301" i="319" s="1"/>
  <c r="BI301" i="319" s="1"/>
  <c r="Q301" i="319"/>
  <c r="S301" i="319" s="1"/>
  <c r="I301" i="319"/>
  <c r="K301" i="319" s="1"/>
  <c r="A301" i="319"/>
  <c r="C301" i="319" s="1"/>
  <c r="CL300" i="319"/>
  <c r="CN300" i="319" s="1"/>
  <c r="CV300" i="319" s="1"/>
  <c r="BO300" i="319"/>
  <c r="BQ300" i="319" s="1"/>
  <c r="BS300" i="319" s="1"/>
  <c r="BE300" i="319"/>
  <c r="BG300" i="319" s="1"/>
  <c r="BI300" i="319" s="1"/>
  <c r="Q300" i="319"/>
  <c r="S300" i="319" s="1"/>
  <c r="I300" i="319"/>
  <c r="K300" i="319" s="1"/>
  <c r="A300" i="319"/>
  <c r="C300" i="319" s="1"/>
  <c r="CL299" i="319"/>
  <c r="CN299" i="319" s="1"/>
  <c r="CV299" i="319" s="1"/>
  <c r="BO299" i="319"/>
  <c r="BQ299" i="319" s="1"/>
  <c r="BS299" i="319" s="1"/>
  <c r="BE299" i="319"/>
  <c r="BG299" i="319" s="1"/>
  <c r="BI299" i="319" s="1"/>
  <c r="Q299" i="319"/>
  <c r="S299" i="319" s="1"/>
  <c r="I299" i="319"/>
  <c r="K299" i="319" s="1"/>
  <c r="A299" i="319"/>
  <c r="C299" i="319" s="1"/>
  <c r="CL298" i="319"/>
  <c r="CN298" i="319" s="1"/>
  <c r="CV298" i="319" s="1"/>
  <c r="BO298" i="319"/>
  <c r="BQ298" i="319" s="1"/>
  <c r="BS298" i="319" s="1"/>
  <c r="BE298" i="319"/>
  <c r="BG298" i="319" s="1"/>
  <c r="BI298" i="319" s="1"/>
  <c r="Q298" i="319"/>
  <c r="S298" i="319" s="1"/>
  <c r="I298" i="319"/>
  <c r="K298" i="319" s="1"/>
  <c r="A298" i="319"/>
  <c r="C298" i="319" s="1"/>
  <c r="CL297" i="319"/>
  <c r="CN297" i="319" s="1"/>
  <c r="CV297" i="319" s="1"/>
  <c r="BO297" i="319"/>
  <c r="BQ297" i="319" s="1"/>
  <c r="BS297" i="319" s="1"/>
  <c r="BE297" i="319"/>
  <c r="BG297" i="319" s="1"/>
  <c r="BI297" i="319" s="1"/>
  <c r="Q297" i="319"/>
  <c r="S297" i="319" s="1"/>
  <c r="I297" i="319"/>
  <c r="K297" i="319" s="1"/>
  <c r="A297" i="319"/>
  <c r="C297" i="319" s="1"/>
  <c r="CL296" i="319"/>
  <c r="CN296" i="319" s="1"/>
  <c r="CV296" i="319" s="1"/>
  <c r="BO296" i="319"/>
  <c r="BQ296" i="319" s="1"/>
  <c r="BS296" i="319" s="1"/>
  <c r="BE296" i="319"/>
  <c r="BG296" i="319" s="1"/>
  <c r="BI296" i="319" s="1"/>
  <c r="Q296" i="319"/>
  <c r="S296" i="319" s="1"/>
  <c r="I296" i="319"/>
  <c r="K296" i="319" s="1"/>
  <c r="A296" i="319"/>
  <c r="C296" i="319" s="1"/>
  <c r="CL295" i="319"/>
  <c r="CN295" i="319" s="1"/>
  <c r="CV295" i="319" s="1"/>
  <c r="BO295" i="319"/>
  <c r="BQ295" i="319" s="1"/>
  <c r="BS295" i="319" s="1"/>
  <c r="BE295" i="319"/>
  <c r="BG295" i="319" s="1"/>
  <c r="BI295" i="319" s="1"/>
  <c r="Q295" i="319"/>
  <c r="S295" i="319" s="1"/>
  <c r="I295" i="319"/>
  <c r="K295" i="319" s="1"/>
  <c r="A295" i="319"/>
  <c r="C295" i="319" s="1"/>
  <c r="CL294" i="319"/>
  <c r="CN294" i="319" s="1"/>
  <c r="CV294" i="319" s="1"/>
  <c r="BO294" i="319"/>
  <c r="BQ294" i="319" s="1"/>
  <c r="BS294" i="319" s="1"/>
  <c r="BE294" i="319"/>
  <c r="BG294" i="319" s="1"/>
  <c r="BI294" i="319" s="1"/>
  <c r="Q294" i="319"/>
  <c r="S294" i="319" s="1"/>
  <c r="I294" i="319"/>
  <c r="K294" i="319" s="1"/>
  <c r="A294" i="319"/>
  <c r="C294" i="319" s="1"/>
  <c r="CL293" i="319"/>
  <c r="CN293" i="319" s="1"/>
  <c r="CV293" i="319" s="1"/>
  <c r="BO293" i="319"/>
  <c r="BQ293" i="319" s="1"/>
  <c r="BS293" i="319" s="1"/>
  <c r="BE293" i="319"/>
  <c r="BG293" i="319" s="1"/>
  <c r="BI293" i="319" s="1"/>
  <c r="Q293" i="319"/>
  <c r="S293" i="319" s="1"/>
  <c r="I293" i="319"/>
  <c r="K293" i="319" s="1"/>
  <c r="A293" i="319"/>
  <c r="C293" i="319" s="1"/>
  <c r="CL292" i="319"/>
  <c r="CN292" i="319" s="1"/>
  <c r="CV292" i="319" s="1"/>
  <c r="BO292" i="319"/>
  <c r="BQ292" i="319" s="1"/>
  <c r="BS292" i="319" s="1"/>
  <c r="BE292" i="319"/>
  <c r="BG292" i="319" s="1"/>
  <c r="BI292" i="319" s="1"/>
  <c r="Q292" i="319"/>
  <c r="S292" i="319" s="1"/>
  <c r="I292" i="319"/>
  <c r="K292" i="319" s="1"/>
  <c r="A292" i="319"/>
  <c r="C292" i="319" s="1"/>
  <c r="CL291" i="319"/>
  <c r="CN291" i="319" s="1"/>
  <c r="CV291" i="319" s="1"/>
  <c r="BO291" i="319"/>
  <c r="BQ291" i="319" s="1"/>
  <c r="BS291" i="319" s="1"/>
  <c r="BE291" i="319"/>
  <c r="BG291" i="319" s="1"/>
  <c r="BI291" i="319" s="1"/>
  <c r="Q291" i="319"/>
  <c r="S291" i="319" s="1"/>
  <c r="I291" i="319"/>
  <c r="K291" i="319" s="1"/>
  <c r="A291" i="319"/>
  <c r="C291" i="319" s="1"/>
  <c r="CL290" i="319"/>
  <c r="CN290" i="319" s="1"/>
  <c r="CV290" i="319" s="1"/>
  <c r="BO290" i="319"/>
  <c r="BQ290" i="319" s="1"/>
  <c r="BS290" i="319" s="1"/>
  <c r="BE290" i="319"/>
  <c r="BG290" i="319" s="1"/>
  <c r="BI290" i="319" s="1"/>
  <c r="Q290" i="319"/>
  <c r="S290" i="319" s="1"/>
  <c r="I290" i="319"/>
  <c r="K290" i="319" s="1"/>
  <c r="A290" i="319"/>
  <c r="C290" i="319" s="1"/>
  <c r="CL289" i="319"/>
  <c r="CN289" i="319" s="1"/>
  <c r="CV289" i="319" s="1"/>
  <c r="BO289" i="319"/>
  <c r="BQ289" i="319" s="1"/>
  <c r="BS289" i="319" s="1"/>
  <c r="BE289" i="319"/>
  <c r="BG289" i="319" s="1"/>
  <c r="BI289" i="319" s="1"/>
  <c r="Q289" i="319"/>
  <c r="S289" i="319" s="1"/>
  <c r="I289" i="319"/>
  <c r="K289" i="319" s="1"/>
  <c r="A289" i="319"/>
  <c r="C289" i="319" s="1"/>
  <c r="CL288" i="319"/>
  <c r="CN288" i="319" s="1"/>
  <c r="CV288" i="319" s="1"/>
  <c r="BO288" i="319"/>
  <c r="BQ288" i="319" s="1"/>
  <c r="BS288" i="319" s="1"/>
  <c r="BE288" i="319"/>
  <c r="BG288" i="319" s="1"/>
  <c r="BI288" i="319" s="1"/>
  <c r="Q288" i="319"/>
  <c r="S288" i="319" s="1"/>
  <c r="I288" i="319"/>
  <c r="K288" i="319" s="1"/>
  <c r="A288" i="319"/>
  <c r="C288" i="319" s="1"/>
  <c r="CL287" i="319"/>
  <c r="CN287" i="319" s="1"/>
  <c r="CV287" i="319" s="1"/>
  <c r="BO287" i="319"/>
  <c r="BQ287" i="319" s="1"/>
  <c r="BS287" i="319" s="1"/>
  <c r="BE287" i="319"/>
  <c r="BG287" i="319" s="1"/>
  <c r="BI287" i="319" s="1"/>
  <c r="Q287" i="319"/>
  <c r="S287" i="319" s="1"/>
  <c r="I287" i="319"/>
  <c r="K287" i="319" s="1"/>
  <c r="A287" i="319"/>
  <c r="C287" i="319" s="1"/>
  <c r="CL286" i="319"/>
  <c r="CN286" i="319" s="1"/>
  <c r="CV286" i="319" s="1"/>
  <c r="BO286" i="319"/>
  <c r="BQ286" i="319" s="1"/>
  <c r="BS286" i="319" s="1"/>
  <c r="BE286" i="319"/>
  <c r="BG286" i="319" s="1"/>
  <c r="BI286" i="319" s="1"/>
  <c r="Q286" i="319"/>
  <c r="S286" i="319" s="1"/>
  <c r="I286" i="319"/>
  <c r="K286" i="319" s="1"/>
  <c r="A286" i="319"/>
  <c r="C286" i="319" s="1"/>
  <c r="CL285" i="319"/>
  <c r="CN285" i="319" s="1"/>
  <c r="CV285" i="319" s="1"/>
  <c r="BO285" i="319"/>
  <c r="BQ285" i="319" s="1"/>
  <c r="BS285" i="319" s="1"/>
  <c r="BE285" i="319"/>
  <c r="BG285" i="319" s="1"/>
  <c r="BI285" i="319" s="1"/>
  <c r="Q285" i="319"/>
  <c r="S285" i="319" s="1"/>
  <c r="I285" i="319"/>
  <c r="K285" i="319" s="1"/>
  <c r="A285" i="319"/>
  <c r="C285" i="319" s="1"/>
  <c r="CL284" i="319"/>
  <c r="CN284" i="319" s="1"/>
  <c r="CV284" i="319" s="1"/>
  <c r="CW284" i="319" s="1"/>
  <c r="BO284" i="319"/>
  <c r="BQ284" i="319" s="1"/>
  <c r="BS284" i="319" s="1"/>
  <c r="BE284" i="319"/>
  <c r="BG284" i="319" s="1"/>
  <c r="BI284" i="319" s="1"/>
  <c r="Q284" i="319"/>
  <c r="S284" i="319" s="1"/>
  <c r="I284" i="319"/>
  <c r="K284" i="319" s="1"/>
  <c r="A284" i="319"/>
  <c r="C284" i="319" s="1"/>
  <c r="CL283" i="319"/>
  <c r="CN283" i="319" s="1"/>
  <c r="CV283" i="319" s="1"/>
  <c r="BO283" i="319"/>
  <c r="BQ283" i="319" s="1"/>
  <c r="BS283" i="319" s="1"/>
  <c r="BE283" i="319"/>
  <c r="BG283" i="319" s="1"/>
  <c r="BI283" i="319" s="1"/>
  <c r="Q283" i="319"/>
  <c r="S283" i="319" s="1"/>
  <c r="I283" i="319"/>
  <c r="K283" i="319" s="1"/>
  <c r="A283" i="319"/>
  <c r="C283" i="319" s="1"/>
  <c r="CL282" i="319"/>
  <c r="CN282" i="319" s="1"/>
  <c r="CV282" i="319" s="1"/>
  <c r="BO282" i="319"/>
  <c r="BQ282" i="319" s="1"/>
  <c r="BS282" i="319" s="1"/>
  <c r="BE282" i="319"/>
  <c r="BG282" i="319" s="1"/>
  <c r="BI282" i="319" s="1"/>
  <c r="Q282" i="319"/>
  <c r="S282" i="319" s="1"/>
  <c r="I282" i="319"/>
  <c r="K282" i="319" s="1"/>
  <c r="A282" i="319"/>
  <c r="C282" i="319" s="1"/>
  <c r="CL281" i="319"/>
  <c r="CN281" i="319" s="1"/>
  <c r="CV281" i="319" s="1"/>
  <c r="BO281" i="319"/>
  <c r="BQ281" i="319" s="1"/>
  <c r="BS281" i="319" s="1"/>
  <c r="BE281" i="319"/>
  <c r="BG281" i="319" s="1"/>
  <c r="BI281" i="319" s="1"/>
  <c r="Q281" i="319"/>
  <c r="S281" i="319" s="1"/>
  <c r="I281" i="319"/>
  <c r="K281" i="319" s="1"/>
  <c r="A281" i="319"/>
  <c r="C281" i="319" s="1"/>
  <c r="CL280" i="319"/>
  <c r="CN280" i="319" s="1"/>
  <c r="CV280" i="319" s="1"/>
  <c r="BO280" i="319"/>
  <c r="BQ280" i="319" s="1"/>
  <c r="BS280" i="319" s="1"/>
  <c r="BE280" i="319"/>
  <c r="BG280" i="319" s="1"/>
  <c r="BI280" i="319" s="1"/>
  <c r="Q280" i="319"/>
  <c r="S280" i="319" s="1"/>
  <c r="I280" i="319"/>
  <c r="K280" i="319" s="1"/>
  <c r="A280" i="319"/>
  <c r="C280" i="319" s="1"/>
  <c r="CL279" i="319"/>
  <c r="CN279" i="319" s="1"/>
  <c r="CV279" i="319" s="1"/>
  <c r="BO279" i="319"/>
  <c r="BQ279" i="319" s="1"/>
  <c r="BS279" i="319" s="1"/>
  <c r="BE279" i="319"/>
  <c r="BG279" i="319" s="1"/>
  <c r="BI279" i="319" s="1"/>
  <c r="Q279" i="319"/>
  <c r="S279" i="319" s="1"/>
  <c r="I279" i="319"/>
  <c r="K279" i="319" s="1"/>
  <c r="A279" i="319"/>
  <c r="C279" i="319" s="1"/>
  <c r="CL278" i="319"/>
  <c r="CN278" i="319" s="1"/>
  <c r="CV278" i="319" s="1"/>
  <c r="BO278" i="319"/>
  <c r="BQ278" i="319" s="1"/>
  <c r="BS278" i="319" s="1"/>
  <c r="BE278" i="319"/>
  <c r="BG278" i="319" s="1"/>
  <c r="BI278" i="319" s="1"/>
  <c r="Q278" i="319"/>
  <c r="S278" i="319" s="1"/>
  <c r="I278" i="319"/>
  <c r="K278" i="319" s="1"/>
  <c r="A278" i="319"/>
  <c r="C278" i="319" s="1"/>
  <c r="CL277" i="319"/>
  <c r="CN277" i="319" s="1"/>
  <c r="CV277" i="319" s="1"/>
  <c r="BO277" i="319"/>
  <c r="BQ277" i="319" s="1"/>
  <c r="BS277" i="319" s="1"/>
  <c r="BE277" i="319"/>
  <c r="BG277" i="319" s="1"/>
  <c r="BI277" i="319" s="1"/>
  <c r="Q277" i="319"/>
  <c r="S277" i="319" s="1"/>
  <c r="I277" i="319"/>
  <c r="K277" i="319" s="1"/>
  <c r="A277" i="319"/>
  <c r="C277" i="319" s="1"/>
  <c r="CL276" i="319"/>
  <c r="CN276" i="319" s="1"/>
  <c r="CV276" i="319" s="1"/>
  <c r="BO276" i="319"/>
  <c r="BQ276" i="319" s="1"/>
  <c r="BS276" i="319" s="1"/>
  <c r="BE276" i="319"/>
  <c r="BG276" i="319" s="1"/>
  <c r="BI276" i="319" s="1"/>
  <c r="Q276" i="319"/>
  <c r="S276" i="319" s="1"/>
  <c r="I276" i="319"/>
  <c r="K276" i="319" s="1"/>
  <c r="A276" i="319"/>
  <c r="C276" i="319" s="1"/>
  <c r="CL275" i="319"/>
  <c r="CN275" i="319" s="1"/>
  <c r="CV275" i="319" s="1"/>
  <c r="BO275" i="319"/>
  <c r="BQ275" i="319" s="1"/>
  <c r="BS275" i="319" s="1"/>
  <c r="BE275" i="319"/>
  <c r="BG275" i="319" s="1"/>
  <c r="BI275" i="319" s="1"/>
  <c r="Q275" i="319"/>
  <c r="S275" i="319" s="1"/>
  <c r="I275" i="319"/>
  <c r="K275" i="319" s="1"/>
  <c r="A275" i="319"/>
  <c r="C275" i="319" s="1"/>
  <c r="CL274" i="319"/>
  <c r="CN274" i="319" s="1"/>
  <c r="CV274" i="319" s="1"/>
  <c r="BO274" i="319"/>
  <c r="BQ274" i="319" s="1"/>
  <c r="BS274" i="319" s="1"/>
  <c r="BE274" i="319"/>
  <c r="BG274" i="319" s="1"/>
  <c r="BI274" i="319" s="1"/>
  <c r="Q274" i="319"/>
  <c r="S274" i="319" s="1"/>
  <c r="I274" i="319"/>
  <c r="K274" i="319" s="1"/>
  <c r="A274" i="319"/>
  <c r="C274" i="319" s="1"/>
  <c r="CL273" i="319"/>
  <c r="CN273" i="319" s="1"/>
  <c r="CV273" i="319" s="1"/>
  <c r="BO273" i="319"/>
  <c r="BQ273" i="319" s="1"/>
  <c r="BS273" i="319" s="1"/>
  <c r="BE273" i="319"/>
  <c r="BG273" i="319" s="1"/>
  <c r="BI273" i="319" s="1"/>
  <c r="Q273" i="319"/>
  <c r="S273" i="319" s="1"/>
  <c r="I273" i="319"/>
  <c r="K273" i="319" s="1"/>
  <c r="A273" i="319"/>
  <c r="C273" i="319" s="1"/>
  <c r="CL272" i="319"/>
  <c r="CN272" i="319" s="1"/>
  <c r="CV272" i="319" s="1"/>
  <c r="BO272" i="319"/>
  <c r="BQ272" i="319" s="1"/>
  <c r="BS272" i="319" s="1"/>
  <c r="BE272" i="319"/>
  <c r="BG272" i="319" s="1"/>
  <c r="BI272" i="319" s="1"/>
  <c r="Q272" i="319"/>
  <c r="S272" i="319" s="1"/>
  <c r="I272" i="319"/>
  <c r="K272" i="319" s="1"/>
  <c r="A272" i="319"/>
  <c r="C272" i="319" s="1"/>
  <c r="CL271" i="319"/>
  <c r="CN271" i="319" s="1"/>
  <c r="CV271" i="319" s="1"/>
  <c r="BO271" i="319"/>
  <c r="BQ271" i="319" s="1"/>
  <c r="BS271" i="319" s="1"/>
  <c r="BE271" i="319"/>
  <c r="BG271" i="319" s="1"/>
  <c r="BI271" i="319" s="1"/>
  <c r="Q271" i="319"/>
  <c r="S271" i="319" s="1"/>
  <c r="I271" i="319"/>
  <c r="K271" i="319" s="1"/>
  <c r="A271" i="319"/>
  <c r="C271" i="319" s="1"/>
  <c r="CL270" i="319"/>
  <c r="CN270" i="319" s="1"/>
  <c r="CV270" i="319" s="1"/>
  <c r="BO270" i="319"/>
  <c r="BQ270" i="319" s="1"/>
  <c r="BS270" i="319" s="1"/>
  <c r="BE270" i="319"/>
  <c r="BG270" i="319" s="1"/>
  <c r="BI270" i="319" s="1"/>
  <c r="Q270" i="319"/>
  <c r="S270" i="319" s="1"/>
  <c r="I270" i="319"/>
  <c r="K270" i="319" s="1"/>
  <c r="A270" i="319"/>
  <c r="C270" i="319" s="1"/>
  <c r="CL269" i="319"/>
  <c r="CN269" i="319" s="1"/>
  <c r="CV269" i="319" s="1"/>
  <c r="BO269" i="319"/>
  <c r="BQ269" i="319" s="1"/>
  <c r="BS269" i="319" s="1"/>
  <c r="BE269" i="319"/>
  <c r="BG269" i="319" s="1"/>
  <c r="BI269" i="319" s="1"/>
  <c r="Q269" i="319"/>
  <c r="S269" i="319" s="1"/>
  <c r="I269" i="319"/>
  <c r="K269" i="319" s="1"/>
  <c r="A269" i="319"/>
  <c r="C269" i="319" s="1"/>
  <c r="CL268" i="319"/>
  <c r="CN268" i="319" s="1"/>
  <c r="CV268" i="319" s="1"/>
  <c r="BO268" i="319"/>
  <c r="BQ268" i="319" s="1"/>
  <c r="BS268" i="319" s="1"/>
  <c r="BE268" i="319"/>
  <c r="BG268" i="319" s="1"/>
  <c r="BI268" i="319" s="1"/>
  <c r="Q268" i="319"/>
  <c r="S268" i="319" s="1"/>
  <c r="I268" i="319"/>
  <c r="K268" i="319" s="1"/>
  <c r="A268" i="319"/>
  <c r="C268" i="319" s="1"/>
  <c r="CL267" i="319"/>
  <c r="CN267" i="319" s="1"/>
  <c r="CV267" i="319" s="1"/>
  <c r="BO267" i="319"/>
  <c r="BQ267" i="319" s="1"/>
  <c r="BS267" i="319" s="1"/>
  <c r="BE267" i="319"/>
  <c r="BG267" i="319" s="1"/>
  <c r="BI267" i="319" s="1"/>
  <c r="Q267" i="319"/>
  <c r="S267" i="319" s="1"/>
  <c r="I267" i="319"/>
  <c r="K267" i="319" s="1"/>
  <c r="A267" i="319"/>
  <c r="C267" i="319" s="1"/>
  <c r="CL266" i="319"/>
  <c r="CN266" i="319" s="1"/>
  <c r="CV266" i="319" s="1"/>
  <c r="BO266" i="319"/>
  <c r="BQ266" i="319" s="1"/>
  <c r="BS266" i="319" s="1"/>
  <c r="BE266" i="319"/>
  <c r="BG266" i="319" s="1"/>
  <c r="BI266" i="319" s="1"/>
  <c r="Q266" i="319"/>
  <c r="S266" i="319" s="1"/>
  <c r="I266" i="319"/>
  <c r="K266" i="319" s="1"/>
  <c r="A266" i="319"/>
  <c r="C266" i="319" s="1"/>
  <c r="CL265" i="319"/>
  <c r="CN265" i="319" s="1"/>
  <c r="CV265" i="319" s="1"/>
  <c r="BO265" i="319"/>
  <c r="BQ265" i="319" s="1"/>
  <c r="BS265" i="319" s="1"/>
  <c r="BE265" i="319"/>
  <c r="BG265" i="319" s="1"/>
  <c r="BI265" i="319" s="1"/>
  <c r="Q265" i="319"/>
  <c r="S265" i="319" s="1"/>
  <c r="I265" i="319"/>
  <c r="K265" i="319" s="1"/>
  <c r="A265" i="319"/>
  <c r="C265" i="319" s="1"/>
  <c r="CL264" i="319"/>
  <c r="CN264" i="319" s="1"/>
  <c r="CV264" i="319" s="1"/>
  <c r="BO264" i="319"/>
  <c r="BQ264" i="319" s="1"/>
  <c r="BS264" i="319" s="1"/>
  <c r="BE264" i="319"/>
  <c r="BG264" i="319" s="1"/>
  <c r="BI264" i="319" s="1"/>
  <c r="Q264" i="319"/>
  <c r="S264" i="319" s="1"/>
  <c r="I264" i="319"/>
  <c r="K264" i="319" s="1"/>
  <c r="A264" i="319"/>
  <c r="C264" i="319" s="1"/>
  <c r="CL263" i="319"/>
  <c r="CN263" i="319" s="1"/>
  <c r="CV263" i="319" s="1"/>
  <c r="BO263" i="319"/>
  <c r="BQ263" i="319" s="1"/>
  <c r="BS263" i="319" s="1"/>
  <c r="BE263" i="319"/>
  <c r="BG263" i="319" s="1"/>
  <c r="BI263" i="319" s="1"/>
  <c r="Q263" i="319"/>
  <c r="S263" i="319" s="1"/>
  <c r="I263" i="319"/>
  <c r="K263" i="319" s="1"/>
  <c r="A263" i="319"/>
  <c r="C263" i="319" s="1"/>
  <c r="CL262" i="319"/>
  <c r="CN262" i="319" s="1"/>
  <c r="CV262" i="319" s="1"/>
  <c r="BO262" i="319"/>
  <c r="BQ262" i="319" s="1"/>
  <c r="BS262" i="319" s="1"/>
  <c r="BE262" i="319"/>
  <c r="BG262" i="319" s="1"/>
  <c r="BI262" i="319" s="1"/>
  <c r="Q262" i="319"/>
  <c r="S262" i="319" s="1"/>
  <c r="I262" i="319"/>
  <c r="K262" i="319" s="1"/>
  <c r="A262" i="319"/>
  <c r="C262" i="319" s="1"/>
  <c r="CL261" i="319"/>
  <c r="CN261" i="319" s="1"/>
  <c r="CV261" i="319" s="1"/>
  <c r="BO261" i="319"/>
  <c r="BQ261" i="319" s="1"/>
  <c r="BS261" i="319" s="1"/>
  <c r="BE261" i="319"/>
  <c r="BG261" i="319" s="1"/>
  <c r="BI261" i="319" s="1"/>
  <c r="Q261" i="319"/>
  <c r="S261" i="319" s="1"/>
  <c r="I261" i="319"/>
  <c r="K261" i="319" s="1"/>
  <c r="A261" i="319"/>
  <c r="C261" i="319" s="1"/>
  <c r="CL260" i="319"/>
  <c r="CN260" i="319" s="1"/>
  <c r="CV260" i="319" s="1"/>
  <c r="BO260" i="319"/>
  <c r="BQ260" i="319" s="1"/>
  <c r="BS260" i="319" s="1"/>
  <c r="BE260" i="319"/>
  <c r="BG260" i="319" s="1"/>
  <c r="BI260" i="319" s="1"/>
  <c r="Q260" i="319"/>
  <c r="S260" i="319" s="1"/>
  <c r="I260" i="319"/>
  <c r="K260" i="319" s="1"/>
  <c r="A260" i="319"/>
  <c r="C260" i="319" s="1"/>
  <c r="CL259" i="319"/>
  <c r="CN259" i="319" s="1"/>
  <c r="CV259" i="319" s="1"/>
  <c r="BO259" i="319"/>
  <c r="BQ259" i="319" s="1"/>
  <c r="BS259" i="319" s="1"/>
  <c r="BE259" i="319"/>
  <c r="BG259" i="319" s="1"/>
  <c r="BI259" i="319" s="1"/>
  <c r="Q259" i="319"/>
  <c r="S259" i="319" s="1"/>
  <c r="I259" i="319"/>
  <c r="K259" i="319" s="1"/>
  <c r="A259" i="319"/>
  <c r="C259" i="319" s="1"/>
  <c r="CL258" i="319"/>
  <c r="CN258" i="319" s="1"/>
  <c r="CV258" i="319" s="1"/>
  <c r="BO258" i="319"/>
  <c r="BQ258" i="319" s="1"/>
  <c r="BS258" i="319" s="1"/>
  <c r="BE258" i="319"/>
  <c r="BG258" i="319" s="1"/>
  <c r="BI258" i="319" s="1"/>
  <c r="Q258" i="319"/>
  <c r="S258" i="319" s="1"/>
  <c r="I258" i="319"/>
  <c r="K258" i="319" s="1"/>
  <c r="A258" i="319"/>
  <c r="C258" i="319" s="1"/>
  <c r="CL257" i="319"/>
  <c r="CN257" i="319" s="1"/>
  <c r="CV257" i="319" s="1"/>
  <c r="BO257" i="319"/>
  <c r="BQ257" i="319" s="1"/>
  <c r="BS257" i="319" s="1"/>
  <c r="BE257" i="319"/>
  <c r="BG257" i="319" s="1"/>
  <c r="BI257" i="319" s="1"/>
  <c r="Q257" i="319"/>
  <c r="S257" i="319" s="1"/>
  <c r="I257" i="319"/>
  <c r="K257" i="319" s="1"/>
  <c r="A257" i="319"/>
  <c r="C257" i="319" s="1"/>
  <c r="CL256" i="319"/>
  <c r="CN256" i="319" s="1"/>
  <c r="CV256" i="319" s="1"/>
  <c r="BO256" i="319"/>
  <c r="BQ256" i="319" s="1"/>
  <c r="BS256" i="319" s="1"/>
  <c r="BE256" i="319"/>
  <c r="BG256" i="319" s="1"/>
  <c r="BI256" i="319" s="1"/>
  <c r="Q256" i="319"/>
  <c r="S256" i="319" s="1"/>
  <c r="I256" i="319"/>
  <c r="K256" i="319" s="1"/>
  <c r="A256" i="319"/>
  <c r="C256" i="319" s="1"/>
  <c r="CL255" i="319"/>
  <c r="CN255" i="319" s="1"/>
  <c r="CV255" i="319" s="1"/>
  <c r="BO255" i="319"/>
  <c r="BQ255" i="319" s="1"/>
  <c r="BS255" i="319" s="1"/>
  <c r="BE255" i="319"/>
  <c r="BG255" i="319" s="1"/>
  <c r="BI255" i="319" s="1"/>
  <c r="Q255" i="319"/>
  <c r="S255" i="319" s="1"/>
  <c r="I255" i="319"/>
  <c r="K255" i="319" s="1"/>
  <c r="A255" i="319"/>
  <c r="C255" i="319" s="1"/>
  <c r="CL254" i="319"/>
  <c r="CN254" i="319" s="1"/>
  <c r="CV254" i="319" s="1"/>
  <c r="BO254" i="319"/>
  <c r="BQ254" i="319" s="1"/>
  <c r="BS254" i="319" s="1"/>
  <c r="BE254" i="319"/>
  <c r="BG254" i="319" s="1"/>
  <c r="BI254" i="319" s="1"/>
  <c r="Q254" i="319"/>
  <c r="S254" i="319" s="1"/>
  <c r="I254" i="319"/>
  <c r="K254" i="319" s="1"/>
  <c r="A254" i="319"/>
  <c r="C254" i="319" s="1"/>
  <c r="CL253" i="319"/>
  <c r="CN253" i="319" s="1"/>
  <c r="CV253" i="319" s="1"/>
  <c r="BO253" i="319"/>
  <c r="BQ253" i="319" s="1"/>
  <c r="BS253" i="319" s="1"/>
  <c r="BE253" i="319"/>
  <c r="BG253" i="319" s="1"/>
  <c r="BI253" i="319" s="1"/>
  <c r="Q253" i="319"/>
  <c r="S253" i="319" s="1"/>
  <c r="I253" i="319"/>
  <c r="K253" i="319" s="1"/>
  <c r="A253" i="319"/>
  <c r="C253" i="319" s="1"/>
  <c r="CL252" i="319"/>
  <c r="CN252" i="319" s="1"/>
  <c r="CV252" i="319" s="1"/>
  <c r="BO252" i="319"/>
  <c r="BQ252" i="319" s="1"/>
  <c r="BS252" i="319" s="1"/>
  <c r="BE252" i="319"/>
  <c r="BG252" i="319" s="1"/>
  <c r="BI252" i="319" s="1"/>
  <c r="Q252" i="319"/>
  <c r="S252" i="319" s="1"/>
  <c r="I252" i="319"/>
  <c r="K252" i="319" s="1"/>
  <c r="A252" i="319"/>
  <c r="C252" i="319" s="1"/>
  <c r="CL251" i="319"/>
  <c r="CN251" i="319" s="1"/>
  <c r="CV251" i="319" s="1"/>
  <c r="BO251" i="319"/>
  <c r="BQ251" i="319" s="1"/>
  <c r="BS251" i="319" s="1"/>
  <c r="BE251" i="319"/>
  <c r="BG251" i="319" s="1"/>
  <c r="BI251" i="319" s="1"/>
  <c r="Q251" i="319"/>
  <c r="S251" i="319" s="1"/>
  <c r="I251" i="319"/>
  <c r="K251" i="319" s="1"/>
  <c r="A251" i="319"/>
  <c r="C251" i="319" s="1"/>
  <c r="CL250" i="319"/>
  <c r="CN250" i="319" s="1"/>
  <c r="CV250" i="319" s="1"/>
  <c r="BO250" i="319"/>
  <c r="BQ250" i="319" s="1"/>
  <c r="BS250" i="319" s="1"/>
  <c r="BE250" i="319"/>
  <c r="BG250" i="319" s="1"/>
  <c r="BI250" i="319" s="1"/>
  <c r="Q250" i="319"/>
  <c r="S250" i="319" s="1"/>
  <c r="I250" i="319"/>
  <c r="K250" i="319" s="1"/>
  <c r="A250" i="319"/>
  <c r="C250" i="319" s="1"/>
  <c r="CL249" i="319"/>
  <c r="CN249" i="319" s="1"/>
  <c r="CV249" i="319" s="1"/>
  <c r="BO249" i="319"/>
  <c r="BQ249" i="319" s="1"/>
  <c r="BS249" i="319" s="1"/>
  <c r="BE249" i="319"/>
  <c r="BG249" i="319" s="1"/>
  <c r="BI249" i="319" s="1"/>
  <c r="Q249" i="319"/>
  <c r="S249" i="319" s="1"/>
  <c r="I249" i="319"/>
  <c r="K249" i="319" s="1"/>
  <c r="A249" i="319"/>
  <c r="C249" i="319" s="1"/>
  <c r="CL248" i="319"/>
  <c r="CN248" i="319" s="1"/>
  <c r="CV248" i="319" s="1"/>
  <c r="BO248" i="319"/>
  <c r="BQ248" i="319" s="1"/>
  <c r="BS248" i="319" s="1"/>
  <c r="BE248" i="319"/>
  <c r="BG248" i="319" s="1"/>
  <c r="BI248" i="319" s="1"/>
  <c r="Q248" i="319"/>
  <c r="S248" i="319" s="1"/>
  <c r="I248" i="319"/>
  <c r="K248" i="319" s="1"/>
  <c r="A248" i="319"/>
  <c r="C248" i="319" s="1"/>
  <c r="CL247" i="319"/>
  <c r="CN247" i="319" s="1"/>
  <c r="CV247" i="319" s="1"/>
  <c r="BO247" i="319"/>
  <c r="BQ247" i="319" s="1"/>
  <c r="BS247" i="319" s="1"/>
  <c r="BE247" i="319"/>
  <c r="BG247" i="319" s="1"/>
  <c r="BI247" i="319" s="1"/>
  <c r="Q247" i="319"/>
  <c r="S247" i="319" s="1"/>
  <c r="I247" i="319"/>
  <c r="K247" i="319" s="1"/>
  <c r="A247" i="319"/>
  <c r="C247" i="319" s="1"/>
  <c r="CL246" i="319"/>
  <c r="CN246" i="319" s="1"/>
  <c r="CV246" i="319" s="1"/>
  <c r="BO246" i="319"/>
  <c r="BQ246" i="319" s="1"/>
  <c r="BS246" i="319" s="1"/>
  <c r="BE246" i="319"/>
  <c r="BG246" i="319" s="1"/>
  <c r="BI246" i="319" s="1"/>
  <c r="Q246" i="319"/>
  <c r="S246" i="319" s="1"/>
  <c r="I246" i="319"/>
  <c r="K246" i="319" s="1"/>
  <c r="A246" i="319"/>
  <c r="C246" i="319" s="1"/>
  <c r="CL245" i="319"/>
  <c r="CN245" i="319" s="1"/>
  <c r="CV245" i="319" s="1"/>
  <c r="BO245" i="319"/>
  <c r="BQ245" i="319" s="1"/>
  <c r="BS245" i="319" s="1"/>
  <c r="BE245" i="319"/>
  <c r="BG245" i="319" s="1"/>
  <c r="BI245" i="319" s="1"/>
  <c r="Q245" i="319"/>
  <c r="S245" i="319" s="1"/>
  <c r="I245" i="319"/>
  <c r="K245" i="319" s="1"/>
  <c r="A245" i="319"/>
  <c r="C245" i="319" s="1"/>
  <c r="CL244" i="319"/>
  <c r="CN244" i="319" s="1"/>
  <c r="CV244" i="319" s="1"/>
  <c r="BO244" i="319"/>
  <c r="BQ244" i="319" s="1"/>
  <c r="BS244" i="319" s="1"/>
  <c r="BE244" i="319"/>
  <c r="BG244" i="319" s="1"/>
  <c r="BI244" i="319" s="1"/>
  <c r="Q244" i="319"/>
  <c r="S244" i="319" s="1"/>
  <c r="I244" i="319"/>
  <c r="K244" i="319" s="1"/>
  <c r="A244" i="319"/>
  <c r="C244" i="319" s="1"/>
  <c r="CL243" i="319"/>
  <c r="CN243" i="319" s="1"/>
  <c r="CV243" i="319" s="1"/>
  <c r="BO243" i="319"/>
  <c r="BQ243" i="319" s="1"/>
  <c r="BS243" i="319" s="1"/>
  <c r="BE243" i="319"/>
  <c r="BG243" i="319" s="1"/>
  <c r="BI243" i="319" s="1"/>
  <c r="Q243" i="319"/>
  <c r="S243" i="319" s="1"/>
  <c r="I243" i="319"/>
  <c r="K243" i="319" s="1"/>
  <c r="A243" i="319"/>
  <c r="C243" i="319" s="1"/>
  <c r="CL242" i="319"/>
  <c r="CN242" i="319" s="1"/>
  <c r="CV242" i="319" s="1"/>
  <c r="BO242" i="319"/>
  <c r="BQ242" i="319" s="1"/>
  <c r="BS242" i="319" s="1"/>
  <c r="BE242" i="319"/>
  <c r="BG242" i="319" s="1"/>
  <c r="BI242" i="319" s="1"/>
  <c r="Q242" i="319"/>
  <c r="S242" i="319" s="1"/>
  <c r="I242" i="319"/>
  <c r="K242" i="319" s="1"/>
  <c r="A242" i="319"/>
  <c r="C242" i="319" s="1"/>
  <c r="CL241" i="319"/>
  <c r="CN241" i="319" s="1"/>
  <c r="CV241" i="319" s="1"/>
  <c r="BO241" i="319"/>
  <c r="BQ241" i="319" s="1"/>
  <c r="BS241" i="319" s="1"/>
  <c r="BE241" i="319"/>
  <c r="BG241" i="319" s="1"/>
  <c r="BI241" i="319" s="1"/>
  <c r="Q241" i="319"/>
  <c r="S241" i="319" s="1"/>
  <c r="I241" i="319"/>
  <c r="K241" i="319" s="1"/>
  <c r="A241" i="319"/>
  <c r="C241" i="319" s="1"/>
  <c r="CL240" i="319"/>
  <c r="CN240" i="319" s="1"/>
  <c r="CV240" i="319" s="1"/>
  <c r="BO240" i="319"/>
  <c r="BQ240" i="319" s="1"/>
  <c r="BS240" i="319" s="1"/>
  <c r="BE240" i="319"/>
  <c r="BG240" i="319" s="1"/>
  <c r="BI240" i="319" s="1"/>
  <c r="Q240" i="319"/>
  <c r="S240" i="319" s="1"/>
  <c r="I240" i="319"/>
  <c r="K240" i="319" s="1"/>
  <c r="A240" i="319"/>
  <c r="C240" i="319" s="1"/>
  <c r="CL239" i="319"/>
  <c r="CN239" i="319" s="1"/>
  <c r="CV239" i="319" s="1"/>
  <c r="BO239" i="319"/>
  <c r="BQ239" i="319" s="1"/>
  <c r="BS239" i="319" s="1"/>
  <c r="BE239" i="319"/>
  <c r="BG239" i="319" s="1"/>
  <c r="BI239" i="319" s="1"/>
  <c r="Q239" i="319"/>
  <c r="S239" i="319" s="1"/>
  <c r="I239" i="319"/>
  <c r="K239" i="319" s="1"/>
  <c r="A239" i="319"/>
  <c r="C239" i="319" s="1"/>
  <c r="CL238" i="319"/>
  <c r="CN238" i="319" s="1"/>
  <c r="CV238" i="319" s="1"/>
  <c r="BO238" i="319"/>
  <c r="BQ238" i="319" s="1"/>
  <c r="BS238" i="319" s="1"/>
  <c r="BE238" i="319"/>
  <c r="BG238" i="319" s="1"/>
  <c r="BI238" i="319" s="1"/>
  <c r="Q238" i="319"/>
  <c r="S238" i="319" s="1"/>
  <c r="I238" i="319"/>
  <c r="K238" i="319" s="1"/>
  <c r="A238" i="319"/>
  <c r="C238" i="319" s="1"/>
  <c r="CL237" i="319"/>
  <c r="CN237" i="319" s="1"/>
  <c r="CV237" i="319" s="1"/>
  <c r="BO237" i="319"/>
  <c r="BQ237" i="319" s="1"/>
  <c r="BS237" i="319" s="1"/>
  <c r="BE237" i="319"/>
  <c r="BG237" i="319" s="1"/>
  <c r="BI237" i="319" s="1"/>
  <c r="Q237" i="319"/>
  <c r="S237" i="319" s="1"/>
  <c r="I237" i="319"/>
  <c r="K237" i="319" s="1"/>
  <c r="A237" i="319"/>
  <c r="C237" i="319" s="1"/>
  <c r="CL236" i="319"/>
  <c r="CN236" i="319" s="1"/>
  <c r="CV236" i="319" s="1"/>
  <c r="BO236" i="319"/>
  <c r="BQ236" i="319" s="1"/>
  <c r="BS236" i="319" s="1"/>
  <c r="BE236" i="319"/>
  <c r="BG236" i="319" s="1"/>
  <c r="BI236" i="319" s="1"/>
  <c r="Q236" i="319"/>
  <c r="S236" i="319" s="1"/>
  <c r="I236" i="319"/>
  <c r="K236" i="319" s="1"/>
  <c r="A236" i="319"/>
  <c r="C236" i="319" s="1"/>
  <c r="CL235" i="319"/>
  <c r="CN235" i="319" s="1"/>
  <c r="CV235" i="319" s="1"/>
  <c r="BO235" i="319"/>
  <c r="BQ235" i="319" s="1"/>
  <c r="BS235" i="319" s="1"/>
  <c r="BE235" i="319"/>
  <c r="BG235" i="319" s="1"/>
  <c r="BI235" i="319" s="1"/>
  <c r="Q235" i="319"/>
  <c r="S235" i="319" s="1"/>
  <c r="I235" i="319"/>
  <c r="K235" i="319" s="1"/>
  <c r="A235" i="319"/>
  <c r="C235" i="319" s="1"/>
  <c r="CL234" i="319"/>
  <c r="CN234" i="319" s="1"/>
  <c r="CV234" i="319" s="1"/>
  <c r="BO234" i="319"/>
  <c r="BQ234" i="319" s="1"/>
  <c r="BS234" i="319" s="1"/>
  <c r="BE234" i="319"/>
  <c r="BG234" i="319" s="1"/>
  <c r="BI234" i="319" s="1"/>
  <c r="Q234" i="319"/>
  <c r="S234" i="319" s="1"/>
  <c r="I234" i="319"/>
  <c r="K234" i="319" s="1"/>
  <c r="A234" i="319"/>
  <c r="C234" i="319" s="1"/>
  <c r="CL233" i="319"/>
  <c r="CN233" i="319" s="1"/>
  <c r="CV233" i="319" s="1"/>
  <c r="BO233" i="319"/>
  <c r="BQ233" i="319" s="1"/>
  <c r="BS233" i="319" s="1"/>
  <c r="BE233" i="319"/>
  <c r="BG233" i="319" s="1"/>
  <c r="BI233" i="319" s="1"/>
  <c r="Q233" i="319"/>
  <c r="S233" i="319" s="1"/>
  <c r="I233" i="319"/>
  <c r="K233" i="319" s="1"/>
  <c r="A233" i="319"/>
  <c r="C233" i="319" s="1"/>
  <c r="CL232" i="319"/>
  <c r="CN232" i="319" s="1"/>
  <c r="CV232" i="319" s="1"/>
  <c r="BO232" i="319"/>
  <c r="BQ232" i="319" s="1"/>
  <c r="BS232" i="319" s="1"/>
  <c r="BE232" i="319"/>
  <c r="BG232" i="319" s="1"/>
  <c r="BI232" i="319" s="1"/>
  <c r="Q232" i="319"/>
  <c r="S232" i="319" s="1"/>
  <c r="I232" i="319"/>
  <c r="K232" i="319" s="1"/>
  <c r="A232" i="319"/>
  <c r="C232" i="319" s="1"/>
  <c r="CL231" i="319"/>
  <c r="CN231" i="319" s="1"/>
  <c r="CV231" i="319" s="1"/>
  <c r="BO231" i="319"/>
  <c r="BQ231" i="319" s="1"/>
  <c r="BS231" i="319" s="1"/>
  <c r="BE231" i="319"/>
  <c r="BG231" i="319" s="1"/>
  <c r="BI231" i="319" s="1"/>
  <c r="Q231" i="319"/>
  <c r="S231" i="319" s="1"/>
  <c r="I231" i="319"/>
  <c r="K231" i="319" s="1"/>
  <c r="A231" i="319"/>
  <c r="C231" i="319" s="1"/>
  <c r="CL230" i="319"/>
  <c r="CN230" i="319" s="1"/>
  <c r="CV230" i="319" s="1"/>
  <c r="BO230" i="319"/>
  <c r="BQ230" i="319" s="1"/>
  <c r="BS230" i="319" s="1"/>
  <c r="BE230" i="319"/>
  <c r="BG230" i="319" s="1"/>
  <c r="BI230" i="319" s="1"/>
  <c r="Q230" i="319"/>
  <c r="S230" i="319" s="1"/>
  <c r="I230" i="319"/>
  <c r="K230" i="319" s="1"/>
  <c r="A230" i="319"/>
  <c r="C230" i="319" s="1"/>
  <c r="CL229" i="319"/>
  <c r="CN229" i="319" s="1"/>
  <c r="CV229" i="319" s="1"/>
  <c r="BO229" i="319"/>
  <c r="BQ229" i="319" s="1"/>
  <c r="BS229" i="319" s="1"/>
  <c r="BE229" i="319"/>
  <c r="BG229" i="319" s="1"/>
  <c r="BI229" i="319" s="1"/>
  <c r="Q229" i="319"/>
  <c r="S229" i="319" s="1"/>
  <c r="I229" i="319"/>
  <c r="K229" i="319" s="1"/>
  <c r="A229" i="319"/>
  <c r="C229" i="319" s="1"/>
  <c r="CL228" i="319"/>
  <c r="CN228" i="319" s="1"/>
  <c r="CV228" i="319" s="1"/>
  <c r="BO228" i="319"/>
  <c r="BQ228" i="319" s="1"/>
  <c r="BS228" i="319" s="1"/>
  <c r="BE228" i="319"/>
  <c r="BG228" i="319" s="1"/>
  <c r="BI228" i="319" s="1"/>
  <c r="Q228" i="319"/>
  <c r="S228" i="319" s="1"/>
  <c r="I228" i="319"/>
  <c r="K228" i="319" s="1"/>
  <c r="A228" i="319"/>
  <c r="C228" i="319" s="1"/>
  <c r="CL227" i="319"/>
  <c r="CN227" i="319" s="1"/>
  <c r="CV227" i="319" s="1"/>
  <c r="BO227" i="319"/>
  <c r="BQ227" i="319" s="1"/>
  <c r="BS227" i="319" s="1"/>
  <c r="BE227" i="319"/>
  <c r="BG227" i="319" s="1"/>
  <c r="BI227" i="319" s="1"/>
  <c r="Q227" i="319"/>
  <c r="S227" i="319" s="1"/>
  <c r="I227" i="319"/>
  <c r="K227" i="319" s="1"/>
  <c r="A227" i="319"/>
  <c r="C227" i="319" s="1"/>
  <c r="CL226" i="319"/>
  <c r="CN226" i="319" s="1"/>
  <c r="CV226" i="319" s="1"/>
  <c r="BO226" i="319"/>
  <c r="BQ226" i="319" s="1"/>
  <c r="BS226" i="319" s="1"/>
  <c r="BE226" i="319"/>
  <c r="BG226" i="319" s="1"/>
  <c r="BI226" i="319" s="1"/>
  <c r="Q226" i="319"/>
  <c r="S226" i="319" s="1"/>
  <c r="I226" i="319"/>
  <c r="K226" i="319" s="1"/>
  <c r="A226" i="319"/>
  <c r="C226" i="319" s="1"/>
  <c r="CL225" i="319"/>
  <c r="CN225" i="319" s="1"/>
  <c r="CV225" i="319" s="1"/>
  <c r="BO225" i="319"/>
  <c r="BQ225" i="319" s="1"/>
  <c r="BS225" i="319" s="1"/>
  <c r="BE225" i="319"/>
  <c r="BG225" i="319" s="1"/>
  <c r="BI225" i="319" s="1"/>
  <c r="Q225" i="319"/>
  <c r="S225" i="319" s="1"/>
  <c r="I225" i="319"/>
  <c r="K225" i="319" s="1"/>
  <c r="A225" i="319"/>
  <c r="C225" i="319" s="1"/>
  <c r="CL224" i="319"/>
  <c r="CN224" i="319" s="1"/>
  <c r="CV224" i="319" s="1"/>
  <c r="BO224" i="319"/>
  <c r="BQ224" i="319" s="1"/>
  <c r="BS224" i="319" s="1"/>
  <c r="BE224" i="319"/>
  <c r="BG224" i="319" s="1"/>
  <c r="BI224" i="319" s="1"/>
  <c r="Q224" i="319"/>
  <c r="S224" i="319" s="1"/>
  <c r="I224" i="319"/>
  <c r="K224" i="319" s="1"/>
  <c r="A224" i="319"/>
  <c r="C224" i="319" s="1"/>
  <c r="CL223" i="319"/>
  <c r="CN223" i="319" s="1"/>
  <c r="CV223" i="319" s="1"/>
  <c r="BO223" i="319"/>
  <c r="BQ223" i="319" s="1"/>
  <c r="BS223" i="319" s="1"/>
  <c r="BE223" i="319"/>
  <c r="BG223" i="319" s="1"/>
  <c r="BI223" i="319" s="1"/>
  <c r="Q223" i="319"/>
  <c r="S223" i="319" s="1"/>
  <c r="I223" i="319"/>
  <c r="K223" i="319" s="1"/>
  <c r="A223" i="319"/>
  <c r="C223" i="319" s="1"/>
  <c r="CL222" i="319"/>
  <c r="CN222" i="319" s="1"/>
  <c r="CV222" i="319" s="1"/>
  <c r="BO222" i="319"/>
  <c r="BQ222" i="319" s="1"/>
  <c r="BS222" i="319" s="1"/>
  <c r="BE222" i="319"/>
  <c r="BG222" i="319" s="1"/>
  <c r="BI222" i="319" s="1"/>
  <c r="Q222" i="319"/>
  <c r="S222" i="319" s="1"/>
  <c r="I222" i="319"/>
  <c r="K222" i="319" s="1"/>
  <c r="A222" i="319"/>
  <c r="C222" i="319" s="1"/>
  <c r="CL221" i="319"/>
  <c r="CN221" i="319" s="1"/>
  <c r="CV221" i="319" s="1"/>
  <c r="BO221" i="319"/>
  <c r="BQ221" i="319" s="1"/>
  <c r="BS221" i="319" s="1"/>
  <c r="BE221" i="319"/>
  <c r="BG221" i="319" s="1"/>
  <c r="BI221" i="319" s="1"/>
  <c r="Q221" i="319"/>
  <c r="S221" i="319" s="1"/>
  <c r="I221" i="319"/>
  <c r="K221" i="319" s="1"/>
  <c r="A221" i="319"/>
  <c r="C221" i="319" s="1"/>
  <c r="CL220" i="319"/>
  <c r="CN220" i="319" s="1"/>
  <c r="CV220" i="319" s="1"/>
  <c r="BO220" i="319"/>
  <c r="BQ220" i="319" s="1"/>
  <c r="BS220" i="319" s="1"/>
  <c r="BE220" i="319"/>
  <c r="BG220" i="319" s="1"/>
  <c r="BI220" i="319" s="1"/>
  <c r="Q220" i="319"/>
  <c r="S220" i="319" s="1"/>
  <c r="I220" i="319"/>
  <c r="K220" i="319" s="1"/>
  <c r="A220" i="319"/>
  <c r="C220" i="319" s="1"/>
  <c r="CL219" i="319"/>
  <c r="CN219" i="319" s="1"/>
  <c r="CV219" i="319" s="1"/>
  <c r="BO219" i="319"/>
  <c r="BQ219" i="319" s="1"/>
  <c r="BS219" i="319" s="1"/>
  <c r="BE219" i="319"/>
  <c r="BG219" i="319" s="1"/>
  <c r="BI219" i="319" s="1"/>
  <c r="Q219" i="319"/>
  <c r="S219" i="319" s="1"/>
  <c r="I219" i="319"/>
  <c r="K219" i="319" s="1"/>
  <c r="A219" i="319"/>
  <c r="C219" i="319" s="1"/>
  <c r="CL218" i="319"/>
  <c r="CN218" i="319" s="1"/>
  <c r="CV218" i="319" s="1"/>
  <c r="BO218" i="319"/>
  <c r="BQ218" i="319" s="1"/>
  <c r="BS218" i="319" s="1"/>
  <c r="BE218" i="319"/>
  <c r="BG218" i="319" s="1"/>
  <c r="BI218" i="319" s="1"/>
  <c r="Q218" i="319"/>
  <c r="S218" i="319" s="1"/>
  <c r="I218" i="319"/>
  <c r="K218" i="319" s="1"/>
  <c r="A218" i="319"/>
  <c r="C218" i="319" s="1"/>
  <c r="CL217" i="319"/>
  <c r="CN217" i="319" s="1"/>
  <c r="CV217" i="319" s="1"/>
  <c r="BO217" i="319"/>
  <c r="BQ217" i="319" s="1"/>
  <c r="BS217" i="319" s="1"/>
  <c r="BE217" i="319"/>
  <c r="BG217" i="319" s="1"/>
  <c r="BI217" i="319" s="1"/>
  <c r="Q217" i="319"/>
  <c r="S217" i="319" s="1"/>
  <c r="I217" i="319"/>
  <c r="K217" i="319" s="1"/>
  <c r="A217" i="319"/>
  <c r="C217" i="319" s="1"/>
  <c r="CL216" i="319"/>
  <c r="CN216" i="319" s="1"/>
  <c r="CV216" i="319" s="1"/>
  <c r="BO216" i="319"/>
  <c r="BQ216" i="319" s="1"/>
  <c r="BS216" i="319" s="1"/>
  <c r="BE216" i="319"/>
  <c r="BG216" i="319" s="1"/>
  <c r="BI216" i="319" s="1"/>
  <c r="Q216" i="319"/>
  <c r="S216" i="319" s="1"/>
  <c r="I216" i="319"/>
  <c r="K216" i="319" s="1"/>
  <c r="A216" i="319"/>
  <c r="C216" i="319" s="1"/>
  <c r="CL215" i="319"/>
  <c r="CN215" i="319" s="1"/>
  <c r="CV215" i="319" s="1"/>
  <c r="BO215" i="319"/>
  <c r="BQ215" i="319" s="1"/>
  <c r="BS215" i="319" s="1"/>
  <c r="BE215" i="319"/>
  <c r="BG215" i="319" s="1"/>
  <c r="BI215" i="319" s="1"/>
  <c r="Q215" i="319"/>
  <c r="S215" i="319" s="1"/>
  <c r="I215" i="319"/>
  <c r="K215" i="319" s="1"/>
  <c r="A215" i="319"/>
  <c r="C215" i="319" s="1"/>
  <c r="CL214" i="319"/>
  <c r="CN214" i="319" s="1"/>
  <c r="CV214" i="319" s="1"/>
  <c r="BQ214" i="319"/>
  <c r="BS214" i="319" s="1"/>
  <c r="BO214" i="319"/>
  <c r="BE214" i="319"/>
  <c r="BG214" i="319" s="1"/>
  <c r="BI214" i="319" s="1"/>
  <c r="Q214" i="319"/>
  <c r="S214" i="319" s="1"/>
  <c r="K214" i="319"/>
  <c r="I214" i="319"/>
  <c r="A214" i="319"/>
  <c r="C214" i="319" s="1"/>
  <c r="CL213" i="319"/>
  <c r="CN213" i="319" s="1"/>
  <c r="CV213" i="319" s="1"/>
  <c r="BO213" i="319"/>
  <c r="BQ213" i="319" s="1"/>
  <c r="BS213" i="319" s="1"/>
  <c r="BE213" i="319"/>
  <c r="BG213" i="319" s="1"/>
  <c r="BI213" i="319" s="1"/>
  <c r="Q213" i="319"/>
  <c r="S213" i="319" s="1"/>
  <c r="I213" i="319"/>
  <c r="K213" i="319" s="1"/>
  <c r="A213" i="319"/>
  <c r="C213" i="319" s="1"/>
  <c r="CL212" i="319"/>
  <c r="CN212" i="319" s="1"/>
  <c r="CV212" i="319" s="1"/>
  <c r="BO212" i="319"/>
  <c r="BQ212" i="319" s="1"/>
  <c r="BS212" i="319" s="1"/>
  <c r="BE212" i="319"/>
  <c r="BG212" i="319" s="1"/>
  <c r="BI212" i="319" s="1"/>
  <c r="Q212" i="319"/>
  <c r="S212" i="319" s="1"/>
  <c r="I212" i="319"/>
  <c r="K212" i="319" s="1"/>
  <c r="A212" i="319"/>
  <c r="C212" i="319" s="1"/>
  <c r="CL211" i="319"/>
  <c r="CN211" i="319" s="1"/>
  <c r="CV211" i="319" s="1"/>
  <c r="BO211" i="319"/>
  <c r="BQ211" i="319" s="1"/>
  <c r="BS211" i="319" s="1"/>
  <c r="BE211" i="319"/>
  <c r="BG211" i="319" s="1"/>
  <c r="BI211" i="319" s="1"/>
  <c r="Q211" i="319"/>
  <c r="S211" i="319" s="1"/>
  <c r="I211" i="319"/>
  <c r="K211" i="319" s="1"/>
  <c r="A211" i="319"/>
  <c r="C211" i="319" s="1"/>
  <c r="CL210" i="319"/>
  <c r="CN210" i="319" s="1"/>
  <c r="CV210" i="319" s="1"/>
  <c r="BO210" i="319"/>
  <c r="BQ210" i="319" s="1"/>
  <c r="BS210" i="319" s="1"/>
  <c r="BE210" i="319"/>
  <c r="BG210" i="319" s="1"/>
  <c r="BI210" i="319" s="1"/>
  <c r="Q210" i="319"/>
  <c r="S210" i="319" s="1"/>
  <c r="I210" i="319"/>
  <c r="K210" i="319" s="1"/>
  <c r="C210" i="319"/>
  <c r="A210" i="319"/>
  <c r="CL209" i="319"/>
  <c r="CN209" i="319" s="1"/>
  <c r="CV209" i="319" s="1"/>
  <c r="BO209" i="319"/>
  <c r="BQ209" i="319" s="1"/>
  <c r="BS209" i="319" s="1"/>
  <c r="BE209" i="319"/>
  <c r="BG209" i="319" s="1"/>
  <c r="BI209" i="319" s="1"/>
  <c r="Q209" i="319"/>
  <c r="S209" i="319" s="1"/>
  <c r="I209" i="319"/>
  <c r="K209" i="319" s="1"/>
  <c r="A209" i="319"/>
  <c r="C209" i="319" s="1"/>
  <c r="CL208" i="319"/>
  <c r="CN208" i="319" s="1"/>
  <c r="CV208" i="319" s="1"/>
  <c r="BO208" i="319"/>
  <c r="BQ208" i="319" s="1"/>
  <c r="BS208" i="319" s="1"/>
  <c r="BE208" i="319"/>
  <c r="BG208" i="319" s="1"/>
  <c r="BI208" i="319" s="1"/>
  <c r="Q208" i="319"/>
  <c r="S208" i="319" s="1"/>
  <c r="I208" i="319"/>
  <c r="K208" i="319" s="1"/>
  <c r="A208" i="319"/>
  <c r="C208" i="319" s="1"/>
  <c r="CL207" i="319"/>
  <c r="CN207" i="319" s="1"/>
  <c r="CV207" i="319" s="1"/>
  <c r="BO207" i="319"/>
  <c r="BQ207" i="319" s="1"/>
  <c r="BS207" i="319" s="1"/>
  <c r="BE207" i="319"/>
  <c r="BG207" i="319" s="1"/>
  <c r="BI207" i="319" s="1"/>
  <c r="Q207" i="319"/>
  <c r="S207" i="319" s="1"/>
  <c r="I207" i="319"/>
  <c r="K207" i="319" s="1"/>
  <c r="A207" i="319"/>
  <c r="C207" i="319" s="1"/>
  <c r="CL206" i="319"/>
  <c r="CN206" i="319" s="1"/>
  <c r="CV206" i="319" s="1"/>
  <c r="BO206" i="319"/>
  <c r="BQ206" i="319" s="1"/>
  <c r="BS206" i="319" s="1"/>
  <c r="BG206" i="319"/>
  <c r="BI206" i="319" s="1"/>
  <c r="BE206" i="319"/>
  <c r="Q206" i="319"/>
  <c r="S206" i="319" s="1"/>
  <c r="I206" i="319"/>
  <c r="K206" i="319" s="1"/>
  <c r="C206" i="319"/>
  <c r="A206" i="319"/>
  <c r="CL205" i="319"/>
  <c r="CN205" i="319" s="1"/>
  <c r="CV205" i="319" s="1"/>
  <c r="BO205" i="319"/>
  <c r="BQ205" i="319" s="1"/>
  <c r="BS205" i="319" s="1"/>
  <c r="BE205" i="319"/>
  <c r="BG205" i="319" s="1"/>
  <c r="BI205" i="319" s="1"/>
  <c r="Q205" i="319"/>
  <c r="S205" i="319" s="1"/>
  <c r="I205" i="319"/>
  <c r="K205" i="319" s="1"/>
  <c r="A205" i="319"/>
  <c r="C205" i="319" s="1"/>
  <c r="CL204" i="319"/>
  <c r="CN204" i="319" s="1"/>
  <c r="CV204" i="319" s="1"/>
  <c r="BO204" i="319"/>
  <c r="BQ204" i="319" s="1"/>
  <c r="BS204" i="319" s="1"/>
  <c r="BI204" i="319"/>
  <c r="BE204" i="319"/>
  <c r="BG204" i="319" s="1"/>
  <c r="Q204" i="319"/>
  <c r="S204" i="319" s="1"/>
  <c r="I204" i="319"/>
  <c r="K204" i="319" s="1"/>
  <c r="A204" i="319"/>
  <c r="C204" i="319" s="1"/>
  <c r="CL203" i="319"/>
  <c r="CN203" i="319" s="1"/>
  <c r="CV203" i="319" s="1"/>
  <c r="BO203" i="319"/>
  <c r="BQ203" i="319" s="1"/>
  <c r="BS203" i="319" s="1"/>
  <c r="BE203" i="319"/>
  <c r="BG203" i="319" s="1"/>
  <c r="BI203" i="319" s="1"/>
  <c r="S203" i="319"/>
  <c r="Q203" i="319"/>
  <c r="I203" i="319"/>
  <c r="K203" i="319" s="1"/>
  <c r="A203" i="319"/>
  <c r="C203" i="319" s="1"/>
  <c r="CL202" i="319"/>
  <c r="CN202" i="319" s="1"/>
  <c r="CV202" i="319" s="1"/>
  <c r="BO202" i="319"/>
  <c r="BQ202" i="319" s="1"/>
  <c r="BS202" i="319" s="1"/>
  <c r="BE202" i="319"/>
  <c r="BG202" i="319" s="1"/>
  <c r="BI202" i="319" s="1"/>
  <c r="Q202" i="319"/>
  <c r="S202" i="319" s="1"/>
  <c r="K202" i="319"/>
  <c r="I202" i="319"/>
  <c r="A202" i="319"/>
  <c r="C202" i="319" s="1"/>
  <c r="CL201" i="319"/>
  <c r="CN201" i="319" s="1"/>
  <c r="CV201" i="319" s="1"/>
  <c r="BO201" i="319"/>
  <c r="BQ201" i="319" s="1"/>
  <c r="BS201" i="319" s="1"/>
  <c r="BE201" i="319"/>
  <c r="BG201" i="319" s="1"/>
  <c r="BI201" i="319" s="1"/>
  <c r="Q201" i="319"/>
  <c r="S201" i="319" s="1"/>
  <c r="I201" i="319"/>
  <c r="K201" i="319" s="1"/>
  <c r="C201" i="319"/>
  <c r="A201" i="319"/>
  <c r="CL200" i="319"/>
  <c r="CN200" i="319" s="1"/>
  <c r="CV200" i="319" s="1"/>
  <c r="BO200" i="319"/>
  <c r="BQ200" i="319" s="1"/>
  <c r="BS200" i="319" s="1"/>
  <c r="BE200" i="319"/>
  <c r="BG200" i="319" s="1"/>
  <c r="BI200" i="319" s="1"/>
  <c r="Q200" i="319"/>
  <c r="S200" i="319" s="1"/>
  <c r="I200" i="319"/>
  <c r="K200" i="319" s="1"/>
  <c r="A200" i="319"/>
  <c r="C200" i="319" s="1"/>
  <c r="CL199" i="319"/>
  <c r="CN199" i="319" s="1"/>
  <c r="CV199" i="319" s="1"/>
  <c r="BO199" i="319"/>
  <c r="BQ199" i="319" s="1"/>
  <c r="BS199" i="319" s="1"/>
  <c r="BE199" i="319"/>
  <c r="BG199" i="319" s="1"/>
  <c r="BI199" i="319" s="1"/>
  <c r="Q199" i="319"/>
  <c r="S199" i="319" s="1"/>
  <c r="I199" i="319"/>
  <c r="K199" i="319" s="1"/>
  <c r="A199" i="319"/>
  <c r="C199" i="319" s="1"/>
  <c r="CL198" i="319"/>
  <c r="CN198" i="319" s="1"/>
  <c r="CV198" i="319" s="1"/>
  <c r="BO198" i="319"/>
  <c r="BQ198" i="319" s="1"/>
  <c r="BS198" i="319" s="1"/>
  <c r="BE198" i="319"/>
  <c r="BG198" i="319" s="1"/>
  <c r="BI198" i="319" s="1"/>
  <c r="Q198" i="319"/>
  <c r="S198" i="319" s="1"/>
  <c r="I198" i="319"/>
  <c r="K198" i="319" s="1"/>
  <c r="A198" i="319"/>
  <c r="C198" i="319" s="1"/>
  <c r="CL197" i="319"/>
  <c r="CN197" i="319" s="1"/>
  <c r="CV197" i="319" s="1"/>
  <c r="BO197" i="319"/>
  <c r="BQ197" i="319" s="1"/>
  <c r="BS197" i="319" s="1"/>
  <c r="BE197" i="319"/>
  <c r="BG197" i="319" s="1"/>
  <c r="BI197" i="319" s="1"/>
  <c r="Q197" i="319"/>
  <c r="S197" i="319" s="1"/>
  <c r="I197" i="319"/>
  <c r="K197" i="319" s="1"/>
  <c r="A197" i="319"/>
  <c r="C197" i="319" s="1"/>
  <c r="CL196" i="319"/>
  <c r="CN196" i="319" s="1"/>
  <c r="CV196" i="319" s="1"/>
  <c r="CD196" i="319"/>
  <c r="CF196" i="319" s="1"/>
  <c r="CH196" i="319" s="1"/>
  <c r="BW196" i="319"/>
  <c r="BY196" i="319" s="1"/>
  <c r="CA196" i="319" s="1"/>
  <c r="BO196" i="319"/>
  <c r="BQ196" i="319" s="1"/>
  <c r="BS196" i="319" s="1"/>
  <c r="BE196" i="319"/>
  <c r="BG196" i="319" s="1"/>
  <c r="BI196" i="319" s="1"/>
  <c r="Q196" i="319"/>
  <c r="S196" i="319" s="1"/>
  <c r="I196" i="319"/>
  <c r="K196" i="319" s="1"/>
  <c r="A196" i="319"/>
  <c r="C196" i="319" s="1"/>
  <c r="CL195" i="319"/>
  <c r="CN195" i="319" s="1"/>
  <c r="CV195" i="319" s="1"/>
  <c r="CD195" i="319"/>
  <c r="CF195" i="319" s="1"/>
  <c r="CH195" i="319" s="1"/>
  <c r="BW195" i="319"/>
  <c r="BY195" i="319" s="1"/>
  <c r="CA195" i="319" s="1"/>
  <c r="BO195" i="319"/>
  <c r="BQ195" i="319" s="1"/>
  <c r="BS195" i="319" s="1"/>
  <c r="BE195" i="319"/>
  <c r="BG195" i="319" s="1"/>
  <c r="BI195" i="319" s="1"/>
  <c r="Q195" i="319"/>
  <c r="S195" i="319" s="1"/>
  <c r="I195" i="319"/>
  <c r="K195" i="319" s="1"/>
  <c r="A195" i="319"/>
  <c r="C195" i="319" s="1"/>
  <c r="CL194" i="319"/>
  <c r="CN194" i="319" s="1"/>
  <c r="CV194" i="319" s="1"/>
  <c r="CD194" i="319"/>
  <c r="CF194" i="319" s="1"/>
  <c r="CH194" i="319" s="1"/>
  <c r="BW194" i="319"/>
  <c r="BY194" i="319" s="1"/>
  <c r="CA194" i="319" s="1"/>
  <c r="BO194" i="319"/>
  <c r="BQ194" i="319" s="1"/>
  <c r="BS194" i="319" s="1"/>
  <c r="BE194" i="319"/>
  <c r="BG194" i="319" s="1"/>
  <c r="BI194" i="319" s="1"/>
  <c r="Q194" i="319"/>
  <c r="S194" i="319" s="1"/>
  <c r="I194" i="319"/>
  <c r="K194" i="319" s="1"/>
  <c r="A194" i="319"/>
  <c r="C194" i="319" s="1"/>
  <c r="CL193" i="319"/>
  <c r="CN193" i="319" s="1"/>
  <c r="CV193" i="319" s="1"/>
  <c r="CD193" i="319"/>
  <c r="CF193" i="319" s="1"/>
  <c r="CH193" i="319" s="1"/>
  <c r="BW193" i="319"/>
  <c r="BY193" i="319" s="1"/>
  <c r="CA193" i="319" s="1"/>
  <c r="BO193" i="319"/>
  <c r="BQ193" i="319" s="1"/>
  <c r="BS193" i="319" s="1"/>
  <c r="BE193" i="319"/>
  <c r="BG193" i="319" s="1"/>
  <c r="BI193" i="319" s="1"/>
  <c r="Q193" i="319"/>
  <c r="S193" i="319" s="1"/>
  <c r="I193" i="319"/>
  <c r="K193" i="319" s="1"/>
  <c r="A193" i="319"/>
  <c r="C193" i="319" s="1"/>
  <c r="CL192" i="319"/>
  <c r="CN192" i="319" s="1"/>
  <c r="CV192" i="319" s="1"/>
  <c r="CD192" i="319"/>
  <c r="CF192" i="319" s="1"/>
  <c r="CH192" i="319" s="1"/>
  <c r="BW192" i="319"/>
  <c r="BY192" i="319" s="1"/>
  <c r="CA192" i="319" s="1"/>
  <c r="BO192" i="319"/>
  <c r="BQ192" i="319" s="1"/>
  <c r="BS192" i="319" s="1"/>
  <c r="BE192" i="319"/>
  <c r="BG192" i="319" s="1"/>
  <c r="BI192" i="319" s="1"/>
  <c r="Q192" i="319"/>
  <c r="S192" i="319" s="1"/>
  <c r="I192" i="319"/>
  <c r="K192" i="319" s="1"/>
  <c r="A192" i="319"/>
  <c r="C192" i="319" s="1"/>
  <c r="CL191" i="319"/>
  <c r="CN191" i="319" s="1"/>
  <c r="CV191" i="319" s="1"/>
  <c r="CD191" i="319"/>
  <c r="CF191" i="319" s="1"/>
  <c r="CH191" i="319" s="1"/>
  <c r="BW191" i="319"/>
  <c r="BY191" i="319" s="1"/>
  <c r="CA191" i="319" s="1"/>
  <c r="BO191" i="319"/>
  <c r="BQ191" i="319" s="1"/>
  <c r="BS191" i="319" s="1"/>
  <c r="BE191" i="319"/>
  <c r="BG191" i="319" s="1"/>
  <c r="BI191" i="319" s="1"/>
  <c r="Q191" i="319"/>
  <c r="S191" i="319" s="1"/>
  <c r="I191" i="319"/>
  <c r="K191" i="319" s="1"/>
  <c r="A191" i="319"/>
  <c r="C191" i="319" s="1"/>
  <c r="CL190" i="319"/>
  <c r="CN190" i="319" s="1"/>
  <c r="CV190" i="319" s="1"/>
  <c r="CD190" i="319"/>
  <c r="CF190" i="319" s="1"/>
  <c r="CH190" i="319" s="1"/>
  <c r="BW190" i="319"/>
  <c r="BY190" i="319" s="1"/>
  <c r="CA190" i="319" s="1"/>
  <c r="BO190" i="319"/>
  <c r="BQ190" i="319" s="1"/>
  <c r="BS190" i="319" s="1"/>
  <c r="BE190" i="319"/>
  <c r="BG190" i="319" s="1"/>
  <c r="BI190" i="319" s="1"/>
  <c r="Q190" i="319"/>
  <c r="S190" i="319" s="1"/>
  <c r="I190" i="319"/>
  <c r="K190" i="319" s="1"/>
  <c r="A190" i="319"/>
  <c r="C190" i="319" s="1"/>
  <c r="CL189" i="319"/>
  <c r="CN189" i="319" s="1"/>
  <c r="CV189" i="319" s="1"/>
  <c r="CD189" i="319"/>
  <c r="CF189" i="319" s="1"/>
  <c r="CH189" i="319" s="1"/>
  <c r="BW189" i="319"/>
  <c r="BY189" i="319" s="1"/>
  <c r="CA189" i="319" s="1"/>
  <c r="BO189" i="319"/>
  <c r="BQ189" i="319" s="1"/>
  <c r="BS189" i="319" s="1"/>
  <c r="BE189" i="319"/>
  <c r="BG189" i="319" s="1"/>
  <c r="BI189" i="319" s="1"/>
  <c r="Q189" i="319"/>
  <c r="S189" i="319" s="1"/>
  <c r="I189" i="319"/>
  <c r="K189" i="319" s="1"/>
  <c r="A189" i="319"/>
  <c r="C189" i="319" s="1"/>
  <c r="CL188" i="319"/>
  <c r="CN188" i="319" s="1"/>
  <c r="CV188" i="319" s="1"/>
  <c r="CD188" i="319"/>
  <c r="CF188" i="319" s="1"/>
  <c r="CH188" i="319" s="1"/>
  <c r="BW188" i="319"/>
  <c r="BY188" i="319" s="1"/>
  <c r="CA188" i="319" s="1"/>
  <c r="BO188" i="319"/>
  <c r="BQ188" i="319" s="1"/>
  <c r="BS188" i="319" s="1"/>
  <c r="BE188" i="319"/>
  <c r="BG188" i="319" s="1"/>
  <c r="BI188" i="319" s="1"/>
  <c r="Q188" i="319"/>
  <c r="S188" i="319" s="1"/>
  <c r="I188" i="319"/>
  <c r="K188" i="319" s="1"/>
  <c r="A188" i="319"/>
  <c r="C188" i="319" s="1"/>
  <c r="CL187" i="319"/>
  <c r="CN187" i="319" s="1"/>
  <c r="CV187" i="319" s="1"/>
  <c r="CD187" i="319"/>
  <c r="CF187" i="319" s="1"/>
  <c r="CH187" i="319" s="1"/>
  <c r="BW187" i="319"/>
  <c r="BY187" i="319" s="1"/>
  <c r="CA187" i="319" s="1"/>
  <c r="BO187" i="319"/>
  <c r="BQ187" i="319" s="1"/>
  <c r="BS187" i="319" s="1"/>
  <c r="BE187" i="319"/>
  <c r="BG187" i="319" s="1"/>
  <c r="BI187" i="319" s="1"/>
  <c r="Q187" i="319"/>
  <c r="S187" i="319" s="1"/>
  <c r="I187" i="319"/>
  <c r="K187" i="319" s="1"/>
  <c r="A187" i="319"/>
  <c r="C187" i="319" s="1"/>
  <c r="CL186" i="319"/>
  <c r="CN186" i="319" s="1"/>
  <c r="CV186" i="319" s="1"/>
  <c r="CD186" i="319"/>
  <c r="CF186" i="319" s="1"/>
  <c r="CH186" i="319" s="1"/>
  <c r="BW186" i="319"/>
  <c r="BY186" i="319" s="1"/>
  <c r="CA186" i="319" s="1"/>
  <c r="BO186" i="319"/>
  <c r="BQ186" i="319" s="1"/>
  <c r="BS186" i="319" s="1"/>
  <c r="BE186" i="319"/>
  <c r="BG186" i="319" s="1"/>
  <c r="BI186" i="319" s="1"/>
  <c r="Q186" i="319"/>
  <c r="S186" i="319" s="1"/>
  <c r="I186" i="319"/>
  <c r="K186" i="319" s="1"/>
  <c r="A186" i="319"/>
  <c r="C186" i="319" s="1"/>
  <c r="CL185" i="319"/>
  <c r="CN185" i="319" s="1"/>
  <c r="CV185" i="319" s="1"/>
  <c r="CD185" i="319"/>
  <c r="CF185" i="319" s="1"/>
  <c r="CH185" i="319" s="1"/>
  <c r="BW185" i="319"/>
  <c r="BY185" i="319" s="1"/>
  <c r="CA185" i="319" s="1"/>
  <c r="BO185" i="319"/>
  <c r="BQ185" i="319" s="1"/>
  <c r="BS185" i="319" s="1"/>
  <c r="BE185" i="319"/>
  <c r="BG185" i="319" s="1"/>
  <c r="BI185" i="319" s="1"/>
  <c r="Q185" i="319"/>
  <c r="S185" i="319" s="1"/>
  <c r="I185" i="319"/>
  <c r="K185" i="319" s="1"/>
  <c r="A185" i="319"/>
  <c r="C185" i="319" s="1"/>
  <c r="CL184" i="319"/>
  <c r="CN184" i="319" s="1"/>
  <c r="CV184" i="319" s="1"/>
  <c r="CD184" i="319"/>
  <c r="CF184" i="319" s="1"/>
  <c r="CH184" i="319" s="1"/>
  <c r="BW184" i="319"/>
  <c r="BY184" i="319" s="1"/>
  <c r="CA184" i="319" s="1"/>
  <c r="BO184" i="319"/>
  <c r="BQ184" i="319" s="1"/>
  <c r="BS184" i="319" s="1"/>
  <c r="BE184" i="319"/>
  <c r="BG184" i="319" s="1"/>
  <c r="BI184" i="319" s="1"/>
  <c r="Q184" i="319"/>
  <c r="S184" i="319" s="1"/>
  <c r="I184" i="319"/>
  <c r="K184" i="319" s="1"/>
  <c r="A184" i="319"/>
  <c r="C184" i="319" s="1"/>
  <c r="CL183" i="319"/>
  <c r="CN183" i="319" s="1"/>
  <c r="CV183" i="319" s="1"/>
  <c r="CD183" i="319"/>
  <c r="CF183" i="319" s="1"/>
  <c r="CH183" i="319" s="1"/>
  <c r="BW183" i="319"/>
  <c r="BY183" i="319" s="1"/>
  <c r="CA183" i="319" s="1"/>
  <c r="BO183" i="319"/>
  <c r="BQ183" i="319" s="1"/>
  <c r="BS183" i="319" s="1"/>
  <c r="BE183" i="319"/>
  <c r="BG183" i="319" s="1"/>
  <c r="BI183" i="319" s="1"/>
  <c r="Q183" i="319"/>
  <c r="S183" i="319" s="1"/>
  <c r="I183" i="319"/>
  <c r="K183" i="319" s="1"/>
  <c r="A183" i="319"/>
  <c r="C183" i="319" s="1"/>
  <c r="CL182" i="319"/>
  <c r="CN182" i="319" s="1"/>
  <c r="CV182" i="319" s="1"/>
  <c r="CD182" i="319"/>
  <c r="CF182" i="319" s="1"/>
  <c r="CH182" i="319" s="1"/>
  <c r="BW182" i="319"/>
  <c r="BY182" i="319" s="1"/>
  <c r="CA182" i="319" s="1"/>
  <c r="BO182" i="319"/>
  <c r="BQ182" i="319" s="1"/>
  <c r="BS182" i="319" s="1"/>
  <c r="BE182" i="319"/>
  <c r="BG182" i="319" s="1"/>
  <c r="BI182" i="319" s="1"/>
  <c r="Q182" i="319"/>
  <c r="S182" i="319" s="1"/>
  <c r="I182" i="319"/>
  <c r="K182" i="319" s="1"/>
  <c r="A182" i="319"/>
  <c r="C182" i="319" s="1"/>
  <c r="CL181" i="319"/>
  <c r="CN181" i="319" s="1"/>
  <c r="CV181" i="319" s="1"/>
  <c r="CD181" i="319"/>
  <c r="CF181" i="319" s="1"/>
  <c r="CH181" i="319" s="1"/>
  <c r="BW181" i="319"/>
  <c r="BY181" i="319" s="1"/>
  <c r="CA181" i="319" s="1"/>
  <c r="BO181" i="319"/>
  <c r="BQ181" i="319" s="1"/>
  <c r="BS181" i="319" s="1"/>
  <c r="BE181" i="319"/>
  <c r="BG181" i="319" s="1"/>
  <c r="BI181" i="319" s="1"/>
  <c r="Q181" i="319"/>
  <c r="S181" i="319" s="1"/>
  <c r="I181" i="319"/>
  <c r="K181" i="319" s="1"/>
  <c r="A181" i="319"/>
  <c r="C181" i="319" s="1"/>
  <c r="CL180" i="319"/>
  <c r="CN180" i="319" s="1"/>
  <c r="CV180" i="319" s="1"/>
  <c r="CD180" i="319"/>
  <c r="CF180" i="319" s="1"/>
  <c r="CH180" i="319" s="1"/>
  <c r="BW180" i="319"/>
  <c r="BY180" i="319" s="1"/>
  <c r="CA180" i="319" s="1"/>
  <c r="BO180" i="319"/>
  <c r="BQ180" i="319" s="1"/>
  <c r="BS180" i="319" s="1"/>
  <c r="BE180" i="319"/>
  <c r="BG180" i="319" s="1"/>
  <c r="BI180" i="319" s="1"/>
  <c r="Q180" i="319"/>
  <c r="S180" i="319" s="1"/>
  <c r="I180" i="319"/>
  <c r="K180" i="319" s="1"/>
  <c r="A180" i="319"/>
  <c r="C180" i="319" s="1"/>
  <c r="CL179" i="319"/>
  <c r="CN179" i="319" s="1"/>
  <c r="CV179" i="319" s="1"/>
  <c r="CD179" i="319"/>
  <c r="CF179" i="319" s="1"/>
  <c r="CH179" i="319" s="1"/>
  <c r="BW179" i="319"/>
  <c r="BY179" i="319" s="1"/>
  <c r="CA179" i="319" s="1"/>
  <c r="BO179" i="319"/>
  <c r="BQ179" i="319" s="1"/>
  <c r="BS179" i="319" s="1"/>
  <c r="BE179" i="319"/>
  <c r="BG179" i="319" s="1"/>
  <c r="BI179" i="319" s="1"/>
  <c r="Q179" i="319"/>
  <c r="S179" i="319" s="1"/>
  <c r="I179" i="319"/>
  <c r="K179" i="319" s="1"/>
  <c r="A179" i="319"/>
  <c r="C179" i="319" s="1"/>
  <c r="CL178" i="319"/>
  <c r="CN178" i="319" s="1"/>
  <c r="CV178" i="319" s="1"/>
  <c r="CD178" i="319"/>
  <c r="CF178" i="319" s="1"/>
  <c r="CH178" i="319" s="1"/>
  <c r="BW178" i="319"/>
  <c r="BY178" i="319" s="1"/>
  <c r="CA178" i="319" s="1"/>
  <c r="BO178" i="319"/>
  <c r="BQ178" i="319" s="1"/>
  <c r="BS178" i="319" s="1"/>
  <c r="BG178" i="319"/>
  <c r="BI178" i="319" s="1"/>
  <c r="BE178" i="319"/>
  <c r="Q178" i="319"/>
  <c r="S178" i="319" s="1"/>
  <c r="I178" i="319"/>
  <c r="K178" i="319" s="1"/>
  <c r="A178" i="319"/>
  <c r="C178" i="319" s="1"/>
  <c r="CL177" i="319"/>
  <c r="CN177" i="319" s="1"/>
  <c r="CV177" i="319" s="1"/>
  <c r="CD177" i="319"/>
  <c r="CF177" i="319" s="1"/>
  <c r="CH177" i="319" s="1"/>
  <c r="BW177" i="319"/>
  <c r="BY177" i="319" s="1"/>
  <c r="CA177" i="319" s="1"/>
  <c r="BO177" i="319"/>
  <c r="BQ177" i="319" s="1"/>
  <c r="BS177" i="319" s="1"/>
  <c r="BE177" i="319"/>
  <c r="BG177" i="319" s="1"/>
  <c r="BI177" i="319" s="1"/>
  <c r="Q177" i="319"/>
  <c r="S177" i="319" s="1"/>
  <c r="I177" i="319"/>
  <c r="K177" i="319" s="1"/>
  <c r="A177" i="319"/>
  <c r="C177" i="319" s="1"/>
  <c r="CL176" i="319"/>
  <c r="CN176" i="319" s="1"/>
  <c r="CV176" i="319" s="1"/>
  <c r="CD176" i="319"/>
  <c r="CF176" i="319" s="1"/>
  <c r="CH176" i="319" s="1"/>
  <c r="BW176" i="319"/>
  <c r="BY176" i="319" s="1"/>
  <c r="CA176" i="319" s="1"/>
  <c r="BO176" i="319"/>
  <c r="BQ176" i="319" s="1"/>
  <c r="BS176" i="319" s="1"/>
  <c r="BE176" i="319"/>
  <c r="BG176" i="319" s="1"/>
  <c r="BI176" i="319" s="1"/>
  <c r="Q176" i="319"/>
  <c r="S176" i="319" s="1"/>
  <c r="I176" i="319"/>
  <c r="K176" i="319" s="1"/>
  <c r="A176" i="319"/>
  <c r="C176" i="319" s="1"/>
  <c r="CL175" i="319"/>
  <c r="CN175" i="319" s="1"/>
  <c r="CV175" i="319" s="1"/>
  <c r="CD175" i="319"/>
  <c r="CF175" i="319" s="1"/>
  <c r="CH175" i="319" s="1"/>
  <c r="BW175" i="319"/>
  <c r="BY175" i="319" s="1"/>
  <c r="CA175" i="319" s="1"/>
  <c r="BO175" i="319"/>
  <c r="BQ175" i="319" s="1"/>
  <c r="BS175" i="319" s="1"/>
  <c r="BE175" i="319"/>
  <c r="BG175" i="319" s="1"/>
  <c r="BI175" i="319" s="1"/>
  <c r="Q175" i="319"/>
  <c r="S175" i="319" s="1"/>
  <c r="I175" i="319"/>
  <c r="K175" i="319" s="1"/>
  <c r="A175" i="319"/>
  <c r="C175" i="319" s="1"/>
  <c r="CL174" i="319"/>
  <c r="CN174" i="319" s="1"/>
  <c r="CV174" i="319" s="1"/>
  <c r="CD174" i="319"/>
  <c r="CF174" i="319" s="1"/>
  <c r="CH174" i="319" s="1"/>
  <c r="BW174" i="319"/>
  <c r="BY174" i="319" s="1"/>
  <c r="CA174" i="319" s="1"/>
  <c r="BO174" i="319"/>
  <c r="BQ174" i="319" s="1"/>
  <c r="BS174" i="319" s="1"/>
  <c r="BE174" i="319"/>
  <c r="BG174" i="319" s="1"/>
  <c r="BI174" i="319" s="1"/>
  <c r="Q174" i="319"/>
  <c r="S174" i="319" s="1"/>
  <c r="I174" i="319"/>
  <c r="K174" i="319" s="1"/>
  <c r="A174" i="319"/>
  <c r="C174" i="319" s="1"/>
  <c r="CL173" i="319"/>
  <c r="CN173" i="319" s="1"/>
  <c r="CV173" i="319" s="1"/>
  <c r="CD173" i="319"/>
  <c r="CF173" i="319" s="1"/>
  <c r="CH173" i="319" s="1"/>
  <c r="BW173" i="319"/>
  <c r="BY173" i="319" s="1"/>
  <c r="CA173" i="319" s="1"/>
  <c r="BO173" i="319"/>
  <c r="BQ173" i="319" s="1"/>
  <c r="BS173" i="319" s="1"/>
  <c r="BE173" i="319"/>
  <c r="BG173" i="319" s="1"/>
  <c r="BI173" i="319" s="1"/>
  <c r="Q173" i="319"/>
  <c r="S173" i="319" s="1"/>
  <c r="I173" i="319"/>
  <c r="K173" i="319" s="1"/>
  <c r="A173" i="319"/>
  <c r="C173" i="319" s="1"/>
  <c r="CL172" i="319"/>
  <c r="CN172" i="319" s="1"/>
  <c r="CV172" i="319" s="1"/>
  <c r="CD172" i="319"/>
  <c r="CF172" i="319" s="1"/>
  <c r="CH172" i="319" s="1"/>
  <c r="BW172" i="319"/>
  <c r="BY172" i="319" s="1"/>
  <c r="CA172" i="319" s="1"/>
  <c r="BO172" i="319"/>
  <c r="BQ172" i="319" s="1"/>
  <c r="BS172" i="319" s="1"/>
  <c r="BE172" i="319"/>
  <c r="BG172" i="319" s="1"/>
  <c r="BI172" i="319" s="1"/>
  <c r="Q172" i="319"/>
  <c r="S172" i="319" s="1"/>
  <c r="I172" i="319"/>
  <c r="K172" i="319" s="1"/>
  <c r="A172" i="319"/>
  <c r="C172" i="319" s="1"/>
  <c r="CL171" i="319"/>
  <c r="CN171" i="319" s="1"/>
  <c r="CV171" i="319" s="1"/>
  <c r="CH171" i="319"/>
  <c r="CD171" i="319"/>
  <c r="CF171" i="319" s="1"/>
  <c r="BW171" i="319"/>
  <c r="BY171" i="319" s="1"/>
  <c r="CA171" i="319" s="1"/>
  <c r="BO171" i="319"/>
  <c r="BQ171" i="319" s="1"/>
  <c r="BS171" i="319" s="1"/>
  <c r="BE171" i="319"/>
  <c r="BG171" i="319" s="1"/>
  <c r="BI171" i="319" s="1"/>
  <c r="Q171" i="319"/>
  <c r="S171" i="319" s="1"/>
  <c r="I171" i="319"/>
  <c r="K171" i="319" s="1"/>
  <c r="A171" i="319"/>
  <c r="C171" i="319" s="1"/>
  <c r="CL170" i="319"/>
  <c r="CN170" i="319" s="1"/>
  <c r="CV170" i="319" s="1"/>
  <c r="CD170" i="319"/>
  <c r="CF170" i="319" s="1"/>
  <c r="CH170" i="319" s="1"/>
  <c r="BW170" i="319"/>
  <c r="BY170" i="319" s="1"/>
  <c r="CA170" i="319" s="1"/>
  <c r="BO170" i="319"/>
  <c r="BQ170" i="319" s="1"/>
  <c r="BS170" i="319" s="1"/>
  <c r="BE170" i="319"/>
  <c r="BG170" i="319" s="1"/>
  <c r="BI170" i="319" s="1"/>
  <c r="Y170" i="319"/>
  <c r="Q170" i="319"/>
  <c r="S170" i="319" s="1"/>
  <c r="I170" i="319"/>
  <c r="K170" i="319" s="1"/>
  <c r="A170" i="319"/>
  <c r="C170" i="319" s="1"/>
  <c r="CL169" i="319"/>
  <c r="CN169" i="319" s="1"/>
  <c r="CV169" i="319" s="1"/>
  <c r="CD169" i="319"/>
  <c r="CF169" i="319" s="1"/>
  <c r="CH169" i="319" s="1"/>
  <c r="BW169" i="319"/>
  <c r="BY169" i="319" s="1"/>
  <c r="CA169" i="319" s="1"/>
  <c r="BO169" i="319"/>
  <c r="BQ169" i="319" s="1"/>
  <c r="BS169" i="319" s="1"/>
  <c r="BE169" i="319"/>
  <c r="BG169" i="319" s="1"/>
  <c r="BI169" i="319" s="1"/>
  <c r="Y169" i="319"/>
  <c r="Q169" i="319"/>
  <c r="S169" i="319" s="1"/>
  <c r="K169" i="319"/>
  <c r="I169" i="319"/>
  <c r="A169" i="319"/>
  <c r="C169" i="319" s="1"/>
  <c r="CL168" i="319"/>
  <c r="CN168" i="319" s="1"/>
  <c r="CV168" i="319" s="1"/>
  <c r="CF168" i="319"/>
  <c r="CH168" i="319" s="1"/>
  <c r="CD168" i="319"/>
  <c r="BW168" i="319"/>
  <c r="BY168" i="319" s="1"/>
  <c r="CA168" i="319" s="1"/>
  <c r="BO168" i="319"/>
  <c r="BQ168" i="319" s="1"/>
  <c r="BS168" i="319" s="1"/>
  <c r="BG168" i="319"/>
  <c r="BI168" i="319" s="1"/>
  <c r="BE168" i="319"/>
  <c r="Y168" i="319"/>
  <c r="Q168" i="319"/>
  <c r="S168" i="319" s="1"/>
  <c r="K168" i="319"/>
  <c r="I168" i="319"/>
  <c r="A168" i="319"/>
  <c r="C168" i="319" s="1"/>
  <c r="CL167" i="319"/>
  <c r="CN167" i="319" s="1"/>
  <c r="CV167" i="319" s="1"/>
  <c r="CD167" i="319"/>
  <c r="CF167" i="319" s="1"/>
  <c r="CH167" i="319" s="1"/>
  <c r="BW167" i="319"/>
  <c r="BY167" i="319" s="1"/>
  <c r="CA167" i="319" s="1"/>
  <c r="BO167" i="319"/>
  <c r="BQ167" i="319" s="1"/>
  <c r="BS167" i="319" s="1"/>
  <c r="BE167" i="319"/>
  <c r="BG167" i="319" s="1"/>
  <c r="BI167" i="319" s="1"/>
  <c r="Y167" i="319"/>
  <c r="Q167" i="319"/>
  <c r="S167" i="319" s="1"/>
  <c r="I167" i="319"/>
  <c r="K167" i="319" s="1"/>
  <c r="A167" i="319"/>
  <c r="C167" i="319" s="1"/>
  <c r="CL166" i="319"/>
  <c r="CN166" i="319" s="1"/>
  <c r="CV166" i="319" s="1"/>
  <c r="CD166" i="319"/>
  <c r="CF166" i="319" s="1"/>
  <c r="CH166" i="319" s="1"/>
  <c r="BW166" i="319"/>
  <c r="BY166" i="319" s="1"/>
  <c r="CA166" i="319" s="1"/>
  <c r="BO166" i="319"/>
  <c r="BQ166" i="319" s="1"/>
  <c r="BS166" i="319" s="1"/>
  <c r="BE166" i="319"/>
  <c r="BG166" i="319" s="1"/>
  <c r="BI166" i="319" s="1"/>
  <c r="Y166" i="319"/>
  <c r="Q166" i="319"/>
  <c r="S166" i="319" s="1"/>
  <c r="I166" i="319"/>
  <c r="K166" i="319" s="1"/>
  <c r="A166" i="319"/>
  <c r="C166" i="319" s="1"/>
  <c r="CL165" i="319"/>
  <c r="CN165" i="319" s="1"/>
  <c r="CV165" i="319" s="1"/>
  <c r="CD165" i="319"/>
  <c r="CF165" i="319" s="1"/>
  <c r="CH165" i="319" s="1"/>
  <c r="BW165" i="319"/>
  <c r="BY165" i="319" s="1"/>
  <c r="CA165" i="319" s="1"/>
  <c r="BO165" i="319"/>
  <c r="BQ165" i="319" s="1"/>
  <c r="BS165" i="319" s="1"/>
  <c r="BE165" i="319"/>
  <c r="BG165" i="319" s="1"/>
  <c r="BI165" i="319" s="1"/>
  <c r="Y165" i="319"/>
  <c r="Q165" i="319"/>
  <c r="S165" i="319" s="1"/>
  <c r="I165" i="319"/>
  <c r="K165" i="319" s="1"/>
  <c r="A165" i="319"/>
  <c r="C165" i="319" s="1"/>
  <c r="CL164" i="319"/>
  <c r="CN164" i="319" s="1"/>
  <c r="CV164" i="319" s="1"/>
  <c r="CD164" i="319"/>
  <c r="CF164" i="319" s="1"/>
  <c r="CH164" i="319" s="1"/>
  <c r="BW164" i="319"/>
  <c r="BY164" i="319" s="1"/>
  <c r="CA164" i="319" s="1"/>
  <c r="BO164" i="319"/>
  <c r="BQ164" i="319" s="1"/>
  <c r="BS164" i="319" s="1"/>
  <c r="BE164" i="319"/>
  <c r="BG164" i="319" s="1"/>
  <c r="BI164" i="319" s="1"/>
  <c r="Y164" i="319"/>
  <c r="S164" i="319"/>
  <c r="Q164" i="319"/>
  <c r="I164" i="319"/>
  <c r="K164" i="319" s="1"/>
  <c r="A164" i="319"/>
  <c r="C164" i="319" s="1"/>
  <c r="CL163" i="319"/>
  <c r="CN163" i="319" s="1"/>
  <c r="CV163" i="319" s="1"/>
  <c r="CD163" i="319"/>
  <c r="CF163" i="319" s="1"/>
  <c r="CH163" i="319" s="1"/>
  <c r="BW163" i="319"/>
  <c r="BY163" i="319" s="1"/>
  <c r="CA163" i="319" s="1"/>
  <c r="BO163" i="319"/>
  <c r="BQ163" i="319" s="1"/>
  <c r="BS163" i="319" s="1"/>
  <c r="BE163" i="319"/>
  <c r="BG163" i="319" s="1"/>
  <c r="BI163" i="319" s="1"/>
  <c r="Y163" i="319"/>
  <c r="Q163" i="319"/>
  <c r="S163" i="319" s="1"/>
  <c r="I163" i="319"/>
  <c r="K163" i="319" s="1"/>
  <c r="A163" i="319"/>
  <c r="C163" i="319" s="1"/>
  <c r="CL162" i="319"/>
  <c r="CN162" i="319" s="1"/>
  <c r="CV162" i="319" s="1"/>
  <c r="CD162" i="319"/>
  <c r="CF162" i="319" s="1"/>
  <c r="CH162" i="319" s="1"/>
  <c r="BW162" i="319"/>
  <c r="BY162" i="319" s="1"/>
  <c r="CA162" i="319" s="1"/>
  <c r="BO162" i="319"/>
  <c r="BQ162" i="319" s="1"/>
  <c r="BS162" i="319" s="1"/>
  <c r="BE162" i="319"/>
  <c r="BG162" i="319" s="1"/>
  <c r="BI162" i="319" s="1"/>
  <c r="Y162" i="319"/>
  <c r="Q162" i="319"/>
  <c r="S162" i="319" s="1"/>
  <c r="I162" i="319"/>
  <c r="K162" i="319" s="1"/>
  <c r="A162" i="319"/>
  <c r="C162" i="319" s="1"/>
  <c r="CL161" i="319"/>
  <c r="CN161" i="319" s="1"/>
  <c r="CV161" i="319" s="1"/>
  <c r="CD161" i="319"/>
  <c r="CF161" i="319" s="1"/>
  <c r="CH161" i="319" s="1"/>
  <c r="BW161" i="319"/>
  <c r="BY161" i="319" s="1"/>
  <c r="CA161" i="319" s="1"/>
  <c r="BO161" i="319"/>
  <c r="BQ161" i="319" s="1"/>
  <c r="BS161" i="319" s="1"/>
  <c r="BE161" i="319"/>
  <c r="BG161" i="319" s="1"/>
  <c r="BI161" i="319" s="1"/>
  <c r="Y161" i="319"/>
  <c r="Q161" i="319"/>
  <c r="S161" i="319" s="1"/>
  <c r="I161" i="319"/>
  <c r="K161" i="319" s="1"/>
  <c r="A161" i="319"/>
  <c r="C161" i="319" s="1"/>
  <c r="CL160" i="319"/>
  <c r="CN160" i="319" s="1"/>
  <c r="CV160" i="319" s="1"/>
  <c r="CD160" i="319"/>
  <c r="CF160" i="319" s="1"/>
  <c r="CH160" i="319" s="1"/>
  <c r="BW160" i="319"/>
  <c r="BY160" i="319" s="1"/>
  <c r="CA160" i="319" s="1"/>
  <c r="BO160" i="319"/>
  <c r="BQ160" i="319" s="1"/>
  <c r="BS160" i="319" s="1"/>
  <c r="BE160" i="319"/>
  <c r="BG160" i="319" s="1"/>
  <c r="BI160" i="319" s="1"/>
  <c r="Y160" i="319"/>
  <c r="Q160" i="319"/>
  <c r="S160" i="319" s="1"/>
  <c r="I160" i="319"/>
  <c r="K160" i="319" s="1"/>
  <c r="A160" i="319"/>
  <c r="C160" i="319" s="1"/>
  <c r="CL159" i="319"/>
  <c r="CN159" i="319" s="1"/>
  <c r="CV159" i="319" s="1"/>
  <c r="CD159" i="319"/>
  <c r="CF159" i="319" s="1"/>
  <c r="CH159" i="319" s="1"/>
  <c r="BW159" i="319"/>
  <c r="BY159" i="319" s="1"/>
  <c r="CA159" i="319" s="1"/>
  <c r="BO159" i="319"/>
  <c r="BQ159" i="319" s="1"/>
  <c r="BS159" i="319" s="1"/>
  <c r="BE159" i="319"/>
  <c r="BG159" i="319" s="1"/>
  <c r="BI159" i="319" s="1"/>
  <c r="Y159" i="319"/>
  <c r="Q159" i="319"/>
  <c r="S159" i="319" s="1"/>
  <c r="I159" i="319"/>
  <c r="K159" i="319" s="1"/>
  <c r="A159" i="319"/>
  <c r="C159" i="319" s="1"/>
  <c r="CL158" i="319"/>
  <c r="CN158" i="319" s="1"/>
  <c r="CV158" i="319" s="1"/>
  <c r="CD158" i="319"/>
  <c r="CF158" i="319" s="1"/>
  <c r="CH158" i="319" s="1"/>
  <c r="BW158" i="319"/>
  <c r="BY158" i="319" s="1"/>
  <c r="CA158" i="319" s="1"/>
  <c r="BO158" i="319"/>
  <c r="BQ158" i="319" s="1"/>
  <c r="BS158" i="319" s="1"/>
  <c r="BE158" i="319"/>
  <c r="BG158" i="319" s="1"/>
  <c r="BI158" i="319" s="1"/>
  <c r="Y158" i="319"/>
  <c r="Q158" i="319"/>
  <c r="S158" i="319" s="1"/>
  <c r="I158" i="319"/>
  <c r="K158" i="319" s="1"/>
  <c r="A158" i="319"/>
  <c r="C158" i="319" s="1"/>
  <c r="CL157" i="319"/>
  <c r="CN157" i="319" s="1"/>
  <c r="CV157" i="319" s="1"/>
  <c r="CD157" i="319"/>
  <c r="CF157" i="319" s="1"/>
  <c r="CH157" i="319" s="1"/>
  <c r="BW157" i="319"/>
  <c r="BY157" i="319" s="1"/>
  <c r="CA157" i="319" s="1"/>
  <c r="BO157" i="319"/>
  <c r="BQ157" i="319" s="1"/>
  <c r="BS157" i="319" s="1"/>
  <c r="BE157" i="319"/>
  <c r="BG157" i="319" s="1"/>
  <c r="BI157" i="319" s="1"/>
  <c r="Y157" i="319"/>
  <c r="Q157" i="319"/>
  <c r="S157" i="319" s="1"/>
  <c r="I157" i="319"/>
  <c r="K157" i="319" s="1"/>
  <c r="A157" i="319"/>
  <c r="C157" i="319" s="1"/>
  <c r="CL156" i="319"/>
  <c r="CN156" i="319" s="1"/>
  <c r="CV156" i="319" s="1"/>
  <c r="CD156" i="319"/>
  <c r="CF156" i="319" s="1"/>
  <c r="CH156" i="319" s="1"/>
  <c r="BW156" i="319"/>
  <c r="BY156" i="319" s="1"/>
  <c r="CA156" i="319" s="1"/>
  <c r="BO156" i="319"/>
  <c r="BQ156" i="319" s="1"/>
  <c r="BS156" i="319" s="1"/>
  <c r="BE156" i="319"/>
  <c r="BG156" i="319" s="1"/>
  <c r="BI156" i="319" s="1"/>
  <c r="Y156" i="319"/>
  <c r="Q156" i="319"/>
  <c r="S156" i="319" s="1"/>
  <c r="I156" i="319"/>
  <c r="K156" i="319" s="1"/>
  <c r="A156" i="319"/>
  <c r="C156" i="319" s="1"/>
  <c r="CL155" i="319"/>
  <c r="CN155" i="319" s="1"/>
  <c r="CV155" i="319" s="1"/>
  <c r="CD155" i="319"/>
  <c r="CF155" i="319" s="1"/>
  <c r="CH155" i="319" s="1"/>
  <c r="BY155" i="319"/>
  <c r="CA155" i="319" s="1"/>
  <c r="BW155" i="319"/>
  <c r="BO155" i="319"/>
  <c r="BQ155" i="319" s="1"/>
  <c r="BS155" i="319" s="1"/>
  <c r="BE155" i="319"/>
  <c r="BG155" i="319" s="1"/>
  <c r="BI155" i="319" s="1"/>
  <c r="Y155" i="319"/>
  <c r="Q155" i="319"/>
  <c r="S155" i="319" s="1"/>
  <c r="I155" i="319"/>
  <c r="K155" i="319" s="1"/>
  <c r="A155" i="319"/>
  <c r="C155" i="319" s="1"/>
  <c r="CL154" i="319"/>
  <c r="CN154" i="319" s="1"/>
  <c r="CV154" i="319" s="1"/>
  <c r="CD154" i="319"/>
  <c r="CF154" i="319" s="1"/>
  <c r="CH154" i="319" s="1"/>
  <c r="CA154" i="319"/>
  <c r="BW154" i="319"/>
  <c r="BY154" i="319" s="1"/>
  <c r="BO154" i="319"/>
  <c r="BQ154" i="319" s="1"/>
  <c r="BS154" i="319" s="1"/>
  <c r="BE154" i="319"/>
  <c r="BG154" i="319" s="1"/>
  <c r="BI154" i="319" s="1"/>
  <c r="Y154" i="319"/>
  <c r="Q154" i="319"/>
  <c r="S154" i="319" s="1"/>
  <c r="I154" i="319"/>
  <c r="K154" i="319" s="1"/>
  <c r="A154" i="319"/>
  <c r="C154" i="319" s="1"/>
  <c r="CL153" i="319"/>
  <c r="CN153" i="319" s="1"/>
  <c r="CV153" i="319" s="1"/>
  <c r="CD153" i="319"/>
  <c r="CF153" i="319" s="1"/>
  <c r="CH153" i="319" s="1"/>
  <c r="BW153" i="319"/>
  <c r="BY153" i="319" s="1"/>
  <c r="CA153" i="319" s="1"/>
  <c r="BO153" i="319"/>
  <c r="BQ153" i="319" s="1"/>
  <c r="BS153" i="319" s="1"/>
  <c r="BE153" i="319"/>
  <c r="BG153" i="319" s="1"/>
  <c r="BI153" i="319" s="1"/>
  <c r="Y153" i="319"/>
  <c r="Q153" i="319"/>
  <c r="S153" i="319" s="1"/>
  <c r="I153" i="319"/>
  <c r="K153" i="319" s="1"/>
  <c r="A153" i="319"/>
  <c r="C153" i="319" s="1"/>
  <c r="CL152" i="319"/>
  <c r="CN152" i="319" s="1"/>
  <c r="CV152" i="319" s="1"/>
  <c r="CD152" i="319"/>
  <c r="CF152" i="319" s="1"/>
  <c r="CH152" i="319" s="1"/>
  <c r="BW152" i="319"/>
  <c r="BY152" i="319" s="1"/>
  <c r="CA152" i="319" s="1"/>
  <c r="BQ152" i="319"/>
  <c r="BS152" i="319" s="1"/>
  <c r="BO152" i="319"/>
  <c r="BE152" i="319"/>
  <c r="BG152" i="319" s="1"/>
  <c r="BI152" i="319" s="1"/>
  <c r="Y152" i="319"/>
  <c r="S152" i="319"/>
  <c r="Q152" i="319"/>
  <c r="I152" i="319"/>
  <c r="K152" i="319" s="1"/>
  <c r="A152" i="319"/>
  <c r="C152" i="319" s="1"/>
  <c r="CL151" i="319"/>
  <c r="CN151" i="319" s="1"/>
  <c r="CV151" i="319" s="1"/>
  <c r="CD151" i="319"/>
  <c r="CF151" i="319" s="1"/>
  <c r="CH151" i="319" s="1"/>
  <c r="BW151" i="319"/>
  <c r="BY151" i="319" s="1"/>
  <c r="CA151" i="319" s="1"/>
  <c r="BO151" i="319"/>
  <c r="BQ151" i="319" s="1"/>
  <c r="BS151" i="319" s="1"/>
  <c r="BE151" i="319"/>
  <c r="BG151" i="319" s="1"/>
  <c r="BI151" i="319" s="1"/>
  <c r="Y151" i="319"/>
  <c r="Q151" i="319"/>
  <c r="S151" i="319" s="1"/>
  <c r="I151" i="319"/>
  <c r="K151" i="319" s="1"/>
  <c r="A151" i="319"/>
  <c r="C151" i="319" s="1"/>
  <c r="CL150" i="319"/>
  <c r="CN150" i="319" s="1"/>
  <c r="CV150" i="319" s="1"/>
  <c r="CF150" i="319"/>
  <c r="CH150" i="319" s="1"/>
  <c r="BY150" i="319"/>
  <c r="CA150" i="319" s="1"/>
  <c r="BO150" i="319"/>
  <c r="BQ150" i="319" s="1"/>
  <c r="BS150" i="319" s="1"/>
  <c r="BE150" i="319"/>
  <c r="BG150" i="319" s="1"/>
  <c r="BI150" i="319" s="1"/>
  <c r="Y150" i="319"/>
  <c r="Q150" i="319"/>
  <c r="S150" i="319" s="1"/>
  <c r="I150" i="319"/>
  <c r="K150" i="319" s="1"/>
  <c r="A150" i="319"/>
  <c r="C150" i="319" s="1"/>
  <c r="CL149" i="319"/>
  <c r="CN149" i="319" s="1"/>
  <c r="CV149" i="319" s="1"/>
  <c r="CD149" i="319"/>
  <c r="CF149" i="319" s="1"/>
  <c r="CH149" i="319" s="1"/>
  <c r="BW149" i="319"/>
  <c r="BY149" i="319" s="1"/>
  <c r="CA149" i="319" s="1"/>
  <c r="BO149" i="319"/>
  <c r="BQ149" i="319" s="1"/>
  <c r="BS149" i="319" s="1"/>
  <c r="BE149" i="319"/>
  <c r="BG149" i="319" s="1"/>
  <c r="BI149" i="319" s="1"/>
  <c r="Y149" i="319"/>
  <c r="Q149" i="319"/>
  <c r="S149" i="319" s="1"/>
  <c r="I149" i="319"/>
  <c r="K149" i="319" s="1"/>
  <c r="A149" i="319"/>
  <c r="C149" i="319" s="1"/>
  <c r="CL148" i="319"/>
  <c r="CN148" i="319" s="1"/>
  <c r="CV148" i="319" s="1"/>
  <c r="CD148" i="319"/>
  <c r="CF148" i="319" s="1"/>
  <c r="CH148" i="319" s="1"/>
  <c r="BW148" i="319"/>
  <c r="BY148" i="319" s="1"/>
  <c r="CA148" i="319" s="1"/>
  <c r="BO148" i="319"/>
  <c r="BQ148" i="319" s="1"/>
  <c r="BS148" i="319" s="1"/>
  <c r="BE148" i="319"/>
  <c r="BG148" i="319" s="1"/>
  <c r="BI148" i="319" s="1"/>
  <c r="Y148" i="319"/>
  <c r="Q148" i="319"/>
  <c r="S148" i="319" s="1"/>
  <c r="I148" i="319"/>
  <c r="K148" i="319" s="1"/>
  <c r="A148" i="319"/>
  <c r="C148" i="319" s="1"/>
  <c r="CL147" i="319"/>
  <c r="CN147" i="319" s="1"/>
  <c r="CV147" i="319" s="1"/>
  <c r="CD147" i="319"/>
  <c r="CF147" i="319" s="1"/>
  <c r="CH147" i="319" s="1"/>
  <c r="BW147" i="319"/>
  <c r="BY147" i="319" s="1"/>
  <c r="CA147" i="319" s="1"/>
  <c r="BO147" i="319"/>
  <c r="BQ147" i="319" s="1"/>
  <c r="BS147" i="319" s="1"/>
  <c r="BG147" i="319"/>
  <c r="BI147" i="319" s="1"/>
  <c r="BE147" i="319"/>
  <c r="Y147" i="319"/>
  <c r="Q147" i="319"/>
  <c r="S147" i="319" s="1"/>
  <c r="I147" i="319"/>
  <c r="K147" i="319" s="1"/>
  <c r="A147" i="319"/>
  <c r="C147" i="319" s="1"/>
  <c r="CL146" i="319"/>
  <c r="CN146" i="319" s="1"/>
  <c r="CV146" i="319" s="1"/>
  <c r="CD146" i="319"/>
  <c r="CF146" i="319" s="1"/>
  <c r="CH146" i="319" s="1"/>
  <c r="BW146" i="319"/>
  <c r="BY146" i="319" s="1"/>
  <c r="CA146" i="319" s="1"/>
  <c r="BO146" i="319"/>
  <c r="BQ146" i="319" s="1"/>
  <c r="BS146" i="319" s="1"/>
  <c r="BE146" i="319"/>
  <c r="BG146" i="319" s="1"/>
  <c r="BI146" i="319" s="1"/>
  <c r="Y146" i="319"/>
  <c r="Q146" i="319"/>
  <c r="S146" i="319" s="1"/>
  <c r="I146" i="319"/>
  <c r="K146" i="319" s="1"/>
  <c r="C146" i="319"/>
  <c r="A146" i="319"/>
  <c r="CL145" i="319"/>
  <c r="CN145" i="319" s="1"/>
  <c r="CV145" i="319" s="1"/>
  <c r="CD145" i="319"/>
  <c r="CF145" i="319" s="1"/>
  <c r="CH145" i="319" s="1"/>
  <c r="BW145" i="319"/>
  <c r="BY145" i="319" s="1"/>
  <c r="CA145" i="319" s="1"/>
  <c r="BO145" i="319"/>
  <c r="BQ145" i="319" s="1"/>
  <c r="BS145" i="319" s="1"/>
  <c r="BE145" i="319"/>
  <c r="BG145" i="319" s="1"/>
  <c r="BI145" i="319" s="1"/>
  <c r="Y145" i="319"/>
  <c r="Q145" i="319"/>
  <c r="S145" i="319" s="1"/>
  <c r="I145" i="319"/>
  <c r="K145" i="319" s="1"/>
  <c r="A145" i="319"/>
  <c r="C145" i="319" s="1"/>
  <c r="CL144" i="319"/>
  <c r="CN144" i="319" s="1"/>
  <c r="CV144" i="319" s="1"/>
  <c r="CD144" i="319"/>
  <c r="CF144" i="319" s="1"/>
  <c r="CH144" i="319" s="1"/>
  <c r="BW144" i="319"/>
  <c r="BY144" i="319" s="1"/>
  <c r="CA144" i="319" s="1"/>
  <c r="BO144" i="319"/>
  <c r="BQ144" i="319" s="1"/>
  <c r="BS144" i="319" s="1"/>
  <c r="BE144" i="319"/>
  <c r="BG144" i="319" s="1"/>
  <c r="BI144" i="319" s="1"/>
  <c r="Y144" i="319"/>
  <c r="Q144" i="319"/>
  <c r="S144" i="319" s="1"/>
  <c r="I144" i="319"/>
  <c r="K144" i="319" s="1"/>
  <c r="A144" i="319"/>
  <c r="C144" i="319" s="1"/>
  <c r="CL143" i="319"/>
  <c r="CN143" i="319" s="1"/>
  <c r="CV143" i="319" s="1"/>
  <c r="CD143" i="319"/>
  <c r="CF143" i="319" s="1"/>
  <c r="CH143" i="319" s="1"/>
  <c r="BW143" i="319"/>
  <c r="BY143" i="319" s="1"/>
  <c r="CA143" i="319" s="1"/>
  <c r="BO143" i="319"/>
  <c r="BQ143" i="319" s="1"/>
  <c r="BS143" i="319" s="1"/>
  <c r="BE143" i="319"/>
  <c r="BG143" i="319" s="1"/>
  <c r="BI143" i="319" s="1"/>
  <c r="Y143" i="319"/>
  <c r="Q143" i="319"/>
  <c r="S143" i="319" s="1"/>
  <c r="I143" i="319"/>
  <c r="K143" i="319" s="1"/>
  <c r="A143" i="319"/>
  <c r="C143" i="319" s="1"/>
  <c r="CL142" i="319"/>
  <c r="CN142" i="319" s="1"/>
  <c r="CV142" i="319" s="1"/>
  <c r="CD142" i="319"/>
  <c r="CF142" i="319" s="1"/>
  <c r="CH142" i="319" s="1"/>
  <c r="BW142" i="319"/>
  <c r="BY142" i="319" s="1"/>
  <c r="CA142" i="319" s="1"/>
  <c r="BO142" i="319"/>
  <c r="BQ142" i="319" s="1"/>
  <c r="BS142" i="319" s="1"/>
  <c r="BE142" i="319"/>
  <c r="BG142" i="319" s="1"/>
  <c r="BI142" i="319" s="1"/>
  <c r="AQ142" i="319"/>
  <c r="Y142" i="319"/>
  <c r="Q142" i="319"/>
  <c r="S142" i="319" s="1"/>
  <c r="I142" i="319"/>
  <c r="K142" i="319" s="1"/>
  <c r="A142" i="319"/>
  <c r="C142" i="319" s="1"/>
  <c r="CL141" i="319"/>
  <c r="CN141" i="319" s="1"/>
  <c r="CV141" i="319" s="1"/>
  <c r="CD141" i="319"/>
  <c r="CF141" i="319" s="1"/>
  <c r="CH141" i="319" s="1"/>
  <c r="BW141" i="319"/>
  <c r="BY141" i="319" s="1"/>
  <c r="CA141" i="319" s="1"/>
  <c r="BO141" i="319"/>
  <c r="BQ141" i="319" s="1"/>
  <c r="BS141" i="319" s="1"/>
  <c r="BE141" i="319"/>
  <c r="BG141" i="319" s="1"/>
  <c r="BI141" i="319" s="1"/>
  <c r="AQ141" i="319"/>
  <c r="Y141" i="319"/>
  <c r="Q141" i="319"/>
  <c r="S141" i="319" s="1"/>
  <c r="I141" i="319"/>
  <c r="K141" i="319" s="1"/>
  <c r="A141" i="319"/>
  <c r="C141" i="319" s="1"/>
  <c r="CL140" i="319"/>
  <c r="CN140" i="319" s="1"/>
  <c r="CV140" i="319" s="1"/>
  <c r="CD140" i="319"/>
  <c r="CF140" i="319" s="1"/>
  <c r="CH140" i="319" s="1"/>
  <c r="BW140" i="319"/>
  <c r="BY140" i="319" s="1"/>
  <c r="CA140" i="319" s="1"/>
  <c r="BO140" i="319"/>
  <c r="BQ140" i="319" s="1"/>
  <c r="BS140" i="319" s="1"/>
  <c r="BE140" i="319"/>
  <c r="BG140" i="319" s="1"/>
  <c r="BI140" i="319" s="1"/>
  <c r="AQ140" i="319"/>
  <c r="Y140" i="319"/>
  <c r="Q140" i="319"/>
  <c r="S140" i="319" s="1"/>
  <c r="I140" i="319"/>
  <c r="K140" i="319" s="1"/>
  <c r="A140" i="319"/>
  <c r="C140" i="319" s="1"/>
  <c r="CL139" i="319"/>
  <c r="CN139" i="319" s="1"/>
  <c r="CV139" i="319" s="1"/>
  <c r="CD139" i="319"/>
  <c r="CF139" i="319" s="1"/>
  <c r="CH139" i="319" s="1"/>
  <c r="BW139" i="319"/>
  <c r="BY139" i="319" s="1"/>
  <c r="CA139" i="319" s="1"/>
  <c r="BO139" i="319"/>
  <c r="BQ139" i="319" s="1"/>
  <c r="BS139" i="319" s="1"/>
  <c r="BE139" i="319"/>
  <c r="BG139" i="319" s="1"/>
  <c r="BI139" i="319" s="1"/>
  <c r="AQ139" i="319"/>
  <c r="Y139" i="319"/>
  <c r="Q139" i="319"/>
  <c r="S139" i="319" s="1"/>
  <c r="I139" i="319"/>
  <c r="K139" i="319" s="1"/>
  <c r="A139" i="319"/>
  <c r="C139" i="319" s="1"/>
  <c r="CL138" i="319"/>
  <c r="CN138" i="319" s="1"/>
  <c r="CV138" i="319" s="1"/>
  <c r="CD138" i="319"/>
  <c r="CF138" i="319" s="1"/>
  <c r="CH138" i="319" s="1"/>
  <c r="BW138" i="319"/>
  <c r="BY138" i="319" s="1"/>
  <c r="CA138" i="319" s="1"/>
  <c r="BO138" i="319"/>
  <c r="BQ138" i="319" s="1"/>
  <c r="BS138" i="319" s="1"/>
  <c r="BE138" i="319"/>
  <c r="BG138" i="319" s="1"/>
  <c r="BI138" i="319" s="1"/>
  <c r="AQ138" i="319"/>
  <c r="Y138" i="319"/>
  <c r="AA138" i="319" s="1"/>
  <c r="Q138" i="319"/>
  <c r="S138" i="319" s="1"/>
  <c r="I138" i="319"/>
  <c r="K138" i="319" s="1"/>
  <c r="A138" i="319"/>
  <c r="C138" i="319" s="1"/>
  <c r="CL137" i="319"/>
  <c r="CN137" i="319" s="1"/>
  <c r="CV137" i="319" s="1"/>
  <c r="CD137" i="319"/>
  <c r="CF137" i="319" s="1"/>
  <c r="CH137" i="319" s="1"/>
  <c r="BW137" i="319"/>
  <c r="BY137" i="319" s="1"/>
  <c r="CA137" i="319" s="1"/>
  <c r="BO137" i="319"/>
  <c r="BQ137" i="319" s="1"/>
  <c r="BS137" i="319" s="1"/>
  <c r="BE137" i="319"/>
  <c r="BG137" i="319" s="1"/>
  <c r="BI137" i="319" s="1"/>
  <c r="AQ137" i="319"/>
  <c r="Y137" i="319"/>
  <c r="AA137" i="319" s="1"/>
  <c r="Q137" i="319"/>
  <c r="S137" i="319" s="1"/>
  <c r="I137" i="319"/>
  <c r="K137" i="319" s="1"/>
  <c r="A137" i="319"/>
  <c r="C137" i="319" s="1"/>
  <c r="CL136" i="319"/>
  <c r="CN136" i="319" s="1"/>
  <c r="CV136" i="319" s="1"/>
  <c r="CD136" i="319"/>
  <c r="CF136" i="319" s="1"/>
  <c r="CH136" i="319" s="1"/>
  <c r="BW136" i="319"/>
  <c r="BY136" i="319" s="1"/>
  <c r="CA136" i="319" s="1"/>
  <c r="BO136" i="319"/>
  <c r="BQ136" i="319" s="1"/>
  <c r="BS136" i="319" s="1"/>
  <c r="BE136" i="319"/>
  <c r="BG136" i="319" s="1"/>
  <c r="BI136" i="319" s="1"/>
  <c r="AQ136" i="319"/>
  <c r="Y136" i="319"/>
  <c r="AA136" i="319" s="1"/>
  <c r="Q136" i="319"/>
  <c r="S136" i="319" s="1"/>
  <c r="I136" i="319"/>
  <c r="K136" i="319" s="1"/>
  <c r="A136" i="319"/>
  <c r="C136" i="319" s="1"/>
  <c r="CL135" i="319"/>
  <c r="CN135" i="319" s="1"/>
  <c r="CV135" i="319" s="1"/>
  <c r="CD135" i="319"/>
  <c r="CF135" i="319" s="1"/>
  <c r="CH135" i="319" s="1"/>
  <c r="BW135" i="319"/>
  <c r="BY135" i="319" s="1"/>
  <c r="CA135" i="319" s="1"/>
  <c r="BO135" i="319"/>
  <c r="BQ135" i="319" s="1"/>
  <c r="BS135" i="319" s="1"/>
  <c r="BE135" i="319"/>
  <c r="BG135" i="319" s="1"/>
  <c r="BI135" i="319" s="1"/>
  <c r="AQ135" i="319"/>
  <c r="Y135" i="319"/>
  <c r="AA135" i="319" s="1"/>
  <c r="Q135" i="319"/>
  <c r="S135" i="319" s="1"/>
  <c r="I135" i="319"/>
  <c r="K135" i="319" s="1"/>
  <c r="A135" i="319"/>
  <c r="C135" i="319" s="1"/>
  <c r="CL134" i="319"/>
  <c r="CN134" i="319" s="1"/>
  <c r="CV134" i="319" s="1"/>
  <c r="CD134" i="319"/>
  <c r="CF134" i="319" s="1"/>
  <c r="CH134" i="319" s="1"/>
  <c r="BW134" i="319"/>
  <c r="BY134" i="319" s="1"/>
  <c r="CA134" i="319" s="1"/>
  <c r="BO134" i="319"/>
  <c r="BQ134" i="319" s="1"/>
  <c r="BS134" i="319" s="1"/>
  <c r="BE134" i="319"/>
  <c r="BG134" i="319" s="1"/>
  <c r="BI134" i="319" s="1"/>
  <c r="AQ134" i="319"/>
  <c r="Y134" i="319"/>
  <c r="AA134" i="319" s="1"/>
  <c r="Q134" i="319"/>
  <c r="S134" i="319" s="1"/>
  <c r="I134" i="319"/>
  <c r="K134" i="319" s="1"/>
  <c r="A134" i="319"/>
  <c r="C134" i="319" s="1"/>
  <c r="CL133" i="319"/>
  <c r="CN133" i="319" s="1"/>
  <c r="CV133" i="319" s="1"/>
  <c r="CD133" i="319"/>
  <c r="CF133" i="319" s="1"/>
  <c r="CH133" i="319" s="1"/>
  <c r="BW133" i="319"/>
  <c r="BY133" i="319" s="1"/>
  <c r="CA133" i="319" s="1"/>
  <c r="BO133" i="319"/>
  <c r="BQ133" i="319" s="1"/>
  <c r="BS133" i="319" s="1"/>
  <c r="BE133" i="319"/>
  <c r="BG133" i="319" s="1"/>
  <c r="BI133" i="319" s="1"/>
  <c r="AQ133" i="319"/>
  <c r="Y133" i="319"/>
  <c r="AA133" i="319" s="1"/>
  <c r="Q133" i="319"/>
  <c r="S133" i="319" s="1"/>
  <c r="I133" i="319"/>
  <c r="K133" i="319" s="1"/>
  <c r="A133" i="319"/>
  <c r="C133" i="319" s="1"/>
  <c r="CL132" i="319"/>
  <c r="CN132" i="319" s="1"/>
  <c r="CV132" i="319" s="1"/>
  <c r="CD132" i="319"/>
  <c r="CF132" i="319" s="1"/>
  <c r="CH132" i="319" s="1"/>
  <c r="BW132" i="319"/>
  <c r="BY132" i="319" s="1"/>
  <c r="CA132" i="319" s="1"/>
  <c r="BO132" i="319"/>
  <c r="BQ132" i="319" s="1"/>
  <c r="BS132" i="319" s="1"/>
  <c r="BE132" i="319"/>
  <c r="BG132" i="319" s="1"/>
  <c r="BI132" i="319" s="1"/>
  <c r="AQ132" i="319"/>
  <c r="Y132" i="319"/>
  <c r="AA132" i="319" s="1"/>
  <c r="Q132" i="319"/>
  <c r="S132" i="319" s="1"/>
  <c r="I132" i="319"/>
  <c r="K132" i="319" s="1"/>
  <c r="A132" i="319"/>
  <c r="C132" i="319" s="1"/>
  <c r="CL131" i="319"/>
  <c r="CN131" i="319" s="1"/>
  <c r="CV131" i="319" s="1"/>
  <c r="CD131" i="319"/>
  <c r="CF131" i="319" s="1"/>
  <c r="CH131" i="319" s="1"/>
  <c r="BW131" i="319"/>
  <c r="BY131" i="319" s="1"/>
  <c r="CA131" i="319" s="1"/>
  <c r="BO131" i="319"/>
  <c r="BQ131" i="319" s="1"/>
  <c r="BS131" i="319" s="1"/>
  <c r="BE131" i="319"/>
  <c r="BG131" i="319" s="1"/>
  <c r="BI131" i="319" s="1"/>
  <c r="AQ131" i="319"/>
  <c r="Y131" i="319"/>
  <c r="AA131" i="319" s="1"/>
  <c r="Q131" i="319"/>
  <c r="S131" i="319" s="1"/>
  <c r="I131" i="319"/>
  <c r="K131" i="319" s="1"/>
  <c r="A131" i="319"/>
  <c r="C131" i="319" s="1"/>
  <c r="CL130" i="319"/>
  <c r="CN130" i="319" s="1"/>
  <c r="CV130" i="319" s="1"/>
  <c r="CD130" i="319"/>
  <c r="CF130" i="319" s="1"/>
  <c r="CH130" i="319" s="1"/>
  <c r="BW130" i="319"/>
  <c r="BY130" i="319" s="1"/>
  <c r="CA130" i="319" s="1"/>
  <c r="BO130" i="319"/>
  <c r="BQ130" i="319" s="1"/>
  <c r="BS130" i="319" s="1"/>
  <c r="BE130" i="319"/>
  <c r="BG130" i="319" s="1"/>
  <c r="BI130" i="319" s="1"/>
  <c r="AQ130" i="319"/>
  <c r="Y130" i="319"/>
  <c r="AA130" i="319" s="1"/>
  <c r="Q130" i="319"/>
  <c r="S130" i="319" s="1"/>
  <c r="I130" i="319"/>
  <c r="K130" i="319" s="1"/>
  <c r="A130" i="319"/>
  <c r="C130" i="319" s="1"/>
  <c r="CL129" i="319"/>
  <c r="CN129" i="319" s="1"/>
  <c r="CV129" i="319" s="1"/>
  <c r="CD129" i="319"/>
  <c r="CF129" i="319" s="1"/>
  <c r="CH129" i="319" s="1"/>
  <c r="BW129" i="319"/>
  <c r="BY129" i="319" s="1"/>
  <c r="CA129" i="319" s="1"/>
  <c r="BO129" i="319"/>
  <c r="BQ129" i="319" s="1"/>
  <c r="BS129" i="319" s="1"/>
  <c r="BE129" i="319"/>
  <c r="BG129" i="319" s="1"/>
  <c r="BI129" i="319" s="1"/>
  <c r="AQ129" i="319"/>
  <c r="Y129" i="319"/>
  <c r="AA129" i="319" s="1"/>
  <c r="Q129" i="319"/>
  <c r="S129" i="319" s="1"/>
  <c r="I129" i="319"/>
  <c r="K129" i="319" s="1"/>
  <c r="A129" i="319"/>
  <c r="C129" i="319" s="1"/>
  <c r="CL128" i="319"/>
  <c r="CN128" i="319" s="1"/>
  <c r="CV128" i="319" s="1"/>
  <c r="CD128" i="319"/>
  <c r="CF128" i="319" s="1"/>
  <c r="CH128" i="319" s="1"/>
  <c r="BW128" i="319"/>
  <c r="BY128" i="319" s="1"/>
  <c r="CA128" i="319" s="1"/>
  <c r="BO128" i="319"/>
  <c r="BQ128" i="319" s="1"/>
  <c r="BS128" i="319" s="1"/>
  <c r="BE128" i="319"/>
  <c r="BG128" i="319" s="1"/>
  <c r="BI128" i="319" s="1"/>
  <c r="AQ128" i="319"/>
  <c r="Y128" i="319"/>
  <c r="AA128" i="319" s="1"/>
  <c r="Q128" i="319"/>
  <c r="S128" i="319" s="1"/>
  <c r="I128" i="319"/>
  <c r="K128" i="319" s="1"/>
  <c r="A128" i="319"/>
  <c r="C128" i="319" s="1"/>
  <c r="CL127" i="319"/>
  <c r="CN127" i="319" s="1"/>
  <c r="CV127" i="319" s="1"/>
  <c r="CD127" i="319"/>
  <c r="CF127" i="319" s="1"/>
  <c r="CH127" i="319" s="1"/>
  <c r="BW127" i="319"/>
  <c r="BY127" i="319" s="1"/>
  <c r="CA127" i="319" s="1"/>
  <c r="BO127" i="319"/>
  <c r="BQ127" i="319" s="1"/>
  <c r="BS127" i="319" s="1"/>
  <c r="BE127" i="319"/>
  <c r="BG127" i="319" s="1"/>
  <c r="BI127" i="319" s="1"/>
  <c r="AQ127" i="319"/>
  <c r="Y127" i="319"/>
  <c r="AA127" i="319" s="1"/>
  <c r="Q127" i="319"/>
  <c r="S127" i="319" s="1"/>
  <c r="I127" i="319"/>
  <c r="K127" i="319" s="1"/>
  <c r="A127" i="319"/>
  <c r="C127" i="319" s="1"/>
  <c r="CL126" i="319"/>
  <c r="CN126" i="319" s="1"/>
  <c r="CV126" i="319" s="1"/>
  <c r="CD126" i="319"/>
  <c r="CF126" i="319" s="1"/>
  <c r="CH126" i="319" s="1"/>
  <c r="BW126" i="319"/>
  <c r="BY126" i="319" s="1"/>
  <c r="CA126" i="319" s="1"/>
  <c r="BO126" i="319"/>
  <c r="BQ126" i="319" s="1"/>
  <c r="BS126" i="319" s="1"/>
  <c r="BE126" i="319"/>
  <c r="BG126" i="319" s="1"/>
  <c r="BI126" i="319" s="1"/>
  <c r="AQ126" i="319"/>
  <c r="Y126" i="319"/>
  <c r="AA126" i="319" s="1"/>
  <c r="Q126" i="319"/>
  <c r="S126" i="319" s="1"/>
  <c r="I126" i="319"/>
  <c r="K126" i="319" s="1"/>
  <c r="A126" i="319"/>
  <c r="C126" i="319" s="1"/>
  <c r="CL125" i="319"/>
  <c r="CN125" i="319" s="1"/>
  <c r="CV125" i="319" s="1"/>
  <c r="CD125" i="319"/>
  <c r="CF125" i="319" s="1"/>
  <c r="CH125" i="319" s="1"/>
  <c r="BW125" i="319"/>
  <c r="BY125" i="319" s="1"/>
  <c r="CA125" i="319" s="1"/>
  <c r="BO125" i="319"/>
  <c r="BQ125" i="319" s="1"/>
  <c r="BS125" i="319" s="1"/>
  <c r="BE125" i="319"/>
  <c r="BG125" i="319" s="1"/>
  <c r="BI125" i="319" s="1"/>
  <c r="AQ125" i="319"/>
  <c r="Y125" i="319"/>
  <c r="AA125" i="319" s="1"/>
  <c r="Q125" i="319"/>
  <c r="S125" i="319" s="1"/>
  <c r="I125" i="319"/>
  <c r="K125" i="319" s="1"/>
  <c r="A125" i="319"/>
  <c r="C125" i="319" s="1"/>
  <c r="CL124" i="319"/>
  <c r="CN124" i="319" s="1"/>
  <c r="CV124" i="319" s="1"/>
  <c r="CD124" i="319"/>
  <c r="CF124" i="319" s="1"/>
  <c r="CH124" i="319" s="1"/>
  <c r="BW124" i="319"/>
  <c r="BY124" i="319" s="1"/>
  <c r="CA124" i="319" s="1"/>
  <c r="BO124" i="319"/>
  <c r="BQ124" i="319" s="1"/>
  <c r="BS124" i="319" s="1"/>
  <c r="BE124" i="319"/>
  <c r="BG124" i="319" s="1"/>
  <c r="BI124" i="319" s="1"/>
  <c r="AQ124" i="319"/>
  <c r="Y124" i="319"/>
  <c r="AA124" i="319" s="1"/>
  <c r="Q124" i="319"/>
  <c r="S124" i="319" s="1"/>
  <c r="I124" i="319"/>
  <c r="K124" i="319" s="1"/>
  <c r="A124" i="319"/>
  <c r="C124" i="319" s="1"/>
  <c r="CL123" i="319"/>
  <c r="CN123" i="319" s="1"/>
  <c r="CV123" i="319" s="1"/>
  <c r="CD123" i="319"/>
  <c r="CF123" i="319" s="1"/>
  <c r="CH123" i="319" s="1"/>
  <c r="BW123" i="319"/>
  <c r="BY123" i="319" s="1"/>
  <c r="CA123" i="319" s="1"/>
  <c r="BO123" i="319"/>
  <c r="BQ123" i="319" s="1"/>
  <c r="BS123" i="319" s="1"/>
  <c r="BE123" i="319"/>
  <c r="BG123" i="319" s="1"/>
  <c r="BI123" i="319" s="1"/>
  <c r="AQ123" i="319"/>
  <c r="Y123" i="319"/>
  <c r="AA123" i="319" s="1"/>
  <c r="Q123" i="319"/>
  <c r="S123" i="319" s="1"/>
  <c r="I123" i="319"/>
  <c r="K123" i="319" s="1"/>
  <c r="A123" i="319"/>
  <c r="C123" i="319" s="1"/>
  <c r="CL122" i="319"/>
  <c r="CN122" i="319" s="1"/>
  <c r="CV122" i="319" s="1"/>
  <c r="CD122" i="319"/>
  <c r="CF122" i="319" s="1"/>
  <c r="CH122" i="319" s="1"/>
  <c r="BW122" i="319"/>
  <c r="BY122" i="319" s="1"/>
  <c r="CA122" i="319" s="1"/>
  <c r="BO122" i="319"/>
  <c r="BQ122" i="319" s="1"/>
  <c r="BS122" i="319" s="1"/>
  <c r="BE122" i="319"/>
  <c r="BG122" i="319" s="1"/>
  <c r="BI122" i="319" s="1"/>
  <c r="AQ122" i="319"/>
  <c r="Y122" i="319"/>
  <c r="AA122" i="319" s="1"/>
  <c r="Q122" i="319"/>
  <c r="S122" i="319" s="1"/>
  <c r="I122" i="319"/>
  <c r="K122" i="319" s="1"/>
  <c r="A122" i="319"/>
  <c r="C122" i="319" s="1"/>
  <c r="CL121" i="319"/>
  <c r="CN121" i="319" s="1"/>
  <c r="CV121" i="319" s="1"/>
  <c r="CD121" i="319"/>
  <c r="CF121" i="319" s="1"/>
  <c r="CH121" i="319" s="1"/>
  <c r="BW121" i="319"/>
  <c r="BY121" i="319" s="1"/>
  <c r="CA121" i="319" s="1"/>
  <c r="BO121" i="319"/>
  <c r="BQ121" i="319" s="1"/>
  <c r="BS121" i="319" s="1"/>
  <c r="BE121" i="319"/>
  <c r="BG121" i="319" s="1"/>
  <c r="BI121" i="319" s="1"/>
  <c r="AQ121" i="319"/>
  <c r="Y121" i="319"/>
  <c r="AA121" i="319" s="1"/>
  <c r="Q121" i="319"/>
  <c r="S121" i="319" s="1"/>
  <c r="I121" i="319"/>
  <c r="K121" i="319" s="1"/>
  <c r="A121" i="319"/>
  <c r="C121" i="319" s="1"/>
  <c r="CL120" i="319"/>
  <c r="CN120" i="319" s="1"/>
  <c r="CV120" i="319" s="1"/>
  <c r="CD120" i="319"/>
  <c r="CF120" i="319" s="1"/>
  <c r="CH120" i="319" s="1"/>
  <c r="BW120" i="319"/>
  <c r="BY120" i="319" s="1"/>
  <c r="CA120" i="319" s="1"/>
  <c r="BO120" i="319"/>
  <c r="BQ120" i="319" s="1"/>
  <c r="BS120" i="319" s="1"/>
  <c r="BE120" i="319"/>
  <c r="BG120" i="319" s="1"/>
  <c r="BI120" i="319" s="1"/>
  <c r="AQ120" i="319"/>
  <c r="Y120" i="319"/>
  <c r="AA120" i="319" s="1"/>
  <c r="Q120" i="319"/>
  <c r="S120" i="319" s="1"/>
  <c r="I120" i="319"/>
  <c r="K120" i="319" s="1"/>
  <c r="A120" i="319"/>
  <c r="C120" i="319" s="1"/>
  <c r="CL119" i="319"/>
  <c r="CN119" i="319" s="1"/>
  <c r="CV119" i="319" s="1"/>
  <c r="CD119" i="319"/>
  <c r="CF119" i="319" s="1"/>
  <c r="CH119" i="319" s="1"/>
  <c r="BW119" i="319"/>
  <c r="BY119" i="319" s="1"/>
  <c r="CA119" i="319" s="1"/>
  <c r="BO119" i="319"/>
  <c r="BQ119" i="319" s="1"/>
  <c r="BS119" i="319" s="1"/>
  <c r="BE119" i="319"/>
  <c r="BG119" i="319" s="1"/>
  <c r="BI119" i="319" s="1"/>
  <c r="AQ119" i="319"/>
  <c r="Y119" i="319"/>
  <c r="AA119" i="319" s="1"/>
  <c r="Q119" i="319"/>
  <c r="S119" i="319" s="1"/>
  <c r="I119" i="319"/>
  <c r="K119" i="319" s="1"/>
  <c r="A119" i="319"/>
  <c r="C119" i="319" s="1"/>
  <c r="CL118" i="319"/>
  <c r="CN118" i="319" s="1"/>
  <c r="CV118" i="319" s="1"/>
  <c r="CD118" i="319"/>
  <c r="CF118" i="319" s="1"/>
  <c r="CH118" i="319" s="1"/>
  <c r="BW118" i="319"/>
  <c r="BY118" i="319" s="1"/>
  <c r="CA118" i="319" s="1"/>
  <c r="BO118" i="319"/>
  <c r="BQ118" i="319" s="1"/>
  <c r="BS118" i="319" s="1"/>
  <c r="BE118" i="319"/>
  <c r="BG118" i="319" s="1"/>
  <c r="BI118" i="319" s="1"/>
  <c r="AQ118" i="319"/>
  <c r="Y118" i="319"/>
  <c r="AA118" i="319" s="1"/>
  <c r="Q118" i="319"/>
  <c r="S118" i="319" s="1"/>
  <c r="I118" i="319"/>
  <c r="K118" i="319" s="1"/>
  <c r="A118" i="319"/>
  <c r="C118" i="319" s="1"/>
  <c r="CL117" i="319"/>
  <c r="CN117" i="319" s="1"/>
  <c r="CV117" i="319" s="1"/>
  <c r="CD117" i="319"/>
  <c r="CF117" i="319" s="1"/>
  <c r="CH117" i="319" s="1"/>
  <c r="BW117" i="319"/>
  <c r="BY117" i="319" s="1"/>
  <c r="CA117" i="319" s="1"/>
  <c r="BO117" i="319"/>
  <c r="BQ117" i="319" s="1"/>
  <c r="BS117" i="319" s="1"/>
  <c r="BE117" i="319"/>
  <c r="BG117" i="319" s="1"/>
  <c r="BI117" i="319" s="1"/>
  <c r="AO117" i="319"/>
  <c r="AQ117" i="319" s="1"/>
  <c r="Y117" i="319"/>
  <c r="AA117" i="319" s="1"/>
  <c r="Q117" i="319"/>
  <c r="S117" i="319" s="1"/>
  <c r="I117" i="319"/>
  <c r="K117" i="319" s="1"/>
  <c r="A117" i="319"/>
  <c r="C117" i="319" s="1"/>
  <c r="CL116" i="319"/>
  <c r="CN116" i="319" s="1"/>
  <c r="CV116" i="319" s="1"/>
  <c r="CD116" i="319"/>
  <c r="CF116" i="319" s="1"/>
  <c r="CH116" i="319" s="1"/>
  <c r="BW116" i="319"/>
  <c r="BY116" i="319" s="1"/>
  <c r="CA116" i="319" s="1"/>
  <c r="BO116" i="319"/>
  <c r="BQ116" i="319" s="1"/>
  <c r="BS116" i="319" s="1"/>
  <c r="BE116" i="319"/>
  <c r="BG116" i="319" s="1"/>
  <c r="BI116" i="319" s="1"/>
  <c r="AO116" i="319"/>
  <c r="AQ116" i="319" s="1"/>
  <c r="Y116" i="319"/>
  <c r="AA116" i="319" s="1"/>
  <c r="Q116" i="319"/>
  <c r="S116" i="319" s="1"/>
  <c r="I116" i="319"/>
  <c r="K116" i="319" s="1"/>
  <c r="A116" i="319"/>
  <c r="C116" i="319" s="1"/>
  <c r="CL115" i="319"/>
  <c r="CN115" i="319" s="1"/>
  <c r="CV115" i="319" s="1"/>
  <c r="CD115" i="319"/>
  <c r="CF115" i="319" s="1"/>
  <c r="CH115" i="319" s="1"/>
  <c r="BW115" i="319"/>
  <c r="BY115" i="319" s="1"/>
  <c r="CA115" i="319" s="1"/>
  <c r="BO115" i="319"/>
  <c r="BQ115" i="319" s="1"/>
  <c r="BS115" i="319" s="1"/>
  <c r="BE115" i="319"/>
  <c r="BG115" i="319" s="1"/>
  <c r="BI115" i="319" s="1"/>
  <c r="AO115" i="319"/>
  <c r="AQ115" i="319" s="1"/>
  <c r="Y115" i="319"/>
  <c r="AA115" i="319" s="1"/>
  <c r="Q115" i="319"/>
  <c r="S115" i="319" s="1"/>
  <c r="I115" i="319"/>
  <c r="K115" i="319" s="1"/>
  <c r="A115" i="319"/>
  <c r="C115" i="319" s="1"/>
  <c r="CL114" i="319"/>
  <c r="CN114" i="319" s="1"/>
  <c r="CV114" i="319" s="1"/>
  <c r="CD114" i="319"/>
  <c r="CF114" i="319" s="1"/>
  <c r="CH114" i="319" s="1"/>
  <c r="BW114" i="319"/>
  <c r="BY114" i="319" s="1"/>
  <c r="CA114" i="319" s="1"/>
  <c r="BO114" i="319"/>
  <c r="BQ114" i="319" s="1"/>
  <c r="BS114" i="319" s="1"/>
  <c r="BE114" i="319"/>
  <c r="BG114" i="319" s="1"/>
  <c r="BI114" i="319" s="1"/>
  <c r="AO114" i="319"/>
  <c r="AQ114" i="319" s="1"/>
  <c r="Y114" i="319"/>
  <c r="AA114" i="319" s="1"/>
  <c r="Q114" i="319"/>
  <c r="S114" i="319" s="1"/>
  <c r="I114" i="319"/>
  <c r="K114" i="319" s="1"/>
  <c r="A114" i="319"/>
  <c r="C114" i="319" s="1"/>
  <c r="CL113" i="319"/>
  <c r="CN113" i="319" s="1"/>
  <c r="CV113" i="319" s="1"/>
  <c r="CD113" i="319"/>
  <c r="CF113" i="319" s="1"/>
  <c r="CH113" i="319" s="1"/>
  <c r="BW113" i="319"/>
  <c r="BY113" i="319" s="1"/>
  <c r="CA113" i="319" s="1"/>
  <c r="BO113" i="319"/>
  <c r="BQ113" i="319" s="1"/>
  <c r="BS113" i="319" s="1"/>
  <c r="BE113" i="319"/>
  <c r="BG113" i="319" s="1"/>
  <c r="BI113" i="319" s="1"/>
  <c r="AO113" i="319"/>
  <c r="AQ113" i="319" s="1"/>
  <c r="Y113" i="319"/>
  <c r="AA113" i="319" s="1"/>
  <c r="Q113" i="319"/>
  <c r="S113" i="319" s="1"/>
  <c r="I113" i="319"/>
  <c r="K113" i="319" s="1"/>
  <c r="A113" i="319"/>
  <c r="C113" i="319" s="1"/>
  <c r="CL112" i="319"/>
  <c r="CN112" i="319" s="1"/>
  <c r="CV112" i="319" s="1"/>
  <c r="CD112" i="319"/>
  <c r="CF112" i="319" s="1"/>
  <c r="CH112" i="319" s="1"/>
  <c r="BW112" i="319"/>
  <c r="BY112" i="319" s="1"/>
  <c r="CA112" i="319" s="1"/>
  <c r="BO112" i="319"/>
  <c r="BQ112" i="319" s="1"/>
  <c r="BS112" i="319" s="1"/>
  <c r="BE112" i="319"/>
  <c r="BG112" i="319" s="1"/>
  <c r="BI112" i="319" s="1"/>
  <c r="AO112" i="319"/>
  <c r="AQ112" i="319" s="1"/>
  <c r="Y112" i="319"/>
  <c r="AA112" i="319" s="1"/>
  <c r="Q112" i="319"/>
  <c r="S112" i="319" s="1"/>
  <c r="I112" i="319"/>
  <c r="K112" i="319" s="1"/>
  <c r="A112" i="319"/>
  <c r="C112" i="319" s="1"/>
  <c r="CL111" i="319"/>
  <c r="CN111" i="319" s="1"/>
  <c r="CV111" i="319" s="1"/>
  <c r="CD111" i="319"/>
  <c r="CF111" i="319" s="1"/>
  <c r="CH111" i="319" s="1"/>
  <c r="BW111" i="319"/>
  <c r="BY111" i="319" s="1"/>
  <c r="CA111" i="319" s="1"/>
  <c r="BO111" i="319"/>
  <c r="BQ111" i="319" s="1"/>
  <c r="BS111" i="319" s="1"/>
  <c r="BE111" i="319"/>
  <c r="BG111" i="319" s="1"/>
  <c r="BI111" i="319" s="1"/>
  <c r="AO111" i="319"/>
  <c r="AQ111" i="319" s="1"/>
  <c r="Y111" i="319"/>
  <c r="AA111" i="319" s="1"/>
  <c r="Q111" i="319"/>
  <c r="S111" i="319" s="1"/>
  <c r="I111" i="319"/>
  <c r="K111" i="319" s="1"/>
  <c r="A111" i="319"/>
  <c r="C111" i="319" s="1"/>
  <c r="CL110" i="319"/>
  <c r="CN110" i="319" s="1"/>
  <c r="CV110" i="319" s="1"/>
  <c r="CD110" i="319"/>
  <c r="CF110" i="319" s="1"/>
  <c r="CH110" i="319" s="1"/>
  <c r="BW110" i="319"/>
  <c r="BY110" i="319" s="1"/>
  <c r="CA110" i="319" s="1"/>
  <c r="BO110" i="319"/>
  <c r="BQ110" i="319" s="1"/>
  <c r="BS110" i="319" s="1"/>
  <c r="BE110" i="319"/>
  <c r="BG110" i="319" s="1"/>
  <c r="BI110" i="319" s="1"/>
  <c r="AO110" i="319"/>
  <c r="AQ110" i="319" s="1"/>
  <c r="Y110" i="319"/>
  <c r="AA110" i="319" s="1"/>
  <c r="Q110" i="319"/>
  <c r="S110" i="319" s="1"/>
  <c r="I110" i="319"/>
  <c r="K110" i="319" s="1"/>
  <c r="A110" i="319"/>
  <c r="C110" i="319" s="1"/>
  <c r="CL109" i="319"/>
  <c r="CN109" i="319" s="1"/>
  <c r="CV109" i="319" s="1"/>
  <c r="CD109" i="319"/>
  <c r="CF109" i="319" s="1"/>
  <c r="CH109" i="319" s="1"/>
  <c r="BW109" i="319"/>
  <c r="BY109" i="319" s="1"/>
  <c r="CA109" i="319" s="1"/>
  <c r="BO109" i="319"/>
  <c r="BQ109" i="319" s="1"/>
  <c r="BS109" i="319" s="1"/>
  <c r="BE109" i="319"/>
  <c r="BG109" i="319" s="1"/>
  <c r="BI109" i="319" s="1"/>
  <c r="AO109" i="319"/>
  <c r="AQ109" i="319" s="1"/>
  <c r="Y109" i="319"/>
  <c r="AA109" i="319" s="1"/>
  <c r="Q109" i="319"/>
  <c r="S109" i="319" s="1"/>
  <c r="I109" i="319"/>
  <c r="K109" i="319" s="1"/>
  <c r="A109" i="319"/>
  <c r="C109" i="319" s="1"/>
  <c r="CL108" i="319"/>
  <c r="CN108" i="319" s="1"/>
  <c r="CV108" i="319" s="1"/>
  <c r="CD108" i="319"/>
  <c r="CF108" i="319" s="1"/>
  <c r="CH108" i="319" s="1"/>
  <c r="BW108" i="319"/>
  <c r="BY108" i="319" s="1"/>
  <c r="CA108" i="319" s="1"/>
  <c r="BO108" i="319"/>
  <c r="BQ108" i="319" s="1"/>
  <c r="BS108" i="319" s="1"/>
  <c r="BE108" i="319"/>
  <c r="BG108" i="319" s="1"/>
  <c r="BI108" i="319" s="1"/>
  <c r="AO108" i="319"/>
  <c r="AQ108" i="319" s="1"/>
  <c r="Y108" i="319"/>
  <c r="AA108" i="319" s="1"/>
  <c r="Q108" i="319"/>
  <c r="S108" i="319" s="1"/>
  <c r="I108" i="319"/>
  <c r="K108" i="319" s="1"/>
  <c r="A108" i="319"/>
  <c r="C108" i="319" s="1"/>
  <c r="CL107" i="319"/>
  <c r="CN107" i="319" s="1"/>
  <c r="CV107" i="319" s="1"/>
  <c r="CD107" i="319"/>
  <c r="CF107" i="319" s="1"/>
  <c r="CH107" i="319" s="1"/>
  <c r="BW107" i="319"/>
  <c r="BY107" i="319" s="1"/>
  <c r="CA107" i="319" s="1"/>
  <c r="BO107" i="319"/>
  <c r="BQ107" i="319" s="1"/>
  <c r="BS107" i="319" s="1"/>
  <c r="BE107" i="319"/>
  <c r="BG107" i="319" s="1"/>
  <c r="BI107" i="319" s="1"/>
  <c r="AO107" i="319"/>
  <c r="AQ107" i="319" s="1"/>
  <c r="Y107" i="319"/>
  <c r="AA107" i="319" s="1"/>
  <c r="Q107" i="319"/>
  <c r="S107" i="319" s="1"/>
  <c r="I107" i="319"/>
  <c r="K107" i="319" s="1"/>
  <c r="A107" i="319"/>
  <c r="C107" i="319" s="1"/>
  <c r="CL106" i="319"/>
  <c r="CN106" i="319" s="1"/>
  <c r="CV106" i="319" s="1"/>
  <c r="CD106" i="319"/>
  <c r="CF106" i="319" s="1"/>
  <c r="CH106" i="319" s="1"/>
  <c r="BW106" i="319"/>
  <c r="BY106" i="319" s="1"/>
  <c r="CA106" i="319" s="1"/>
  <c r="BO106" i="319"/>
  <c r="BQ106" i="319" s="1"/>
  <c r="BS106" i="319" s="1"/>
  <c r="BE106" i="319"/>
  <c r="BG106" i="319" s="1"/>
  <c r="BI106" i="319" s="1"/>
  <c r="AO106" i="319"/>
  <c r="AQ106" i="319" s="1"/>
  <c r="Y106" i="319"/>
  <c r="AA106" i="319" s="1"/>
  <c r="Q106" i="319"/>
  <c r="S106" i="319" s="1"/>
  <c r="I106" i="319"/>
  <c r="K106" i="319" s="1"/>
  <c r="A106" i="319"/>
  <c r="C106" i="319" s="1"/>
  <c r="CL105" i="319"/>
  <c r="CN105" i="319" s="1"/>
  <c r="CV105" i="319" s="1"/>
  <c r="CD105" i="319"/>
  <c r="CF105" i="319" s="1"/>
  <c r="CH105" i="319" s="1"/>
  <c r="BW105" i="319"/>
  <c r="BY105" i="319" s="1"/>
  <c r="CA105" i="319" s="1"/>
  <c r="BO105" i="319"/>
  <c r="BQ105" i="319" s="1"/>
  <c r="BS105" i="319" s="1"/>
  <c r="BE105" i="319"/>
  <c r="BG105" i="319" s="1"/>
  <c r="BI105" i="319" s="1"/>
  <c r="AO105" i="319"/>
  <c r="AQ105" i="319" s="1"/>
  <c r="Y105" i="319"/>
  <c r="AA105" i="319" s="1"/>
  <c r="Q105" i="319"/>
  <c r="S105" i="319" s="1"/>
  <c r="I105" i="319"/>
  <c r="K105" i="319" s="1"/>
  <c r="A105" i="319"/>
  <c r="C105" i="319" s="1"/>
  <c r="CL104" i="319"/>
  <c r="CN104" i="319" s="1"/>
  <c r="CV104" i="319" s="1"/>
  <c r="CD104" i="319"/>
  <c r="CF104" i="319" s="1"/>
  <c r="CH104" i="319" s="1"/>
  <c r="BW104" i="319"/>
  <c r="BY104" i="319" s="1"/>
  <c r="CA104" i="319" s="1"/>
  <c r="BO104" i="319"/>
  <c r="BQ104" i="319" s="1"/>
  <c r="BS104" i="319" s="1"/>
  <c r="BE104" i="319"/>
  <c r="BG104" i="319" s="1"/>
  <c r="BI104" i="319" s="1"/>
  <c r="AO104" i="319"/>
  <c r="AQ104" i="319" s="1"/>
  <c r="Y104" i="319"/>
  <c r="AA104" i="319" s="1"/>
  <c r="Q104" i="319"/>
  <c r="S104" i="319" s="1"/>
  <c r="I104" i="319"/>
  <c r="K104" i="319" s="1"/>
  <c r="A104" i="319"/>
  <c r="C104" i="319" s="1"/>
  <c r="CL103" i="319"/>
  <c r="CN103" i="319" s="1"/>
  <c r="CV103" i="319" s="1"/>
  <c r="CD103" i="319"/>
  <c r="CF103" i="319" s="1"/>
  <c r="CH103" i="319" s="1"/>
  <c r="BW103" i="319"/>
  <c r="BY103" i="319" s="1"/>
  <c r="CA103" i="319" s="1"/>
  <c r="BO103" i="319"/>
  <c r="BQ103" i="319" s="1"/>
  <c r="BS103" i="319" s="1"/>
  <c r="BE103" i="319"/>
  <c r="BG103" i="319" s="1"/>
  <c r="BI103" i="319" s="1"/>
  <c r="AO103" i="319"/>
  <c r="AQ103" i="319" s="1"/>
  <c r="Y103" i="319"/>
  <c r="AA103" i="319" s="1"/>
  <c r="Q103" i="319"/>
  <c r="S103" i="319" s="1"/>
  <c r="I103" i="319"/>
  <c r="K103" i="319" s="1"/>
  <c r="A103" i="319"/>
  <c r="C103" i="319" s="1"/>
  <c r="CL102" i="319"/>
  <c r="CN102" i="319" s="1"/>
  <c r="CV102" i="319" s="1"/>
  <c r="CD102" i="319"/>
  <c r="CF102" i="319" s="1"/>
  <c r="CH102" i="319" s="1"/>
  <c r="BW102" i="319"/>
  <c r="BY102" i="319" s="1"/>
  <c r="CA102" i="319" s="1"/>
  <c r="BO102" i="319"/>
  <c r="BQ102" i="319" s="1"/>
  <c r="BS102" i="319" s="1"/>
  <c r="BE102" i="319"/>
  <c r="BG102" i="319" s="1"/>
  <c r="BI102" i="319" s="1"/>
  <c r="AO102" i="319"/>
  <c r="AQ102" i="319" s="1"/>
  <c r="Y102" i="319"/>
  <c r="AA102" i="319" s="1"/>
  <c r="Q102" i="319"/>
  <c r="S102" i="319" s="1"/>
  <c r="I102" i="319"/>
  <c r="K102" i="319" s="1"/>
  <c r="A102" i="319"/>
  <c r="C102" i="319" s="1"/>
  <c r="CL101" i="319"/>
  <c r="CN101" i="319" s="1"/>
  <c r="CV101" i="319" s="1"/>
  <c r="CD101" i="319"/>
  <c r="CF101" i="319" s="1"/>
  <c r="CH101" i="319" s="1"/>
  <c r="BW101" i="319"/>
  <c r="BY101" i="319" s="1"/>
  <c r="CA101" i="319" s="1"/>
  <c r="BO101" i="319"/>
  <c r="BQ101" i="319" s="1"/>
  <c r="BS101" i="319" s="1"/>
  <c r="BE101" i="319"/>
  <c r="BG101" i="319" s="1"/>
  <c r="BI101" i="319" s="1"/>
  <c r="AO101" i="319"/>
  <c r="AQ101" i="319" s="1"/>
  <c r="Y101" i="319"/>
  <c r="AA101" i="319" s="1"/>
  <c r="Q101" i="319"/>
  <c r="S101" i="319" s="1"/>
  <c r="I101" i="319"/>
  <c r="K101" i="319" s="1"/>
  <c r="A101" i="319"/>
  <c r="C101" i="319" s="1"/>
  <c r="CL100" i="319"/>
  <c r="CN100" i="319" s="1"/>
  <c r="CV100" i="319" s="1"/>
  <c r="CD100" i="319"/>
  <c r="CF100" i="319" s="1"/>
  <c r="CH100" i="319" s="1"/>
  <c r="BW100" i="319"/>
  <c r="BY100" i="319" s="1"/>
  <c r="CA100" i="319" s="1"/>
  <c r="BO100" i="319"/>
  <c r="BQ100" i="319" s="1"/>
  <c r="BS100" i="319" s="1"/>
  <c r="BE100" i="319"/>
  <c r="BG100" i="319" s="1"/>
  <c r="BI100" i="319" s="1"/>
  <c r="AO100" i="319"/>
  <c r="AQ100" i="319" s="1"/>
  <c r="Y100" i="319"/>
  <c r="AA100" i="319" s="1"/>
  <c r="Q100" i="319"/>
  <c r="S100" i="319" s="1"/>
  <c r="I100" i="319"/>
  <c r="K100" i="319" s="1"/>
  <c r="A100" i="319"/>
  <c r="C100" i="319" s="1"/>
  <c r="CL99" i="319"/>
  <c r="CN99" i="319" s="1"/>
  <c r="CV99" i="319" s="1"/>
  <c r="CD99" i="319"/>
  <c r="CF99" i="319" s="1"/>
  <c r="CH99" i="319" s="1"/>
  <c r="BW99" i="319"/>
  <c r="BY99" i="319" s="1"/>
  <c r="CA99" i="319" s="1"/>
  <c r="BO99" i="319"/>
  <c r="BQ99" i="319" s="1"/>
  <c r="BS99" i="319" s="1"/>
  <c r="BE99" i="319"/>
  <c r="BG99" i="319" s="1"/>
  <c r="BI99" i="319" s="1"/>
  <c r="AO99" i="319"/>
  <c r="AQ99" i="319" s="1"/>
  <c r="Y99" i="319"/>
  <c r="AA99" i="319" s="1"/>
  <c r="Q99" i="319"/>
  <c r="S99" i="319" s="1"/>
  <c r="I99" i="319"/>
  <c r="K99" i="319" s="1"/>
  <c r="A99" i="319"/>
  <c r="C99" i="319" s="1"/>
  <c r="CL98" i="319"/>
  <c r="CN98" i="319" s="1"/>
  <c r="CV98" i="319" s="1"/>
  <c r="CD98" i="319"/>
  <c r="CF98" i="319" s="1"/>
  <c r="CH98" i="319" s="1"/>
  <c r="BW98" i="319"/>
  <c r="BY98" i="319" s="1"/>
  <c r="CA98" i="319" s="1"/>
  <c r="BO98" i="319"/>
  <c r="BQ98" i="319" s="1"/>
  <c r="BS98" i="319" s="1"/>
  <c r="BE98" i="319"/>
  <c r="BG98" i="319" s="1"/>
  <c r="BI98" i="319" s="1"/>
  <c r="AO98" i="319"/>
  <c r="AQ98" i="319" s="1"/>
  <c r="Y98" i="319"/>
  <c r="AA98" i="319" s="1"/>
  <c r="Q98" i="319"/>
  <c r="S98" i="319" s="1"/>
  <c r="I98" i="319"/>
  <c r="K98" i="319" s="1"/>
  <c r="A98" i="319"/>
  <c r="C98" i="319" s="1"/>
  <c r="CL97" i="319"/>
  <c r="CN97" i="319" s="1"/>
  <c r="CV97" i="319" s="1"/>
  <c r="CD97" i="319"/>
  <c r="CF97" i="319" s="1"/>
  <c r="CH97" i="319" s="1"/>
  <c r="BW97" i="319"/>
  <c r="BY97" i="319" s="1"/>
  <c r="CA97" i="319" s="1"/>
  <c r="BO97" i="319"/>
  <c r="BQ97" i="319" s="1"/>
  <c r="BS97" i="319" s="1"/>
  <c r="BE97" i="319"/>
  <c r="BG97" i="319" s="1"/>
  <c r="BI97" i="319" s="1"/>
  <c r="AO97" i="319"/>
  <c r="AQ97" i="319" s="1"/>
  <c r="Y97" i="319"/>
  <c r="AA97" i="319" s="1"/>
  <c r="Q97" i="319"/>
  <c r="S97" i="319" s="1"/>
  <c r="I97" i="319"/>
  <c r="K97" i="319" s="1"/>
  <c r="A97" i="319"/>
  <c r="C97" i="319" s="1"/>
  <c r="CL96" i="319"/>
  <c r="CN96" i="319" s="1"/>
  <c r="CV96" i="319" s="1"/>
  <c r="CD96" i="319"/>
  <c r="CF96" i="319" s="1"/>
  <c r="CH96" i="319" s="1"/>
  <c r="BW96" i="319"/>
  <c r="BY96" i="319" s="1"/>
  <c r="CA96" i="319" s="1"/>
  <c r="BO96" i="319"/>
  <c r="BQ96" i="319" s="1"/>
  <c r="BS96" i="319" s="1"/>
  <c r="BE96" i="319"/>
  <c r="BG96" i="319" s="1"/>
  <c r="BI96" i="319" s="1"/>
  <c r="AO96" i="319"/>
  <c r="AQ96" i="319" s="1"/>
  <c r="Y96" i="319"/>
  <c r="AA96" i="319" s="1"/>
  <c r="Q96" i="319"/>
  <c r="S96" i="319" s="1"/>
  <c r="I96" i="319"/>
  <c r="K96" i="319" s="1"/>
  <c r="A96" i="319"/>
  <c r="C96" i="319" s="1"/>
  <c r="CL95" i="319"/>
  <c r="CN95" i="319" s="1"/>
  <c r="CV95" i="319" s="1"/>
  <c r="CD95" i="319"/>
  <c r="CF95" i="319" s="1"/>
  <c r="CH95" i="319" s="1"/>
  <c r="BW95" i="319"/>
  <c r="BY95" i="319" s="1"/>
  <c r="CA95" i="319" s="1"/>
  <c r="BO95" i="319"/>
  <c r="BQ95" i="319" s="1"/>
  <c r="BS95" i="319" s="1"/>
  <c r="BE95" i="319"/>
  <c r="BG95" i="319" s="1"/>
  <c r="BI95" i="319" s="1"/>
  <c r="AO95" i="319"/>
  <c r="AQ95" i="319" s="1"/>
  <c r="Y95" i="319"/>
  <c r="AA95" i="319" s="1"/>
  <c r="Q95" i="319"/>
  <c r="S95" i="319" s="1"/>
  <c r="I95" i="319"/>
  <c r="K95" i="319" s="1"/>
  <c r="A95" i="319"/>
  <c r="C95" i="319" s="1"/>
  <c r="CL94" i="319"/>
  <c r="CN94" i="319" s="1"/>
  <c r="CV94" i="319" s="1"/>
  <c r="CD94" i="319"/>
  <c r="CF94" i="319" s="1"/>
  <c r="CH94" i="319" s="1"/>
  <c r="BW94" i="319"/>
  <c r="BY94" i="319" s="1"/>
  <c r="CA94" i="319" s="1"/>
  <c r="BO94" i="319"/>
  <c r="BQ94" i="319" s="1"/>
  <c r="BS94" i="319" s="1"/>
  <c r="BE94" i="319"/>
  <c r="BG94" i="319" s="1"/>
  <c r="BI94" i="319" s="1"/>
  <c r="AO94" i="319"/>
  <c r="AQ94" i="319" s="1"/>
  <c r="Y94" i="319"/>
  <c r="AA94" i="319" s="1"/>
  <c r="Q94" i="319"/>
  <c r="S94" i="319" s="1"/>
  <c r="I94" i="319"/>
  <c r="K94" i="319" s="1"/>
  <c r="A94" i="319"/>
  <c r="C94" i="319" s="1"/>
  <c r="CL93" i="319"/>
  <c r="CN93" i="319" s="1"/>
  <c r="CV93" i="319" s="1"/>
  <c r="CD93" i="319"/>
  <c r="CF93" i="319" s="1"/>
  <c r="CH93" i="319" s="1"/>
  <c r="BW93" i="319"/>
  <c r="BY93" i="319" s="1"/>
  <c r="CA93" i="319" s="1"/>
  <c r="BO93" i="319"/>
  <c r="BQ93" i="319" s="1"/>
  <c r="BS93" i="319" s="1"/>
  <c r="BE93" i="319"/>
  <c r="BG93" i="319" s="1"/>
  <c r="BI93" i="319" s="1"/>
  <c r="AO93" i="319"/>
  <c r="AQ93" i="319" s="1"/>
  <c r="Y93" i="319"/>
  <c r="AA93" i="319" s="1"/>
  <c r="Q93" i="319"/>
  <c r="S93" i="319" s="1"/>
  <c r="I93" i="319"/>
  <c r="K93" i="319" s="1"/>
  <c r="A93" i="319"/>
  <c r="C93" i="319" s="1"/>
  <c r="CL92" i="319"/>
  <c r="CN92" i="319" s="1"/>
  <c r="CV92" i="319" s="1"/>
  <c r="CD92" i="319"/>
  <c r="CF92" i="319" s="1"/>
  <c r="CH92" i="319" s="1"/>
  <c r="BW92" i="319"/>
  <c r="BY92" i="319" s="1"/>
  <c r="CA92" i="319" s="1"/>
  <c r="BO92" i="319"/>
  <c r="BQ92" i="319" s="1"/>
  <c r="BS92" i="319" s="1"/>
  <c r="BE92" i="319"/>
  <c r="BG92" i="319" s="1"/>
  <c r="BI92" i="319" s="1"/>
  <c r="AO92" i="319"/>
  <c r="AQ92" i="319" s="1"/>
  <c r="Y92" i="319"/>
  <c r="AA92" i="319" s="1"/>
  <c r="Q92" i="319"/>
  <c r="S92" i="319" s="1"/>
  <c r="I92" i="319"/>
  <c r="K92" i="319" s="1"/>
  <c r="A92" i="319"/>
  <c r="C92" i="319" s="1"/>
  <c r="CL91" i="319"/>
  <c r="CN91" i="319" s="1"/>
  <c r="CV91" i="319" s="1"/>
  <c r="CD91" i="319"/>
  <c r="CF91" i="319" s="1"/>
  <c r="CH91" i="319" s="1"/>
  <c r="BW91" i="319"/>
  <c r="BY91" i="319" s="1"/>
  <c r="CA91" i="319" s="1"/>
  <c r="BO91" i="319"/>
  <c r="BQ91" i="319" s="1"/>
  <c r="BS91" i="319" s="1"/>
  <c r="BE91" i="319"/>
  <c r="BG91" i="319" s="1"/>
  <c r="BI91" i="319" s="1"/>
  <c r="AO91" i="319"/>
  <c r="AQ91" i="319" s="1"/>
  <c r="Y91" i="319"/>
  <c r="AA91" i="319" s="1"/>
  <c r="Q91" i="319"/>
  <c r="S91" i="319" s="1"/>
  <c r="I91" i="319"/>
  <c r="K91" i="319" s="1"/>
  <c r="A91" i="319"/>
  <c r="C91" i="319" s="1"/>
  <c r="CL90" i="319"/>
  <c r="CN90" i="319" s="1"/>
  <c r="CV90" i="319" s="1"/>
  <c r="CD90" i="319"/>
  <c r="CF90" i="319" s="1"/>
  <c r="CH90" i="319" s="1"/>
  <c r="BW90" i="319"/>
  <c r="BY90" i="319" s="1"/>
  <c r="CA90" i="319" s="1"/>
  <c r="BO90" i="319"/>
  <c r="BQ90" i="319" s="1"/>
  <c r="BS90" i="319" s="1"/>
  <c r="BE90" i="319"/>
  <c r="BG90" i="319" s="1"/>
  <c r="BI90" i="319" s="1"/>
  <c r="AO90" i="319"/>
  <c r="AQ90" i="319" s="1"/>
  <c r="Y90" i="319"/>
  <c r="AA90" i="319" s="1"/>
  <c r="Q90" i="319"/>
  <c r="S90" i="319" s="1"/>
  <c r="I90" i="319"/>
  <c r="K90" i="319" s="1"/>
  <c r="A90" i="319"/>
  <c r="C90" i="319" s="1"/>
  <c r="CL89" i="319"/>
  <c r="CN89" i="319" s="1"/>
  <c r="CV89" i="319" s="1"/>
  <c r="CD89" i="319"/>
  <c r="CF89" i="319" s="1"/>
  <c r="CH89" i="319" s="1"/>
  <c r="BW89" i="319"/>
  <c r="BY89" i="319" s="1"/>
  <c r="CA89" i="319" s="1"/>
  <c r="BO89" i="319"/>
  <c r="BQ89" i="319" s="1"/>
  <c r="BS89" i="319" s="1"/>
  <c r="BE89" i="319"/>
  <c r="BG89" i="319" s="1"/>
  <c r="BI89" i="319" s="1"/>
  <c r="AO89" i="319"/>
  <c r="AQ89" i="319" s="1"/>
  <c r="Y89" i="319"/>
  <c r="AA89" i="319" s="1"/>
  <c r="Q89" i="319"/>
  <c r="S89" i="319" s="1"/>
  <c r="I89" i="319"/>
  <c r="K89" i="319" s="1"/>
  <c r="A89" i="319"/>
  <c r="C89" i="319" s="1"/>
  <c r="CL88" i="319"/>
  <c r="CN88" i="319" s="1"/>
  <c r="CV88" i="319" s="1"/>
  <c r="CD88" i="319"/>
  <c r="CF88" i="319" s="1"/>
  <c r="CH88" i="319" s="1"/>
  <c r="BW88" i="319"/>
  <c r="BY88" i="319" s="1"/>
  <c r="CA88" i="319" s="1"/>
  <c r="BO88" i="319"/>
  <c r="BQ88" i="319" s="1"/>
  <c r="BS88" i="319" s="1"/>
  <c r="BE88" i="319"/>
  <c r="BG88" i="319" s="1"/>
  <c r="BI88" i="319" s="1"/>
  <c r="AO88" i="319"/>
  <c r="AQ88" i="319" s="1"/>
  <c r="Y88" i="319"/>
  <c r="AA88" i="319" s="1"/>
  <c r="Q88" i="319"/>
  <c r="S88" i="319" s="1"/>
  <c r="I88" i="319"/>
  <c r="K88" i="319" s="1"/>
  <c r="A88" i="319"/>
  <c r="C88" i="319" s="1"/>
  <c r="CL87" i="319"/>
  <c r="CN87" i="319" s="1"/>
  <c r="CV87" i="319" s="1"/>
  <c r="CD87" i="319"/>
  <c r="CF87" i="319" s="1"/>
  <c r="CH87" i="319" s="1"/>
  <c r="BW87" i="319"/>
  <c r="BY87" i="319" s="1"/>
  <c r="CA87" i="319" s="1"/>
  <c r="BO87" i="319"/>
  <c r="BQ87" i="319" s="1"/>
  <c r="BS87" i="319" s="1"/>
  <c r="BE87" i="319"/>
  <c r="BG87" i="319" s="1"/>
  <c r="BI87" i="319" s="1"/>
  <c r="AO87" i="319"/>
  <c r="AQ87" i="319" s="1"/>
  <c r="Y87" i="319"/>
  <c r="AA87" i="319" s="1"/>
  <c r="Q87" i="319"/>
  <c r="S87" i="319" s="1"/>
  <c r="I87" i="319"/>
  <c r="K87" i="319" s="1"/>
  <c r="A87" i="319"/>
  <c r="C87" i="319" s="1"/>
  <c r="CL86" i="319"/>
  <c r="CN86" i="319" s="1"/>
  <c r="CV86" i="319" s="1"/>
  <c r="CD86" i="319"/>
  <c r="CF86" i="319" s="1"/>
  <c r="CH86" i="319" s="1"/>
  <c r="BW86" i="319"/>
  <c r="BY86" i="319" s="1"/>
  <c r="CA86" i="319" s="1"/>
  <c r="BO86" i="319"/>
  <c r="BQ86" i="319" s="1"/>
  <c r="BS86" i="319" s="1"/>
  <c r="BE86" i="319"/>
  <c r="BG86" i="319" s="1"/>
  <c r="BI86" i="319" s="1"/>
  <c r="AO86" i="319"/>
  <c r="AQ86" i="319" s="1"/>
  <c r="Y86" i="319"/>
  <c r="AA86" i="319" s="1"/>
  <c r="Q86" i="319"/>
  <c r="S86" i="319" s="1"/>
  <c r="I86" i="319"/>
  <c r="K86" i="319" s="1"/>
  <c r="A86" i="319"/>
  <c r="C86" i="319" s="1"/>
  <c r="CL85" i="319"/>
  <c r="CN85" i="319" s="1"/>
  <c r="CV85" i="319" s="1"/>
  <c r="CD85" i="319"/>
  <c r="CF85" i="319" s="1"/>
  <c r="CH85" i="319" s="1"/>
  <c r="BW85" i="319"/>
  <c r="BY85" i="319" s="1"/>
  <c r="CA85" i="319" s="1"/>
  <c r="BO85" i="319"/>
  <c r="BQ85" i="319" s="1"/>
  <c r="BS85" i="319" s="1"/>
  <c r="BE85" i="319"/>
  <c r="BG85" i="319" s="1"/>
  <c r="BI85" i="319" s="1"/>
  <c r="AO85" i="319"/>
  <c r="AQ85" i="319" s="1"/>
  <c r="Y85" i="319"/>
  <c r="AA85" i="319" s="1"/>
  <c r="Q85" i="319"/>
  <c r="S85" i="319" s="1"/>
  <c r="I85" i="319"/>
  <c r="K85" i="319" s="1"/>
  <c r="A85" i="319"/>
  <c r="C85" i="319" s="1"/>
  <c r="CL84" i="319"/>
  <c r="CN84" i="319" s="1"/>
  <c r="CV84" i="319" s="1"/>
  <c r="CD84" i="319"/>
  <c r="CF84" i="319" s="1"/>
  <c r="CH84" i="319" s="1"/>
  <c r="BW84" i="319"/>
  <c r="BY84" i="319" s="1"/>
  <c r="CA84" i="319" s="1"/>
  <c r="BO84" i="319"/>
  <c r="BQ84" i="319" s="1"/>
  <c r="BS84" i="319" s="1"/>
  <c r="BE84" i="319"/>
  <c r="BG84" i="319" s="1"/>
  <c r="BI84" i="319" s="1"/>
  <c r="AO84" i="319"/>
  <c r="AQ84" i="319" s="1"/>
  <c r="Y84" i="319"/>
  <c r="AA84" i="319" s="1"/>
  <c r="Q84" i="319"/>
  <c r="S84" i="319" s="1"/>
  <c r="I84" i="319"/>
  <c r="K84" i="319" s="1"/>
  <c r="A84" i="319"/>
  <c r="C84" i="319" s="1"/>
  <c r="CL83" i="319"/>
  <c r="CN83" i="319" s="1"/>
  <c r="CV83" i="319" s="1"/>
  <c r="CD83" i="319"/>
  <c r="CF83" i="319" s="1"/>
  <c r="CH83" i="319" s="1"/>
  <c r="BW83" i="319"/>
  <c r="BY83" i="319" s="1"/>
  <c r="CA83" i="319" s="1"/>
  <c r="BO83" i="319"/>
  <c r="BQ83" i="319" s="1"/>
  <c r="BS83" i="319" s="1"/>
  <c r="BE83" i="319"/>
  <c r="BG83" i="319" s="1"/>
  <c r="BI83" i="319" s="1"/>
  <c r="AO83" i="319"/>
  <c r="AQ83" i="319" s="1"/>
  <c r="Y83" i="319"/>
  <c r="AA83" i="319" s="1"/>
  <c r="Q83" i="319"/>
  <c r="S83" i="319" s="1"/>
  <c r="I83" i="319"/>
  <c r="K83" i="319" s="1"/>
  <c r="A83" i="319"/>
  <c r="C83" i="319" s="1"/>
  <c r="CL82" i="319"/>
  <c r="CN82" i="319" s="1"/>
  <c r="CV82" i="319" s="1"/>
  <c r="CD82" i="319"/>
  <c r="CF82" i="319" s="1"/>
  <c r="CH82" i="319" s="1"/>
  <c r="BW82" i="319"/>
  <c r="BY82" i="319" s="1"/>
  <c r="CA82" i="319" s="1"/>
  <c r="BO82" i="319"/>
  <c r="BQ82" i="319" s="1"/>
  <c r="BS82" i="319" s="1"/>
  <c r="BE82" i="319"/>
  <c r="BG82" i="319" s="1"/>
  <c r="BI82" i="319" s="1"/>
  <c r="AO82" i="319"/>
  <c r="AQ82" i="319" s="1"/>
  <c r="Y82" i="319"/>
  <c r="AA82" i="319" s="1"/>
  <c r="Q82" i="319"/>
  <c r="S82" i="319" s="1"/>
  <c r="I82" i="319"/>
  <c r="K82" i="319" s="1"/>
  <c r="A82" i="319"/>
  <c r="C82" i="319" s="1"/>
  <c r="CL81" i="319"/>
  <c r="CN81" i="319" s="1"/>
  <c r="CV81" i="319" s="1"/>
  <c r="CD81" i="319"/>
  <c r="CF81" i="319" s="1"/>
  <c r="CH81" i="319" s="1"/>
  <c r="BW81" i="319"/>
  <c r="BY81" i="319" s="1"/>
  <c r="CA81" i="319" s="1"/>
  <c r="BO81" i="319"/>
  <c r="BQ81" i="319" s="1"/>
  <c r="BS81" i="319" s="1"/>
  <c r="BE81" i="319"/>
  <c r="BG81" i="319" s="1"/>
  <c r="BI81" i="319" s="1"/>
  <c r="AO81" i="319"/>
  <c r="AQ81" i="319" s="1"/>
  <c r="AG81" i="319"/>
  <c r="AI81" i="319" s="1"/>
  <c r="Y81" i="319"/>
  <c r="AA81" i="319" s="1"/>
  <c r="Q81" i="319"/>
  <c r="S81" i="319" s="1"/>
  <c r="I81" i="319"/>
  <c r="K81" i="319" s="1"/>
  <c r="A81" i="319"/>
  <c r="C81" i="319" s="1"/>
  <c r="CL80" i="319"/>
  <c r="CN80" i="319" s="1"/>
  <c r="CV80" i="319" s="1"/>
  <c r="CD80" i="319"/>
  <c r="CF80" i="319" s="1"/>
  <c r="CH80" i="319" s="1"/>
  <c r="BW80" i="319"/>
  <c r="BY80" i="319" s="1"/>
  <c r="CA80" i="319" s="1"/>
  <c r="BO80" i="319"/>
  <c r="BQ80" i="319" s="1"/>
  <c r="BS80" i="319" s="1"/>
  <c r="BE80" i="319"/>
  <c r="BG80" i="319" s="1"/>
  <c r="BI80" i="319" s="1"/>
  <c r="AO80" i="319"/>
  <c r="AQ80" i="319" s="1"/>
  <c r="AG80" i="319"/>
  <c r="AI80" i="319" s="1"/>
  <c r="Y80" i="319"/>
  <c r="AA80" i="319" s="1"/>
  <c r="Q80" i="319"/>
  <c r="S80" i="319" s="1"/>
  <c r="I80" i="319"/>
  <c r="K80" i="319" s="1"/>
  <c r="A80" i="319"/>
  <c r="C80" i="319" s="1"/>
  <c r="CL79" i="319"/>
  <c r="CN79" i="319" s="1"/>
  <c r="CV79" i="319" s="1"/>
  <c r="CD79" i="319"/>
  <c r="CF79" i="319" s="1"/>
  <c r="CH79" i="319" s="1"/>
  <c r="BW79" i="319"/>
  <c r="BY79" i="319" s="1"/>
  <c r="CA79" i="319" s="1"/>
  <c r="BO79" i="319"/>
  <c r="BQ79" i="319" s="1"/>
  <c r="BS79" i="319" s="1"/>
  <c r="BE79" i="319"/>
  <c r="BG79" i="319" s="1"/>
  <c r="BI79" i="319" s="1"/>
  <c r="AO79" i="319"/>
  <c r="AQ79" i="319" s="1"/>
  <c r="AG79" i="319"/>
  <c r="AI79" i="319" s="1"/>
  <c r="Y79" i="319"/>
  <c r="AA79" i="319" s="1"/>
  <c r="Q79" i="319"/>
  <c r="S79" i="319" s="1"/>
  <c r="I79" i="319"/>
  <c r="K79" i="319" s="1"/>
  <c r="A79" i="319"/>
  <c r="C79" i="319" s="1"/>
  <c r="CL78" i="319"/>
  <c r="CN78" i="319" s="1"/>
  <c r="CV78" i="319" s="1"/>
  <c r="CD78" i="319"/>
  <c r="CF78" i="319" s="1"/>
  <c r="CH78" i="319" s="1"/>
  <c r="BW78" i="319"/>
  <c r="BY78" i="319" s="1"/>
  <c r="CA78" i="319" s="1"/>
  <c r="BO78" i="319"/>
  <c r="BQ78" i="319" s="1"/>
  <c r="BS78" i="319" s="1"/>
  <c r="BE78" i="319"/>
  <c r="BG78" i="319" s="1"/>
  <c r="BI78" i="319" s="1"/>
  <c r="AO78" i="319"/>
  <c r="AQ78" i="319" s="1"/>
  <c r="AG78" i="319"/>
  <c r="AI78" i="319" s="1"/>
  <c r="Y78" i="319"/>
  <c r="AA78" i="319" s="1"/>
  <c r="Q78" i="319"/>
  <c r="S78" i="319" s="1"/>
  <c r="I78" i="319"/>
  <c r="K78" i="319" s="1"/>
  <c r="A78" i="319"/>
  <c r="C78" i="319" s="1"/>
  <c r="CL77" i="319"/>
  <c r="CN77" i="319" s="1"/>
  <c r="CV77" i="319" s="1"/>
  <c r="CD77" i="319"/>
  <c r="CF77" i="319" s="1"/>
  <c r="CH77" i="319" s="1"/>
  <c r="BW77" i="319"/>
  <c r="BY77" i="319" s="1"/>
  <c r="CA77" i="319" s="1"/>
  <c r="BO77" i="319"/>
  <c r="BQ77" i="319" s="1"/>
  <c r="BS77" i="319" s="1"/>
  <c r="BE77" i="319"/>
  <c r="BG77" i="319" s="1"/>
  <c r="BI77" i="319" s="1"/>
  <c r="AO77" i="319"/>
  <c r="AQ77" i="319" s="1"/>
  <c r="AG77" i="319"/>
  <c r="AI77" i="319" s="1"/>
  <c r="Y77" i="319"/>
  <c r="AA77" i="319" s="1"/>
  <c r="Q77" i="319"/>
  <c r="S77" i="319" s="1"/>
  <c r="I77" i="319"/>
  <c r="K77" i="319" s="1"/>
  <c r="A77" i="319"/>
  <c r="C77" i="319" s="1"/>
  <c r="CL76" i="319"/>
  <c r="CN76" i="319" s="1"/>
  <c r="CV76" i="319" s="1"/>
  <c r="CD76" i="319"/>
  <c r="CF76" i="319" s="1"/>
  <c r="CH76" i="319" s="1"/>
  <c r="BW76" i="319"/>
  <c r="BY76" i="319" s="1"/>
  <c r="CA76" i="319" s="1"/>
  <c r="BO76" i="319"/>
  <c r="BQ76" i="319" s="1"/>
  <c r="BS76" i="319" s="1"/>
  <c r="BE76" i="319"/>
  <c r="BG76" i="319" s="1"/>
  <c r="BI76" i="319" s="1"/>
  <c r="AO76" i="319"/>
  <c r="AQ76" i="319" s="1"/>
  <c r="AG76" i="319"/>
  <c r="AI76" i="319" s="1"/>
  <c r="Y76" i="319"/>
  <c r="AA76" i="319" s="1"/>
  <c r="Q76" i="319"/>
  <c r="S76" i="319" s="1"/>
  <c r="I76" i="319"/>
  <c r="K76" i="319" s="1"/>
  <c r="A76" i="319"/>
  <c r="C76" i="319" s="1"/>
  <c r="CL75" i="319"/>
  <c r="CN75" i="319" s="1"/>
  <c r="CV75" i="319" s="1"/>
  <c r="CD75" i="319"/>
  <c r="CF75" i="319" s="1"/>
  <c r="CH75" i="319" s="1"/>
  <c r="BW75" i="319"/>
  <c r="BY75" i="319" s="1"/>
  <c r="CA75" i="319" s="1"/>
  <c r="BO75" i="319"/>
  <c r="BQ75" i="319" s="1"/>
  <c r="BS75" i="319" s="1"/>
  <c r="BE75" i="319"/>
  <c r="BG75" i="319" s="1"/>
  <c r="BI75" i="319" s="1"/>
  <c r="AO75" i="319"/>
  <c r="AQ75" i="319" s="1"/>
  <c r="AG75" i="319"/>
  <c r="AI75" i="319" s="1"/>
  <c r="Y75" i="319"/>
  <c r="AA75" i="319" s="1"/>
  <c r="Q75" i="319"/>
  <c r="S75" i="319" s="1"/>
  <c r="I75" i="319"/>
  <c r="K75" i="319" s="1"/>
  <c r="A75" i="319"/>
  <c r="C75" i="319" s="1"/>
  <c r="CL74" i="319"/>
  <c r="CN74" i="319" s="1"/>
  <c r="CV74" i="319" s="1"/>
  <c r="CD74" i="319"/>
  <c r="CF74" i="319" s="1"/>
  <c r="CH74" i="319" s="1"/>
  <c r="BW74" i="319"/>
  <c r="BY74" i="319" s="1"/>
  <c r="CA74" i="319" s="1"/>
  <c r="BO74" i="319"/>
  <c r="BQ74" i="319" s="1"/>
  <c r="BS74" i="319" s="1"/>
  <c r="BE74" i="319"/>
  <c r="BG74" i="319" s="1"/>
  <c r="BI74" i="319" s="1"/>
  <c r="AO74" i="319"/>
  <c r="AQ74" i="319" s="1"/>
  <c r="AG74" i="319"/>
  <c r="AI74" i="319" s="1"/>
  <c r="Y74" i="319"/>
  <c r="AA74" i="319" s="1"/>
  <c r="Q74" i="319"/>
  <c r="S74" i="319" s="1"/>
  <c r="I74" i="319"/>
  <c r="K74" i="319" s="1"/>
  <c r="A74" i="319"/>
  <c r="C74" i="319" s="1"/>
  <c r="CL73" i="319"/>
  <c r="CN73" i="319" s="1"/>
  <c r="CV73" i="319" s="1"/>
  <c r="CD73" i="319"/>
  <c r="CF73" i="319" s="1"/>
  <c r="CH73" i="319" s="1"/>
  <c r="BW73" i="319"/>
  <c r="BY73" i="319" s="1"/>
  <c r="CA73" i="319" s="1"/>
  <c r="BO73" i="319"/>
  <c r="BQ73" i="319" s="1"/>
  <c r="BS73" i="319" s="1"/>
  <c r="BE73" i="319"/>
  <c r="BG73" i="319" s="1"/>
  <c r="BI73" i="319" s="1"/>
  <c r="AO73" i="319"/>
  <c r="AQ73" i="319" s="1"/>
  <c r="AG73" i="319"/>
  <c r="AI73" i="319" s="1"/>
  <c r="Y73" i="319"/>
  <c r="AA73" i="319" s="1"/>
  <c r="Q73" i="319"/>
  <c r="S73" i="319" s="1"/>
  <c r="I73" i="319"/>
  <c r="K73" i="319" s="1"/>
  <c r="A73" i="319"/>
  <c r="C73" i="319" s="1"/>
  <c r="CL72" i="319"/>
  <c r="CN72" i="319" s="1"/>
  <c r="CV72" i="319" s="1"/>
  <c r="CD72" i="319"/>
  <c r="CF72" i="319" s="1"/>
  <c r="CH72" i="319" s="1"/>
  <c r="BW72" i="319"/>
  <c r="BY72" i="319" s="1"/>
  <c r="CA72" i="319" s="1"/>
  <c r="BO72" i="319"/>
  <c r="BQ72" i="319" s="1"/>
  <c r="BS72" i="319" s="1"/>
  <c r="BE72" i="319"/>
  <c r="BG72" i="319" s="1"/>
  <c r="BI72" i="319" s="1"/>
  <c r="AO72" i="319"/>
  <c r="AQ72" i="319" s="1"/>
  <c r="AG72" i="319"/>
  <c r="AI72" i="319" s="1"/>
  <c r="Y72" i="319"/>
  <c r="AA72" i="319" s="1"/>
  <c r="Q72" i="319"/>
  <c r="S72" i="319" s="1"/>
  <c r="I72" i="319"/>
  <c r="K72" i="319" s="1"/>
  <c r="A72" i="319"/>
  <c r="C72" i="319" s="1"/>
  <c r="CL71" i="319"/>
  <c r="CN71" i="319" s="1"/>
  <c r="CV71" i="319" s="1"/>
  <c r="CD71" i="319"/>
  <c r="CF71" i="319" s="1"/>
  <c r="CH71" i="319" s="1"/>
  <c r="BW71" i="319"/>
  <c r="BY71" i="319" s="1"/>
  <c r="CA71" i="319" s="1"/>
  <c r="BO71" i="319"/>
  <c r="BQ71" i="319" s="1"/>
  <c r="BS71" i="319" s="1"/>
  <c r="BE71" i="319"/>
  <c r="BG71" i="319" s="1"/>
  <c r="BI71" i="319" s="1"/>
  <c r="AO71" i="319"/>
  <c r="AQ71" i="319" s="1"/>
  <c r="AG71" i="319"/>
  <c r="AI71" i="319" s="1"/>
  <c r="Y71" i="319"/>
  <c r="AA71" i="319" s="1"/>
  <c r="Q71" i="319"/>
  <c r="S71" i="319" s="1"/>
  <c r="I71" i="319"/>
  <c r="K71" i="319" s="1"/>
  <c r="A71" i="319"/>
  <c r="C71" i="319" s="1"/>
  <c r="CL70" i="319"/>
  <c r="CN70" i="319" s="1"/>
  <c r="CV70" i="319" s="1"/>
  <c r="CD70" i="319"/>
  <c r="CF70" i="319" s="1"/>
  <c r="CH70" i="319" s="1"/>
  <c r="BW70" i="319"/>
  <c r="BY70" i="319" s="1"/>
  <c r="CA70" i="319" s="1"/>
  <c r="BO70" i="319"/>
  <c r="BQ70" i="319" s="1"/>
  <c r="BS70" i="319" s="1"/>
  <c r="BE70" i="319"/>
  <c r="BG70" i="319" s="1"/>
  <c r="BI70" i="319" s="1"/>
  <c r="AO70" i="319"/>
  <c r="AQ70" i="319" s="1"/>
  <c r="AG70" i="319"/>
  <c r="AI70" i="319" s="1"/>
  <c r="Y70" i="319"/>
  <c r="AA70" i="319" s="1"/>
  <c r="Q70" i="319"/>
  <c r="S70" i="319" s="1"/>
  <c r="I70" i="319"/>
  <c r="K70" i="319" s="1"/>
  <c r="A70" i="319"/>
  <c r="C70" i="319" s="1"/>
  <c r="CL69" i="319"/>
  <c r="CN69" i="319" s="1"/>
  <c r="CV69" i="319" s="1"/>
  <c r="CD69" i="319"/>
  <c r="CF69" i="319" s="1"/>
  <c r="CH69" i="319" s="1"/>
  <c r="BW69" i="319"/>
  <c r="BY69" i="319" s="1"/>
  <c r="CA69" i="319" s="1"/>
  <c r="BO69" i="319"/>
  <c r="BQ69" i="319" s="1"/>
  <c r="BS69" i="319" s="1"/>
  <c r="BE69" i="319"/>
  <c r="BG69" i="319" s="1"/>
  <c r="BI69" i="319" s="1"/>
  <c r="AO69" i="319"/>
  <c r="AQ69" i="319" s="1"/>
  <c r="AG69" i="319"/>
  <c r="AI69" i="319" s="1"/>
  <c r="Y69" i="319"/>
  <c r="AA69" i="319" s="1"/>
  <c r="Q69" i="319"/>
  <c r="S69" i="319" s="1"/>
  <c r="I69" i="319"/>
  <c r="K69" i="319" s="1"/>
  <c r="A69" i="319"/>
  <c r="C69" i="319" s="1"/>
  <c r="CL68" i="319"/>
  <c r="CN68" i="319" s="1"/>
  <c r="CV68" i="319" s="1"/>
  <c r="CD68" i="319"/>
  <c r="CF68" i="319" s="1"/>
  <c r="CH68" i="319" s="1"/>
  <c r="BW68" i="319"/>
  <c r="BY68" i="319" s="1"/>
  <c r="CA68" i="319" s="1"/>
  <c r="BO68" i="319"/>
  <c r="BQ68" i="319" s="1"/>
  <c r="BS68" i="319" s="1"/>
  <c r="BE68" i="319"/>
  <c r="BG68" i="319" s="1"/>
  <c r="BI68" i="319" s="1"/>
  <c r="AO68" i="319"/>
  <c r="AQ68" i="319" s="1"/>
  <c r="AG68" i="319"/>
  <c r="AI68" i="319" s="1"/>
  <c r="Y68" i="319"/>
  <c r="AA68" i="319" s="1"/>
  <c r="Q68" i="319"/>
  <c r="S68" i="319" s="1"/>
  <c r="I68" i="319"/>
  <c r="K68" i="319" s="1"/>
  <c r="A68" i="319"/>
  <c r="C68" i="319" s="1"/>
  <c r="CL67" i="319"/>
  <c r="CN67" i="319" s="1"/>
  <c r="CV67" i="319" s="1"/>
  <c r="CD67" i="319"/>
  <c r="CF67" i="319" s="1"/>
  <c r="CH67" i="319" s="1"/>
  <c r="BW67" i="319"/>
  <c r="BY67" i="319" s="1"/>
  <c r="CA67" i="319" s="1"/>
  <c r="BO67" i="319"/>
  <c r="BQ67" i="319" s="1"/>
  <c r="BS67" i="319" s="1"/>
  <c r="BE67" i="319"/>
  <c r="BG67" i="319" s="1"/>
  <c r="BI67" i="319" s="1"/>
  <c r="AO67" i="319"/>
  <c r="AQ67" i="319" s="1"/>
  <c r="AG67" i="319"/>
  <c r="AI67" i="319" s="1"/>
  <c r="Y67" i="319"/>
  <c r="AA67" i="319" s="1"/>
  <c r="Q67" i="319"/>
  <c r="S67" i="319" s="1"/>
  <c r="I67" i="319"/>
  <c r="K67" i="319" s="1"/>
  <c r="A67" i="319"/>
  <c r="C67" i="319" s="1"/>
  <c r="CL66" i="319"/>
  <c r="CN66" i="319" s="1"/>
  <c r="CV66" i="319" s="1"/>
  <c r="CD66" i="319"/>
  <c r="CF66" i="319" s="1"/>
  <c r="CH66" i="319" s="1"/>
  <c r="BW66" i="319"/>
  <c r="BY66" i="319" s="1"/>
  <c r="CA66" i="319" s="1"/>
  <c r="BO66" i="319"/>
  <c r="BQ66" i="319" s="1"/>
  <c r="BS66" i="319" s="1"/>
  <c r="BE66" i="319"/>
  <c r="BG66" i="319" s="1"/>
  <c r="BI66" i="319" s="1"/>
  <c r="AO66" i="319"/>
  <c r="AQ66" i="319" s="1"/>
  <c r="AG66" i="319"/>
  <c r="AI66" i="319" s="1"/>
  <c r="Y66" i="319"/>
  <c r="AA66" i="319" s="1"/>
  <c r="Q66" i="319"/>
  <c r="S66" i="319" s="1"/>
  <c r="I66" i="319"/>
  <c r="K66" i="319" s="1"/>
  <c r="A66" i="319"/>
  <c r="C66" i="319" s="1"/>
  <c r="CL65" i="319"/>
  <c r="CN65" i="319" s="1"/>
  <c r="CV65" i="319" s="1"/>
  <c r="CD65" i="319"/>
  <c r="CF65" i="319" s="1"/>
  <c r="CH65" i="319" s="1"/>
  <c r="BW65" i="319"/>
  <c r="BY65" i="319" s="1"/>
  <c r="CA65" i="319" s="1"/>
  <c r="BO65" i="319"/>
  <c r="BQ65" i="319" s="1"/>
  <c r="BS65" i="319" s="1"/>
  <c r="BE65" i="319"/>
  <c r="BG65" i="319" s="1"/>
  <c r="BI65" i="319" s="1"/>
  <c r="AO65" i="319"/>
  <c r="AQ65" i="319" s="1"/>
  <c r="AG65" i="319"/>
  <c r="AI65" i="319" s="1"/>
  <c r="Y65" i="319"/>
  <c r="AA65" i="319" s="1"/>
  <c r="Q65" i="319"/>
  <c r="S65" i="319" s="1"/>
  <c r="I65" i="319"/>
  <c r="K65" i="319" s="1"/>
  <c r="A65" i="319"/>
  <c r="C65" i="319" s="1"/>
  <c r="CL64" i="319"/>
  <c r="CN64" i="319" s="1"/>
  <c r="CV64" i="319" s="1"/>
  <c r="CD64" i="319"/>
  <c r="CF64" i="319" s="1"/>
  <c r="CH64" i="319" s="1"/>
  <c r="BW64" i="319"/>
  <c r="BY64" i="319" s="1"/>
  <c r="CA64" i="319" s="1"/>
  <c r="BO64" i="319"/>
  <c r="BQ64" i="319" s="1"/>
  <c r="BS64" i="319" s="1"/>
  <c r="BE64" i="319"/>
  <c r="BG64" i="319" s="1"/>
  <c r="BI64" i="319" s="1"/>
  <c r="AO64" i="319"/>
  <c r="AQ64" i="319" s="1"/>
  <c r="AG64" i="319"/>
  <c r="AI64" i="319" s="1"/>
  <c r="Y64" i="319"/>
  <c r="AA64" i="319" s="1"/>
  <c r="Q64" i="319"/>
  <c r="S64" i="319" s="1"/>
  <c r="I64" i="319"/>
  <c r="K64" i="319" s="1"/>
  <c r="A64" i="319"/>
  <c r="C64" i="319" s="1"/>
  <c r="CL63" i="319"/>
  <c r="CN63" i="319" s="1"/>
  <c r="CV63" i="319" s="1"/>
  <c r="CD63" i="319"/>
  <c r="CF63" i="319" s="1"/>
  <c r="CH63" i="319" s="1"/>
  <c r="BW63" i="319"/>
  <c r="BY63" i="319" s="1"/>
  <c r="CA63" i="319" s="1"/>
  <c r="BO63" i="319"/>
  <c r="BQ63" i="319" s="1"/>
  <c r="BS63" i="319" s="1"/>
  <c r="BE63" i="319"/>
  <c r="BG63" i="319" s="1"/>
  <c r="BI63" i="319" s="1"/>
  <c r="AO63" i="319"/>
  <c r="AQ63" i="319" s="1"/>
  <c r="AG63" i="319"/>
  <c r="AI63" i="319" s="1"/>
  <c r="Y63" i="319"/>
  <c r="AA63" i="319" s="1"/>
  <c r="Q63" i="319"/>
  <c r="S63" i="319" s="1"/>
  <c r="I63" i="319"/>
  <c r="K63" i="319" s="1"/>
  <c r="A63" i="319"/>
  <c r="C63" i="319" s="1"/>
  <c r="CL62" i="319"/>
  <c r="CN62" i="319" s="1"/>
  <c r="CV62" i="319" s="1"/>
  <c r="CD62" i="319"/>
  <c r="CF62" i="319" s="1"/>
  <c r="CH62" i="319" s="1"/>
  <c r="BW62" i="319"/>
  <c r="BY62" i="319" s="1"/>
  <c r="CA62" i="319" s="1"/>
  <c r="BO62" i="319"/>
  <c r="BQ62" i="319" s="1"/>
  <c r="BS62" i="319" s="1"/>
  <c r="BE62" i="319"/>
  <c r="BG62" i="319" s="1"/>
  <c r="BI62" i="319" s="1"/>
  <c r="AO62" i="319"/>
  <c r="AQ62" i="319" s="1"/>
  <c r="AG62" i="319"/>
  <c r="AI62" i="319" s="1"/>
  <c r="Y62" i="319"/>
  <c r="AA62" i="319" s="1"/>
  <c r="Q62" i="319"/>
  <c r="S62" i="319" s="1"/>
  <c r="I62" i="319"/>
  <c r="K62" i="319" s="1"/>
  <c r="A62" i="319"/>
  <c r="C62" i="319" s="1"/>
  <c r="CL61" i="319"/>
  <c r="CN61" i="319" s="1"/>
  <c r="CV61" i="319" s="1"/>
  <c r="CD61" i="319"/>
  <c r="CF61" i="319" s="1"/>
  <c r="CH61" i="319" s="1"/>
  <c r="BW61" i="319"/>
  <c r="BY61" i="319" s="1"/>
  <c r="CA61" i="319" s="1"/>
  <c r="BO61" i="319"/>
  <c r="BQ61" i="319" s="1"/>
  <c r="BS61" i="319" s="1"/>
  <c r="BE61" i="319"/>
  <c r="BG61" i="319" s="1"/>
  <c r="BI61" i="319" s="1"/>
  <c r="AO61" i="319"/>
  <c r="AQ61" i="319" s="1"/>
  <c r="AG61" i="319"/>
  <c r="AI61" i="319" s="1"/>
  <c r="Y61" i="319"/>
  <c r="AA61" i="319" s="1"/>
  <c r="Q61" i="319"/>
  <c r="S61" i="319" s="1"/>
  <c r="I61" i="319"/>
  <c r="K61" i="319" s="1"/>
  <c r="A61" i="319"/>
  <c r="C61" i="319" s="1"/>
  <c r="CL60" i="319"/>
  <c r="CN60" i="319" s="1"/>
  <c r="CV60" i="319" s="1"/>
  <c r="CD60" i="319"/>
  <c r="CF60" i="319" s="1"/>
  <c r="CH60" i="319" s="1"/>
  <c r="BW60" i="319"/>
  <c r="BY60" i="319" s="1"/>
  <c r="CA60" i="319" s="1"/>
  <c r="BO60" i="319"/>
  <c r="BQ60" i="319" s="1"/>
  <c r="BS60" i="319" s="1"/>
  <c r="BE60" i="319"/>
  <c r="BG60" i="319" s="1"/>
  <c r="BI60" i="319" s="1"/>
  <c r="AO60" i="319"/>
  <c r="AQ60" i="319" s="1"/>
  <c r="AG60" i="319"/>
  <c r="AI60" i="319" s="1"/>
  <c r="Y60" i="319"/>
  <c r="AA60" i="319" s="1"/>
  <c r="Q60" i="319"/>
  <c r="S60" i="319" s="1"/>
  <c r="I60" i="319"/>
  <c r="K60" i="319" s="1"/>
  <c r="A60" i="319"/>
  <c r="C60" i="319" s="1"/>
  <c r="CL59" i="319"/>
  <c r="CN59" i="319" s="1"/>
  <c r="CV59" i="319" s="1"/>
  <c r="CD59" i="319"/>
  <c r="CF59" i="319" s="1"/>
  <c r="CH59" i="319" s="1"/>
  <c r="BW59" i="319"/>
  <c r="BY59" i="319" s="1"/>
  <c r="CA59" i="319" s="1"/>
  <c r="BO59" i="319"/>
  <c r="BQ59" i="319" s="1"/>
  <c r="BS59" i="319" s="1"/>
  <c r="BE59" i="319"/>
  <c r="BG59" i="319" s="1"/>
  <c r="BI59" i="319" s="1"/>
  <c r="AO59" i="319"/>
  <c r="AQ59" i="319" s="1"/>
  <c r="AG59" i="319"/>
  <c r="AI59" i="319" s="1"/>
  <c r="Y59" i="319"/>
  <c r="AA59" i="319" s="1"/>
  <c r="Q59" i="319"/>
  <c r="S59" i="319" s="1"/>
  <c r="I59" i="319"/>
  <c r="K59" i="319" s="1"/>
  <c r="A59" i="319"/>
  <c r="C59" i="319" s="1"/>
  <c r="CL58" i="319"/>
  <c r="CN58" i="319" s="1"/>
  <c r="CV58" i="319" s="1"/>
  <c r="CD58" i="319"/>
  <c r="CF58" i="319" s="1"/>
  <c r="CH58" i="319" s="1"/>
  <c r="BW58" i="319"/>
  <c r="BY58" i="319" s="1"/>
  <c r="CA58" i="319" s="1"/>
  <c r="BO58" i="319"/>
  <c r="BQ58" i="319" s="1"/>
  <c r="BS58" i="319" s="1"/>
  <c r="BE58" i="319"/>
  <c r="BG58" i="319" s="1"/>
  <c r="BI58" i="319" s="1"/>
  <c r="AO58" i="319"/>
  <c r="AQ58" i="319" s="1"/>
  <c r="AG58" i="319"/>
  <c r="AI58" i="319" s="1"/>
  <c r="Y58" i="319"/>
  <c r="AA58" i="319" s="1"/>
  <c r="Q58" i="319"/>
  <c r="S58" i="319" s="1"/>
  <c r="I58" i="319"/>
  <c r="K58" i="319" s="1"/>
  <c r="A58" i="319"/>
  <c r="C58" i="319" s="1"/>
  <c r="CL57" i="319"/>
  <c r="CN57" i="319" s="1"/>
  <c r="CV57" i="319" s="1"/>
  <c r="CD57" i="319"/>
  <c r="CF57" i="319" s="1"/>
  <c r="CH57" i="319" s="1"/>
  <c r="BW57" i="319"/>
  <c r="BY57" i="319" s="1"/>
  <c r="CA57" i="319" s="1"/>
  <c r="BO57" i="319"/>
  <c r="BQ57" i="319" s="1"/>
  <c r="BS57" i="319" s="1"/>
  <c r="BE57" i="319"/>
  <c r="BG57" i="319" s="1"/>
  <c r="BI57" i="319" s="1"/>
  <c r="AW57" i="319"/>
  <c r="AO57" i="319"/>
  <c r="AQ57" i="319" s="1"/>
  <c r="AG57" i="319"/>
  <c r="AI57" i="319" s="1"/>
  <c r="Y57" i="319"/>
  <c r="AA57" i="319" s="1"/>
  <c r="Q57" i="319"/>
  <c r="S57" i="319" s="1"/>
  <c r="I57" i="319"/>
  <c r="K57" i="319" s="1"/>
  <c r="A57" i="319"/>
  <c r="C57" i="319" s="1"/>
  <c r="CL56" i="319"/>
  <c r="CN56" i="319" s="1"/>
  <c r="CV56" i="319" s="1"/>
  <c r="CD56" i="319"/>
  <c r="CF56" i="319" s="1"/>
  <c r="CH56" i="319" s="1"/>
  <c r="BW56" i="319"/>
  <c r="BY56" i="319" s="1"/>
  <c r="CA56" i="319" s="1"/>
  <c r="BO56" i="319"/>
  <c r="BQ56" i="319" s="1"/>
  <c r="BS56" i="319" s="1"/>
  <c r="BE56" i="319"/>
  <c r="BG56" i="319" s="1"/>
  <c r="BI56" i="319" s="1"/>
  <c r="AW56" i="319"/>
  <c r="AO56" i="319"/>
  <c r="AQ56" i="319" s="1"/>
  <c r="AG56" i="319"/>
  <c r="AI56" i="319" s="1"/>
  <c r="Y56" i="319"/>
  <c r="AA56" i="319" s="1"/>
  <c r="Q56" i="319"/>
  <c r="S56" i="319" s="1"/>
  <c r="I56" i="319"/>
  <c r="K56" i="319" s="1"/>
  <c r="A56" i="319"/>
  <c r="C56" i="319" s="1"/>
  <c r="CL55" i="319"/>
  <c r="CN55" i="319" s="1"/>
  <c r="CV55" i="319" s="1"/>
  <c r="CD55" i="319"/>
  <c r="CF55" i="319" s="1"/>
  <c r="CH55" i="319" s="1"/>
  <c r="BW55" i="319"/>
  <c r="BY55" i="319" s="1"/>
  <c r="CA55" i="319" s="1"/>
  <c r="BO55" i="319"/>
  <c r="BQ55" i="319" s="1"/>
  <c r="BS55" i="319" s="1"/>
  <c r="BE55" i="319"/>
  <c r="BG55" i="319" s="1"/>
  <c r="BI55" i="319" s="1"/>
  <c r="AW55" i="319"/>
  <c r="AO55" i="319"/>
  <c r="AQ55" i="319" s="1"/>
  <c r="AG55" i="319"/>
  <c r="AI55" i="319" s="1"/>
  <c r="Y55" i="319"/>
  <c r="AA55" i="319" s="1"/>
  <c r="Q55" i="319"/>
  <c r="S55" i="319" s="1"/>
  <c r="I55" i="319"/>
  <c r="K55" i="319" s="1"/>
  <c r="A55" i="319"/>
  <c r="C55" i="319" s="1"/>
  <c r="CL54" i="319"/>
  <c r="CN54" i="319" s="1"/>
  <c r="CV54" i="319" s="1"/>
  <c r="CD54" i="319"/>
  <c r="CF54" i="319" s="1"/>
  <c r="CH54" i="319" s="1"/>
  <c r="BW54" i="319"/>
  <c r="BY54" i="319" s="1"/>
  <c r="CA54" i="319" s="1"/>
  <c r="BO54" i="319"/>
  <c r="BQ54" i="319" s="1"/>
  <c r="BS54" i="319" s="1"/>
  <c r="BE54" i="319"/>
  <c r="BG54" i="319" s="1"/>
  <c r="BI54" i="319" s="1"/>
  <c r="AW54" i="319"/>
  <c r="AO54" i="319"/>
  <c r="AQ54" i="319" s="1"/>
  <c r="AG54" i="319"/>
  <c r="AI54" i="319" s="1"/>
  <c r="Y54" i="319"/>
  <c r="AA54" i="319" s="1"/>
  <c r="Q54" i="319"/>
  <c r="S54" i="319" s="1"/>
  <c r="I54" i="319"/>
  <c r="K54" i="319" s="1"/>
  <c r="A54" i="319"/>
  <c r="C54" i="319" s="1"/>
  <c r="CL53" i="319"/>
  <c r="CN53" i="319" s="1"/>
  <c r="CV53" i="319" s="1"/>
  <c r="CD53" i="319"/>
  <c r="CF53" i="319" s="1"/>
  <c r="CH53" i="319" s="1"/>
  <c r="BW53" i="319"/>
  <c r="BY53" i="319" s="1"/>
  <c r="CA53" i="319" s="1"/>
  <c r="BO53" i="319"/>
  <c r="BQ53" i="319" s="1"/>
  <c r="BS53" i="319" s="1"/>
  <c r="BE53" i="319"/>
  <c r="BG53" i="319" s="1"/>
  <c r="BI53" i="319" s="1"/>
  <c r="AW53" i="319"/>
  <c r="AO53" i="319"/>
  <c r="AQ53" i="319" s="1"/>
  <c r="AG53" i="319"/>
  <c r="AI53" i="319" s="1"/>
  <c r="Y53" i="319"/>
  <c r="AA53" i="319" s="1"/>
  <c r="Q53" i="319"/>
  <c r="S53" i="319" s="1"/>
  <c r="I53" i="319"/>
  <c r="K53" i="319" s="1"/>
  <c r="A53" i="319"/>
  <c r="C53" i="319" s="1"/>
  <c r="CL52" i="319"/>
  <c r="CN52" i="319" s="1"/>
  <c r="CV52" i="319" s="1"/>
  <c r="CD52" i="319"/>
  <c r="CF52" i="319" s="1"/>
  <c r="CH52" i="319" s="1"/>
  <c r="BW52" i="319"/>
  <c r="BY52" i="319" s="1"/>
  <c r="CA52" i="319" s="1"/>
  <c r="BO52" i="319"/>
  <c r="BQ52" i="319" s="1"/>
  <c r="BS52" i="319" s="1"/>
  <c r="BE52" i="319"/>
  <c r="BG52" i="319" s="1"/>
  <c r="BI52" i="319" s="1"/>
  <c r="AW52" i="319"/>
  <c r="AO52" i="319"/>
  <c r="AQ52" i="319" s="1"/>
  <c r="AG52" i="319"/>
  <c r="AI52" i="319" s="1"/>
  <c r="Y52" i="319"/>
  <c r="AA52" i="319" s="1"/>
  <c r="Q52" i="319"/>
  <c r="S52" i="319" s="1"/>
  <c r="I52" i="319"/>
  <c r="K52" i="319" s="1"/>
  <c r="A52" i="319"/>
  <c r="C52" i="319" s="1"/>
  <c r="CL51" i="319"/>
  <c r="CN51" i="319" s="1"/>
  <c r="CV51" i="319" s="1"/>
  <c r="CD51" i="319"/>
  <c r="CF51" i="319" s="1"/>
  <c r="CH51" i="319" s="1"/>
  <c r="BW51" i="319"/>
  <c r="BY51" i="319" s="1"/>
  <c r="CA51" i="319" s="1"/>
  <c r="BO51" i="319"/>
  <c r="BQ51" i="319" s="1"/>
  <c r="BS51" i="319" s="1"/>
  <c r="BE51" i="319"/>
  <c r="BG51" i="319" s="1"/>
  <c r="BI51" i="319" s="1"/>
  <c r="AW51" i="319"/>
  <c r="AO51" i="319"/>
  <c r="AQ51" i="319" s="1"/>
  <c r="AG51" i="319"/>
  <c r="AI51" i="319" s="1"/>
  <c r="Y51" i="319"/>
  <c r="AA51" i="319" s="1"/>
  <c r="Q51" i="319"/>
  <c r="S51" i="319" s="1"/>
  <c r="I51" i="319"/>
  <c r="K51" i="319" s="1"/>
  <c r="A51" i="319"/>
  <c r="C51" i="319" s="1"/>
  <c r="CL50" i="319"/>
  <c r="CN50" i="319" s="1"/>
  <c r="CV50" i="319" s="1"/>
  <c r="CD50" i="319"/>
  <c r="CF50" i="319" s="1"/>
  <c r="CH50" i="319" s="1"/>
  <c r="BW50" i="319"/>
  <c r="BY50" i="319" s="1"/>
  <c r="CA50" i="319" s="1"/>
  <c r="BO50" i="319"/>
  <c r="BQ50" i="319" s="1"/>
  <c r="BS50" i="319" s="1"/>
  <c r="BE50" i="319"/>
  <c r="BG50" i="319" s="1"/>
  <c r="BI50" i="319" s="1"/>
  <c r="AW50" i="319"/>
  <c r="AO50" i="319"/>
  <c r="AQ50" i="319" s="1"/>
  <c r="AG50" i="319"/>
  <c r="AI50" i="319" s="1"/>
  <c r="Y50" i="319"/>
  <c r="AA50" i="319" s="1"/>
  <c r="Q50" i="319"/>
  <c r="S50" i="319" s="1"/>
  <c r="I50" i="319"/>
  <c r="K50" i="319" s="1"/>
  <c r="A50" i="319"/>
  <c r="C50" i="319" s="1"/>
  <c r="CL49" i="319"/>
  <c r="CN49" i="319" s="1"/>
  <c r="CV49" i="319" s="1"/>
  <c r="CD49" i="319"/>
  <c r="CF49" i="319" s="1"/>
  <c r="CH49" i="319" s="1"/>
  <c r="BW49" i="319"/>
  <c r="BY49" i="319" s="1"/>
  <c r="CA49" i="319" s="1"/>
  <c r="BO49" i="319"/>
  <c r="BQ49" i="319" s="1"/>
  <c r="BS49" i="319" s="1"/>
  <c r="BE49" i="319"/>
  <c r="BG49" i="319" s="1"/>
  <c r="BI49" i="319" s="1"/>
  <c r="AW49" i="319"/>
  <c r="AO49" i="319"/>
  <c r="AQ49" i="319" s="1"/>
  <c r="AG49" i="319"/>
  <c r="AI49" i="319" s="1"/>
  <c r="Y49" i="319"/>
  <c r="AA49" i="319" s="1"/>
  <c r="Q49" i="319"/>
  <c r="S49" i="319" s="1"/>
  <c r="I49" i="319"/>
  <c r="K49" i="319" s="1"/>
  <c r="A49" i="319"/>
  <c r="C49" i="319" s="1"/>
  <c r="CL48" i="319"/>
  <c r="CN48" i="319" s="1"/>
  <c r="CV48" i="319" s="1"/>
  <c r="CD48" i="319"/>
  <c r="CF48" i="319" s="1"/>
  <c r="CH48" i="319" s="1"/>
  <c r="BW48" i="319"/>
  <c r="BY48" i="319" s="1"/>
  <c r="CA48" i="319" s="1"/>
  <c r="BO48" i="319"/>
  <c r="BQ48" i="319" s="1"/>
  <c r="BS48" i="319" s="1"/>
  <c r="BE48" i="319"/>
  <c r="BG48" i="319" s="1"/>
  <c r="BI48" i="319" s="1"/>
  <c r="AW48" i="319"/>
  <c r="AO48" i="319"/>
  <c r="AQ48" i="319" s="1"/>
  <c r="AG48" i="319"/>
  <c r="AI48" i="319" s="1"/>
  <c r="Y48" i="319"/>
  <c r="AA48" i="319" s="1"/>
  <c r="Q48" i="319"/>
  <c r="S48" i="319" s="1"/>
  <c r="I48" i="319"/>
  <c r="K48" i="319" s="1"/>
  <c r="A48" i="319"/>
  <c r="C48" i="319" s="1"/>
  <c r="CL47" i="319"/>
  <c r="CN47" i="319" s="1"/>
  <c r="CV47" i="319" s="1"/>
  <c r="CD47" i="319"/>
  <c r="CF47" i="319" s="1"/>
  <c r="CH47" i="319" s="1"/>
  <c r="BW47" i="319"/>
  <c r="BY47" i="319" s="1"/>
  <c r="CA47" i="319" s="1"/>
  <c r="BO47" i="319"/>
  <c r="BQ47" i="319" s="1"/>
  <c r="BS47" i="319" s="1"/>
  <c r="BE47" i="319"/>
  <c r="BG47" i="319" s="1"/>
  <c r="BI47" i="319" s="1"/>
  <c r="AW47" i="319"/>
  <c r="AQ47" i="319"/>
  <c r="AO47" i="319"/>
  <c r="AG47" i="319"/>
  <c r="AI47" i="319" s="1"/>
  <c r="Y47" i="319"/>
  <c r="AA47" i="319" s="1"/>
  <c r="Q47" i="319"/>
  <c r="S47" i="319" s="1"/>
  <c r="I47" i="319"/>
  <c r="K47" i="319" s="1"/>
  <c r="A47" i="319"/>
  <c r="C47" i="319" s="1"/>
  <c r="CL46" i="319"/>
  <c r="CN46" i="319" s="1"/>
  <c r="CV46" i="319" s="1"/>
  <c r="CD46" i="319"/>
  <c r="CF46" i="319" s="1"/>
  <c r="CH46" i="319" s="1"/>
  <c r="BW46" i="319"/>
  <c r="BY46" i="319" s="1"/>
  <c r="CA46" i="319" s="1"/>
  <c r="BO46" i="319"/>
  <c r="BQ46" i="319" s="1"/>
  <c r="BS46" i="319" s="1"/>
  <c r="BE46" i="319"/>
  <c r="BG46" i="319" s="1"/>
  <c r="BI46" i="319" s="1"/>
  <c r="AW46" i="319"/>
  <c r="AO46" i="319"/>
  <c r="AQ46" i="319" s="1"/>
  <c r="AG46" i="319"/>
  <c r="AI46" i="319" s="1"/>
  <c r="Y46" i="319"/>
  <c r="AA46" i="319" s="1"/>
  <c r="Q46" i="319"/>
  <c r="S46" i="319" s="1"/>
  <c r="I46" i="319"/>
  <c r="K46" i="319" s="1"/>
  <c r="A46" i="319"/>
  <c r="C46" i="319" s="1"/>
  <c r="CL45" i="319"/>
  <c r="CN45" i="319" s="1"/>
  <c r="CV45" i="319" s="1"/>
  <c r="CD45" i="319"/>
  <c r="CF45" i="319" s="1"/>
  <c r="CH45" i="319" s="1"/>
  <c r="BW45" i="319"/>
  <c r="BY45" i="319" s="1"/>
  <c r="CA45" i="319" s="1"/>
  <c r="BO45" i="319"/>
  <c r="BQ45" i="319" s="1"/>
  <c r="BS45" i="319" s="1"/>
  <c r="BE45" i="319"/>
  <c r="BG45" i="319" s="1"/>
  <c r="BI45" i="319" s="1"/>
  <c r="AW45" i="319"/>
  <c r="AO45" i="319"/>
  <c r="AQ45" i="319" s="1"/>
  <c r="AG45" i="319"/>
  <c r="AI45" i="319" s="1"/>
  <c r="Y45" i="319"/>
  <c r="AA45" i="319" s="1"/>
  <c r="Q45" i="319"/>
  <c r="S45" i="319" s="1"/>
  <c r="I45" i="319"/>
  <c r="K45" i="319" s="1"/>
  <c r="A45" i="319"/>
  <c r="C45" i="319" s="1"/>
  <c r="CL44" i="319"/>
  <c r="CN44" i="319" s="1"/>
  <c r="CV44" i="319" s="1"/>
  <c r="CD44" i="319"/>
  <c r="CF44" i="319" s="1"/>
  <c r="CH44" i="319" s="1"/>
  <c r="BW44" i="319"/>
  <c r="BY44" i="319" s="1"/>
  <c r="CA44" i="319" s="1"/>
  <c r="BO44" i="319"/>
  <c r="BQ44" i="319" s="1"/>
  <c r="BS44" i="319" s="1"/>
  <c r="BE44" i="319"/>
  <c r="BG44" i="319" s="1"/>
  <c r="BI44" i="319" s="1"/>
  <c r="AW44" i="319"/>
  <c r="AO44" i="319"/>
  <c r="AQ44" i="319" s="1"/>
  <c r="AG44" i="319"/>
  <c r="AI44" i="319" s="1"/>
  <c r="Y44" i="319"/>
  <c r="AA44" i="319" s="1"/>
  <c r="Q44" i="319"/>
  <c r="S44" i="319" s="1"/>
  <c r="I44" i="319"/>
  <c r="K44" i="319" s="1"/>
  <c r="A44" i="319"/>
  <c r="C44" i="319" s="1"/>
  <c r="CL43" i="319"/>
  <c r="CN43" i="319" s="1"/>
  <c r="CV43" i="319" s="1"/>
  <c r="CD43" i="319"/>
  <c r="CF43" i="319" s="1"/>
  <c r="CH43" i="319" s="1"/>
  <c r="BW43" i="319"/>
  <c r="BY43" i="319" s="1"/>
  <c r="CA43" i="319" s="1"/>
  <c r="BO43" i="319"/>
  <c r="BQ43" i="319" s="1"/>
  <c r="BS43" i="319" s="1"/>
  <c r="BE43" i="319"/>
  <c r="BG43" i="319" s="1"/>
  <c r="BI43" i="319" s="1"/>
  <c r="AW43" i="319"/>
  <c r="AO43" i="319"/>
  <c r="AQ43" i="319" s="1"/>
  <c r="AG43" i="319"/>
  <c r="AI43" i="319" s="1"/>
  <c r="Y43" i="319"/>
  <c r="AA43" i="319" s="1"/>
  <c r="Q43" i="319"/>
  <c r="S43" i="319" s="1"/>
  <c r="I43" i="319"/>
  <c r="K43" i="319" s="1"/>
  <c r="A43" i="319"/>
  <c r="C43" i="319" s="1"/>
  <c r="CL42" i="319"/>
  <c r="CN42" i="319" s="1"/>
  <c r="CV42" i="319" s="1"/>
  <c r="CD42" i="319"/>
  <c r="CF42" i="319" s="1"/>
  <c r="CH42" i="319" s="1"/>
  <c r="BW42" i="319"/>
  <c r="BY42" i="319" s="1"/>
  <c r="CA42" i="319" s="1"/>
  <c r="BO42" i="319"/>
  <c r="BQ42" i="319" s="1"/>
  <c r="BS42" i="319" s="1"/>
  <c r="BE42" i="319"/>
  <c r="BG42" i="319" s="1"/>
  <c r="BI42" i="319" s="1"/>
  <c r="AW42" i="319"/>
  <c r="AO42" i="319"/>
  <c r="AQ42" i="319" s="1"/>
  <c r="AG42" i="319"/>
  <c r="AI42" i="319" s="1"/>
  <c r="Y42" i="319"/>
  <c r="AA42" i="319" s="1"/>
  <c r="Q42" i="319"/>
  <c r="S42" i="319" s="1"/>
  <c r="I42" i="319"/>
  <c r="K42" i="319" s="1"/>
  <c r="A42" i="319"/>
  <c r="C42" i="319" s="1"/>
  <c r="CL41" i="319"/>
  <c r="CN41" i="319" s="1"/>
  <c r="CV41" i="319" s="1"/>
  <c r="CD41" i="319"/>
  <c r="CF41" i="319" s="1"/>
  <c r="CH41" i="319" s="1"/>
  <c r="BW41" i="319"/>
  <c r="BY41" i="319" s="1"/>
  <c r="CA41" i="319" s="1"/>
  <c r="BO41" i="319"/>
  <c r="BQ41" i="319" s="1"/>
  <c r="BS41" i="319" s="1"/>
  <c r="BE41" i="319"/>
  <c r="BG41" i="319" s="1"/>
  <c r="BI41" i="319" s="1"/>
  <c r="AW41" i="319"/>
  <c r="AO41" i="319"/>
  <c r="AQ41" i="319" s="1"/>
  <c r="AG41" i="319"/>
  <c r="AI41" i="319" s="1"/>
  <c r="Y41" i="319"/>
  <c r="AA41" i="319" s="1"/>
  <c r="Q41" i="319"/>
  <c r="S41" i="319" s="1"/>
  <c r="I41" i="319"/>
  <c r="K41" i="319" s="1"/>
  <c r="A41" i="319"/>
  <c r="C41" i="319" s="1"/>
  <c r="CL40" i="319"/>
  <c r="CN40" i="319" s="1"/>
  <c r="CV40" i="319" s="1"/>
  <c r="CD40" i="319"/>
  <c r="CF40" i="319" s="1"/>
  <c r="CH40" i="319" s="1"/>
  <c r="BW40" i="319"/>
  <c r="BY40" i="319" s="1"/>
  <c r="CA40" i="319" s="1"/>
  <c r="BO40" i="319"/>
  <c r="BQ40" i="319" s="1"/>
  <c r="BS40" i="319" s="1"/>
  <c r="BE40" i="319"/>
  <c r="BG40" i="319" s="1"/>
  <c r="BI40" i="319" s="1"/>
  <c r="AW40" i="319"/>
  <c r="AO40" i="319"/>
  <c r="AQ40" i="319" s="1"/>
  <c r="AG40" i="319"/>
  <c r="AI40" i="319" s="1"/>
  <c r="Y40" i="319"/>
  <c r="AA40" i="319" s="1"/>
  <c r="Q40" i="319"/>
  <c r="S40" i="319" s="1"/>
  <c r="I40" i="319"/>
  <c r="K40" i="319" s="1"/>
  <c r="A40" i="319"/>
  <c r="C40" i="319" s="1"/>
  <c r="CL39" i="319"/>
  <c r="CN39" i="319" s="1"/>
  <c r="CV39" i="319" s="1"/>
  <c r="CD39" i="319"/>
  <c r="CF39" i="319" s="1"/>
  <c r="CH39" i="319" s="1"/>
  <c r="BW39" i="319"/>
  <c r="BY39" i="319" s="1"/>
  <c r="CA39" i="319" s="1"/>
  <c r="BO39" i="319"/>
  <c r="BQ39" i="319" s="1"/>
  <c r="BS39" i="319" s="1"/>
  <c r="BE39" i="319"/>
  <c r="BG39" i="319" s="1"/>
  <c r="BI39" i="319" s="1"/>
  <c r="AW39" i="319"/>
  <c r="AO39" i="319"/>
  <c r="AQ39" i="319" s="1"/>
  <c r="AG39" i="319"/>
  <c r="AI39" i="319" s="1"/>
  <c r="Y39" i="319"/>
  <c r="AA39" i="319" s="1"/>
  <c r="Q39" i="319"/>
  <c r="S39" i="319" s="1"/>
  <c r="I39" i="319"/>
  <c r="K39" i="319" s="1"/>
  <c r="A39" i="319"/>
  <c r="C39" i="319" s="1"/>
  <c r="CL38" i="319"/>
  <c r="CN38" i="319" s="1"/>
  <c r="CV38" i="319" s="1"/>
  <c r="CD38" i="319"/>
  <c r="CF38" i="319" s="1"/>
  <c r="CH38" i="319" s="1"/>
  <c r="BW38" i="319"/>
  <c r="BY38" i="319" s="1"/>
  <c r="CA38" i="319" s="1"/>
  <c r="BO38" i="319"/>
  <c r="BQ38" i="319" s="1"/>
  <c r="BS38" i="319" s="1"/>
  <c r="BE38" i="319"/>
  <c r="BG38" i="319" s="1"/>
  <c r="BI38" i="319" s="1"/>
  <c r="AW38" i="319"/>
  <c r="AO38" i="319"/>
  <c r="AQ38" i="319" s="1"/>
  <c r="AG38" i="319"/>
  <c r="AI38" i="319" s="1"/>
  <c r="Y38" i="319"/>
  <c r="AA38" i="319" s="1"/>
  <c r="Q38" i="319"/>
  <c r="S38" i="319" s="1"/>
  <c r="I38" i="319"/>
  <c r="K38" i="319" s="1"/>
  <c r="A38" i="319"/>
  <c r="C38" i="319" s="1"/>
  <c r="CL37" i="319"/>
  <c r="CN37" i="319" s="1"/>
  <c r="CV37" i="319" s="1"/>
  <c r="CD37" i="319"/>
  <c r="CF37" i="319" s="1"/>
  <c r="CH37" i="319" s="1"/>
  <c r="BW37" i="319"/>
  <c r="BY37" i="319" s="1"/>
  <c r="CA37" i="319" s="1"/>
  <c r="BO37" i="319"/>
  <c r="BQ37" i="319" s="1"/>
  <c r="BS37" i="319" s="1"/>
  <c r="BE37" i="319"/>
  <c r="BG37" i="319" s="1"/>
  <c r="BI37" i="319" s="1"/>
  <c r="AW37" i="319"/>
  <c r="AO37" i="319"/>
  <c r="AQ37" i="319" s="1"/>
  <c r="AG37" i="319"/>
  <c r="AI37" i="319" s="1"/>
  <c r="Y37" i="319"/>
  <c r="AA37" i="319" s="1"/>
  <c r="Q37" i="319"/>
  <c r="S37" i="319" s="1"/>
  <c r="I37" i="319"/>
  <c r="K37" i="319" s="1"/>
  <c r="A37" i="319"/>
  <c r="C37" i="319" s="1"/>
  <c r="CL36" i="319"/>
  <c r="CN36" i="319" s="1"/>
  <c r="CV36" i="319" s="1"/>
  <c r="CD36" i="319"/>
  <c r="CF36" i="319" s="1"/>
  <c r="CH36" i="319" s="1"/>
  <c r="BW36" i="319"/>
  <c r="BY36" i="319" s="1"/>
  <c r="CA36" i="319" s="1"/>
  <c r="BO36" i="319"/>
  <c r="BQ36" i="319" s="1"/>
  <c r="BS36" i="319" s="1"/>
  <c r="BE36" i="319"/>
  <c r="BG36" i="319" s="1"/>
  <c r="BI36" i="319" s="1"/>
  <c r="AW36" i="319"/>
  <c r="AY36" i="319" s="1"/>
  <c r="AO36" i="319"/>
  <c r="AQ36" i="319" s="1"/>
  <c r="AG36" i="319"/>
  <c r="AI36" i="319" s="1"/>
  <c r="Y36" i="319"/>
  <c r="AA36" i="319" s="1"/>
  <c r="Q36" i="319"/>
  <c r="S36" i="319" s="1"/>
  <c r="I36" i="319"/>
  <c r="K36" i="319" s="1"/>
  <c r="A36" i="319"/>
  <c r="C36" i="319" s="1"/>
  <c r="CL35" i="319"/>
  <c r="CN35" i="319" s="1"/>
  <c r="CV35" i="319" s="1"/>
  <c r="CD35" i="319"/>
  <c r="CF35" i="319" s="1"/>
  <c r="CH35" i="319" s="1"/>
  <c r="BW35" i="319"/>
  <c r="BY35" i="319" s="1"/>
  <c r="CA35" i="319" s="1"/>
  <c r="BO35" i="319"/>
  <c r="BQ35" i="319" s="1"/>
  <c r="BS35" i="319" s="1"/>
  <c r="BE35" i="319"/>
  <c r="BG35" i="319" s="1"/>
  <c r="BI35" i="319" s="1"/>
  <c r="AW35" i="319"/>
  <c r="AY35" i="319" s="1"/>
  <c r="AO35" i="319"/>
  <c r="AQ35" i="319" s="1"/>
  <c r="AG35" i="319"/>
  <c r="AI35" i="319" s="1"/>
  <c r="Y35" i="319"/>
  <c r="AA35" i="319" s="1"/>
  <c r="Q35" i="319"/>
  <c r="S35" i="319" s="1"/>
  <c r="I35" i="319"/>
  <c r="K35" i="319" s="1"/>
  <c r="A35" i="319"/>
  <c r="C35" i="319" s="1"/>
  <c r="CL34" i="319"/>
  <c r="CN34" i="319" s="1"/>
  <c r="CV34" i="319" s="1"/>
  <c r="CD34" i="319"/>
  <c r="CF34" i="319" s="1"/>
  <c r="CH34" i="319" s="1"/>
  <c r="BW34" i="319"/>
  <c r="BY34" i="319" s="1"/>
  <c r="CA34" i="319" s="1"/>
  <c r="BO34" i="319"/>
  <c r="BQ34" i="319" s="1"/>
  <c r="BS34" i="319" s="1"/>
  <c r="BE34" i="319"/>
  <c r="BG34" i="319" s="1"/>
  <c r="BI34" i="319" s="1"/>
  <c r="AW34" i="319"/>
  <c r="AY34" i="319" s="1"/>
  <c r="AO34" i="319"/>
  <c r="AQ34" i="319" s="1"/>
  <c r="AG34" i="319"/>
  <c r="AI34" i="319" s="1"/>
  <c r="Y34" i="319"/>
  <c r="AA34" i="319" s="1"/>
  <c r="Q34" i="319"/>
  <c r="S34" i="319" s="1"/>
  <c r="I34" i="319"/>
  <c r="K34" i="319" s="1"/>
  <c r="A34" i="319"/>
  <c r="C34" i="319" s="1"/>
  <c r="CL33" i="319"/>
  <c r="CN33" i="319" s="1"/>
  <c r="CV33" i="319" s="1"/>
  <c r="CD33" i="319"/>
  <c r="CF33" i="319" s="1"/>
  <c r="CH33" i="319" s="1"/>
  <c r="BW33" i="319"/>
  <c r="BY33" i="319" s="1"/>
  <c r="CA33" i="319" s="1"/>
  <c r="BO33" i="319"/>
  <c r="BQ33" i="319" s="1"/>
  <c r="BS33" i="319" s="1"/>
  <c r="BE33" i="319"/>
  <c r="BG33" i="319" s="1"/>
  <c r="BI33" i="319" s="1"/>
  <c r="AW33" i="319"/>
  <c r="AY33" i="319" s="1"/>
  <c r="AO33" i="319"/>
  <c r="AQ33" i="319" s="1"/>
  <c r="AG33" i="319"/>
  <c r="AI33" i="319" s="1"/>
  <c r="Y33" i="319"/>
  <c r="AA33" i="319" s="1"/>
  <c r="Q33" i="319"/>
  <c r="S33" i="319" s="1"/>
  <c r="I33" i="319"/>
  <c r="K33" i="319" s="1"/>
  <c r="A33" i="319"/>
  <c r="C33" i="319" s="1"/>
  <c r="CL32" i="319"/>
  <c r="CN32" i="319" s="1"/>
  <c r="CV32" i="319" s="1"/>
  <c r="CD32" i="319"/>
  <c r="CF32" i="319" s="1"/>
  <c r="CH32" i="319" s="1"/>
  <c r="BW32" i="319"/>
  <c r="BY32" i="319" s="1"/>
  <c r="CA32" i="319" s="1"/>
  <c r="BO32" i="319"/>
  <c r="BQ32" i="319" s="1"/>
  <c r="BS32" i="319" s="1"/>
  <c r="BE32" i="319"/>
  <c r="BG32" i="319" s="1"/>
  <c r="BI32" i="319" s="1"/>
  <c r="AW32" i="319"/>
  <c r="AY32" i="319" s="1"/>
  <c r="AO32" i="319"/>
  <c r="AQ32" i="319" s="1"/>
  <c r="AG32" i="319"/>
  <c r="AI32" i="319" s="1"/>
  <c r="Y32" i="319"/>
  <c r="AA32" i="319" s="1"/>
  <c r="Q32" i="319"/>
  <c r="S32" i="319" s="1"/>
  <c r="I32" i="319"/>
  <c r="K32" i="319" s="1"/>
  <c r="A32" i="319"/>
  <c r="C32" i="319" s="1"/>
  <c r="CL31" i="319"/>
  <c r="CN31" i="319" s="1"/>
  <c r="CV31" i="319" s="1"/>
  <c r="CD31" i="319"/>
  <c r="CF31" i="319" s="1"/>
  <c r="CH31" i="319" s="1"/>
  <c r="BW31" i="319"/>
  <c r="BY31" i="319" s="1"/>
  <c r="CA31" i="319" s="1"/>
  <c r="BO31" i="319"/>
  <c r="BQ31" i="319" s="1"/>
  <c r="BS31" i="319" s="1"/>
  <c r="BE31" i="319"/>
  <c r="BG31" i="319" s="1"/>
  <c r="BI31" i="319" s="1"/>
  <c r="AW31" i="319"/>
  <c r="AY31" i="319" s="1"/>
  <c r="AO31" i="319"/>
  <c r="AQ31" i="319" s="1"/>
  <c r="AG31" i="319"/>
  <c r="AI31" i="319" s="1"/>
  <c r="Y31" i="319"/>
  <c r="AA31" i="319" s="1"/>
  <c r="Q31" i="319"/>
  <c r="S31" i="319" s="1"/>
  <c r="I31" i="319"/>
  <c r="K31" i="319" s="1"/>
  <c r="A31" i="319"/>
  <c r="C31" i="319" s="1"/>
  <c r="CL30" i="319"/>
  <c r="CN30" i="319" s="1"/>
  <c r="CV30" i="319" s="1"/>
  <c r="CD30" i="319"/>
  <c r="CF30" i="319" s="1"/>
  <c r="CH30" i="319" s="1"/>
  <c r="BW30" i="319"/>
  <c r="BY30" i="319" s="1"/>
  <c r="CA30" i="319" s="1"/>
  <c r="BO30" i="319"/>
  <c r="BQ30" i="319" s="1"/>
  <c r="BS30" i="319" s="1"/>
  <c r="BE30" i="319"/>
  <c r="BG30" i="319" s="1"/>
  <c r="BI30" i="319" s="1"/>
  <c r="AW30" i="319"/>
  <c r="AY30" i="319" s="1"/>
  <c r="AO30" i="319"/>
  <c r="AQ30" i="319" s="1"/>
  <c r="AG30" i="319"/>
  <c r="AI30" i="319" s="1"/>
  <c r="Y30" i="319"/>
  <c r="AA30" i="319" s="1"/>
  <c r="Q30" i="319"/>
  <c r="S30" i="319" s="1"/>
  <c r="I30" i="319"/>
  <c r="K30" i="319" s="1"/>
  <c r="A30" i="319"/>
  <c r="C30" i="319" s="1"/>
  <c r="CL29" i="319"/>
  <c r="CN29" i="319" s="1"/>
  <c r="CV29" i="319" s="1"/>
  <c r="CD29" i="319"/>
  <c r="CF29" i="319" s="1"/>
  <c r="CH29" i="319" s="1"/>
  <c r="BW29" i="319"/>
  <c r="BY29" i="319" s="1"/>
  <c r="CA29" i="319" s="1"/>
  <c r="BO29" i="319"/>
  <c r="BQ29" i="319" s="1"/>
  <c r="BS29" i="319" s="1"/>
  <c r="BE29" i="319"/>
  <c r="BG29" i="319" s="1"/>
  <c r="BI29" i="319" s="1"/>
  <c r="AW29" i="319"/>
  <c r="AY29" i="319" s="1"/>
  <c r="AO29" i="319"/>
  <c r="AQ29" i="319" s="1"/>
  <c r="AG29" i="319"/>
  <c r="AI29" i="319" s="1"/>
  <c r="Y29" i="319"/>
  <c r="AA29" i="319" s="1"/>
  <c r="Q29" i="319"/>
  <c r="S29" i="319" s="1"/>
  <c r="I29" i="319"/>
  <c r="K29" i="319" s="1"/>
  <c r="A29" i="319"/>
  <c r="C29" i="319" s="1"/>
  <c r="CL28" i="319"/>
  <c r="CN28" i="319" s="1"/>
  <c r="CV28" i="319" s="1"/>
  <c r="CD28" i="319"/>
  <c r="CF28" i="319" s="1"/>
  <c r="CH28" i="319" s="1"/>
  <c r="BW28" i="319"/>
  <c r="BY28" i="319" s="1"/>
  <c r="CA28" i="319" s="1"/>
  <c r="BO28" i="319"/>
  <c r="BQ28" i="319" s="1"/>
  <c r="BS28" i="319" s="1"/>
  <c r="BE28" i="319"/>
  <c r="BG28" i="319" s="1"/>
  <c r="BI28" i="319" s="1"/>
  <c r="AW28" i="319"/>
  <c r="AY28" i="319" s="1"/>
  <c r="AO28" i="319"/>
  <c r="AQ28" i="319" s="1"/>
  <c r="AG28" i="319"/>
  <c r="AI28" i="319" s="1"/>
  <c r="Y28" i="319"/>
  <c r="AA28" i="319" s="1"/>
  <c r="S28" i="319"/>
  <c r="Q28" i="319"/>
  <c r="I28" i="319"/>
  <c r="K28" i="319" s="1"/>
  <c r="A28" i="319"/>
  <c r="C28" i="319" s="1"/>
  <c r="CN27" i="319"/>
  <c r="CV27" i="319" s="1"/>
  <c r="CL27" i="319"/>
  <c r="CD27" i="319"/>
  <c r="CF27" i="319" s="1"/>
  <c r="CH27" i="319" s="1"/>
  <c r="BW27" i="319"/>
  <c r="BY27" i="319" s="1"/>
  <c r="CA27" i="319" s="1"/>
  <c r="BO27" i="319"/>
  <c r="BQ27" i="319" s="1"/>
  <c r="BS27" i="319" s="1"/>
  <c r="BE27" i="319"/>
  <c r="BG27" i="319" s="1"/>
  <c r="BI27" i="319" s="1"/>
  <c r="AW27" i="319"/>
  <c r="AY27" i="319" s="1"/>
  <c r="AO27" i="319"/>
  <c r="AQ27" i="319" s="1"/>
  <c r="AG27" i="319"/>
  <c r="AI27" i="319" s="1"/>
  <c r="Y27" i="319"/>
  <c r="AA27" i="319" s="1"/>
  <c r="Q27" i="319"/>
  <c r="S27" i="319" s="1"/>
  <c r="I27" i="319"/>
  <c r="K27" i="319" s="1"/>
  <c r="A27" i="319"/>
  <c r="C27" i="319" s="1"/>
  <c r="CL26" i="319"/>
  <c r="CN26" i="319" s="1"/>
  <c r="CV26" i="319" s="1"/>
  <c r="CD26" i="319"/>
  <c r="CF26" i="319" s="1"/>
  <c r="CH26" i="319" s="1"/>
  <c r="BW26" i="319"/>
  <c r="BY26" i="319" s="1"/>
  <c r="CA26" i="319" s="1"/>
  <c r="BO26" i="319"/>
  <c r="BQ26" i="319" s="1"/>
  <c r="BS26" i="319" s="1"/>
  <c r="BE26" i="319"/>
  <c r="BG26" i="319" s="1"/>
  <c r="BI26" i="319" s="1"/>
  <c r="AW26" i="319"/>
  <c r="AY26" i="319" s="1"/>
  <c r="AO26" i="319"/>
  <c r="AQ26" i="319" s="1"/>
  <c r="AG26" i="319"/>
  <c r="AI26" i="319" s="1"/>
  <c r="Y26" i="319"/>
  <c r="AA26" i="319" s="1"/>
  <c r="Q26" i="319"/>
  <c r="S26" i="319" s="1"/>
  <c r="I26" i="319"/>
  <c r="K26" i="319" s="1"/>
  <c r="A26" i="319"/>
  <c r="C26" i="319" s="1"/>
  <c r="CL25" i="319"/>
  <c r="CN25" i="319" s="1"/>
  <c r="CV25" i="319" s="1"/>
  <c r="CD25" i="319"/>
  <c r="CF25" i="319" s="1"/>
  <c r="CH25" i="319" s="1"/>
  <c r="BW25" i="319"/>
  <c r="BY25" i="319" s="1"/>
  <c r="CA25" i="319" s="1"/>
  <c r="BO25" i="319"/>
  <c r="BQ25" i="319" s="1"/>
  <c r="BS25" i="319" s="1"/>
  <c r="BE25" i="319"/>
  <c r="BG25" i="319" s="1"/>
  <c r="BI25" i="319" s="1"/>
  <c r="AW25" i="319"/>
  <c r="AY25" i="319" s="1"/>
  <c r="AO25" i="319"/>
  <c r="AQ25" i="319" s="1"/>
  <c r="AG25" i="319"/>
  <c r="AI25" i="319" s="1"/>
  <c r="Y25" i="319"/>
  <c r="AA25" i="319" s="1"/>
  <c r="Q25" i="319"/>
  <c r="S25" i="319" s="1"/>
  <c r="I25" i="319"/>
  <c r="K25" i="319" s="1"/>
  <c r="A25" i="319"/>
  <c r="C25" i="319" s="1"/>
  <c r="CL24" i="319"/>
  <c r="CN24" i="319" s="1"/>
  <c r="CV24" i="319" s="1"/>
  <c r="CD24" i="319"/>
  <c r="CF24" i="319" s="1"/>
  <c r="CH24" i="319" s="1"/>
  <c r="BW24" i="319"/>
  <c r="BY24" i="319" s="1"/>
  <c r="CA24" i="319" s="1"/>
  <c r="BO24" i="319"/>
  <c r="BQ24" i="319" s="1"/>
  <c r="BS24" i="319" s="1"/>
  <c r="BE24" i="319"/>
  <c r="BG24" i="319" s="1"/>
  <c r="BI24" i="319" s="1"/>
  <c r="AW24" i="319"/>
  <c r="AY24" i="319" s="1"/>
  <c r="AO24" i="319"/>
  <c r="AQ24" i="319" s="1"/>
  <c r="AG24" i="319"/>
  <c r="AI24" i="319" s="1"/>
  <c r="Y24" i="319"/>
  <c r="AA24" i="319" s="1"/>
  <c r="Q24" i="319"/>
  <c r="S24" i="319" s="1"/>
  <c r="I24" i="319"/>
  <c r="K24" i="319" s="1"/>
  <c r="A24" i="319"/>
  <c r="C24" i="319" s="1"/>
  <c r="CL23" i="319"/>
  <c r="CN23" i="319" s="1"/>
  <c r="CV23" i="319" s="1"/>
  <c r="CD23" i="319"/>
  <c r="CF23" i="319" s="1"/>
  <c r="CH23" i="319" s="1"/>
  <c r="BW23" i="319"/>
  <c r="BY23" i="319" s="1"/>
  <c r="CA23" i="319" s="1"/>
  <c r="BO23" i="319"/>
  <c r="BQ23" i="319" s="1"/>
  <c r="BS23" i="319" s="1"/>
  <c r="BE23" i="319"/>
  <c r="BG23" i="319" s="1"/>
  <c r="BI23" i="319" s="1"/>
  <c r="AW23" i="319"/>
  <c r="AY23" i="319" s="1"/>
  <c r="AO23" i="319"/>
  <c r="AQ23" i="319" s="1"/>
  <c r="AG23" i="319"/>
  <c r="AI23" i="319" s="1"/>
  <c r="Y23" i="319"/>
  <c r="AA23" i="319" s="1"/>
  <c r="Q23" i="319"/>
  <c r="S23" i="319" s="1"/>
  <c r="I23" i="319"/>
  <c r="K23" i="319" s="1"/>
  <c r="A23" i="319"/>
  <c r="C23" i="319" s="1"/>
  <c r="CL22" i="319"/>
  <c r="CN22" i="319" s="1"/>
  <c r="CV22" i="319" s="1"/>
  <c r="CD22" i="319"/>
  <c r="CF22" i="319" s="1"/>
  <c r="CH22" i="319" s="1"/>
  <c r="BW22" i="319"/>
  <c r="BY22" i="319" s="1"/>
  <c r="CA22" i="319" s="1"/>
  <c r="BO22" i="319"/>
  <c r="BQ22" i="319" s="1"/>
  <c r="BS22" i="319" s="1"/>
  <c r="BE22" i="319"/>
  <c r="BG22" i="319" s="1"/>
  <c r="BI22" i="319" s="1"/>
  <c r="AW22" i="319"/>
  <c r="AY22" i="319" s="1"/>
  <c r="AO22" i="319"/>
  <c r="AQ22" i="319" s="1"/>
  <c r="AG22" i="319"/>
  <c r="AI22" i="319" s="1"/>
  <c r="Y22" i="319"/>
  <c r="AA22" i="319" s="1"/>
  <c r="Q22" i="319"/>
  <c r="S22" i="319" s="1"/>
  <c r="I22" i="319"/>
  <c r="K22" i="319" s="1"/>
  <c r="A22" i="319"/>
  <c r="C22" i="319" s="1"/>
  <c r="CL21" i="319"/>
  <c r="CN21" i="319" s="1"/>
  <c r="CV21" i="319" s="1"/>
  <c r="CD21" i="319"/>
  <c r="CF21" i="319" s="1"/>
  <c r="CH21" i="319" s="1"/>
  <c r="BW21" i="319"/>
  <c r="BY21" i="319" s="1"/>
  <c r="CA21" i="319" s="1"/>
  <c r="BO21" i="319"/>
  <c r="BQ21" i="319" s="1"/>
  <c r="BS21" i="319" s="1"/>
  <c r="BE21" i="319"/>
  <c r="BG21" i="319" s="1"/>
  <c r="BI21" i="319" s="1"/>
  <c r="AW21" i="319"/>
  <c r="AY21" i="319" s="1"/>
  <c r="AO21" i="319"/>
  <c r="AQ21" i="319" s="1"/>
  <c r="AG21" i="319"/>
  <c r="AI21" i="319" s="1"/>
  <c r="Y21" i="319"/>
  <c r="AA21" i="319" s="1"/>
  <c r="Q21" i="319"/>
  <c r="S21" i="319" s="1"/>
  <c r="I21" i="319"/>
  <c r="K21" i="319" s="1"/>
  <c r="A21" i="319"/>
  <c r="C21" i="319" s="1"/>
  <c r="CL20" i="319"/>
  <c r="CN20" i="319" s="1"/>
  <c r="CV20" i="319" s="1"/>
  <c r="CD20" i="319"/>
  <c r="CF20" i="319" s="1"/>
  <c r="CH20" i="319" s="1"/>
  <c r="BW20" i="319"/>
  <c r="BY20" i="319" s="1"/>
  <c r="CA20" i="319" s="1"/>
  <c r="BO20" i="319"/>
  <c r="BQ20" i="319" s="1"/>
  <c r="BS20" i="319" s="1"/>
  <c r="BE20" i="319"/>
  <c r="BG20" i="319" s="1"/>
  <c r="BI20" i="319" s="1"/>
  <c r="AW20" i="319"/>
  <c r="AY20" i="319" s="1"/>
  <c r="AO20" i="319"/>
  <c r="AQ20" i="319" s="1"/>
  <c r="AG20" i="319"/>
  <c r="AI20" i="319" s="1"/>
  <c r="Y20" i="319"/>
  <c r="AA20" i="319" s="1"/>
  <c r="Q20" i="319"/>
  <c r="S20" i="319" s="1"/>
  <c r="I20" i="319"/>
  <c r="K20" i="319" s="1"/>
  <c r="A20" i="319"/>
  <c r="C20" i="319" s="1"/>
  <c r="CL19" i="319"/>
  <c r="CN19" i="319" s="1"/>
  <c r="CV19" i="319" s="1"/>
  <c r="CD19" i="319"/>
  <c r="CF19" i="319" s="1"/>
  <c r="CH19" i="319" s="1"/>
  <c r="BW19" i="319"/>
  <c r="BY19" i="319" s="1"/>
  <c r="CA19" i="319" s="1"/>
  <c r="BO19" i="319"/>
  <c r="BQ19" i="319" s="1"/>
  <c r="BS19" i="319" s="1"/>
  <c r="BE19" i="319"/>
  <c r="BG19" i="319" s="1"/>
  <c r="BI19" i="319" s="1"/>
  <c r="AW19" i="319"/>
  <c r="AY19" i="319" s="1"/>
  <c r="AO19" i="319"/>
  <c r="AQ19" i="319" s="1"/>
  <c r="AG19" i="319"/>
  <c r="AI19" i="319" s="1"/>
  <c r="Y19" i="319"/>
  <c r="AA19" i="319" s="1"/>
  <c r="Q19" i="319"/>
  <c r="S19" i="319" s="1"/>
  <c r="I19" i="319"/>
  <c r="K19" i="319" s="1"/>
  <c r="A19" i="319"/>
  <c r="C19" i="319" s="1"/>
  <c r="CL18" i="319"/>
  <c r="CN18" i="319" s="1"/>
  <c r="CV18" i="319" s="1"/>
  <c r="CD18" i="319"/>
  <c r="CF18" i="319" s="1"/>
  <c r="CH18" i="319" s="1"/>
  <c r="BW18" i="319"/>
  <c r="BY18" i="319" s="1"/>
  <c r="CA18" i="319" s="1"/>
  <c r="BO18" i="319"/>
  <c r="BQ18" i="319" s="1"/>
  <c r="BS18" i="319" s="1"/>
  <c r="BE18" i="319"/>
  <c r="BG18" i="319" s="1"/>
  <c r="BI18" i="319" s="1"/>
  <c r="AW18" i="319"/>
  <c r="AY18" i="319" s="1"/>
  <c r="AO18" i="319"/>
  <c r="AQ18" i="319" s="1"/>
  <c r="AI18" i="319"/>
  <c r="AG18" i="319"/>
  <c r="Y18" i="319"/>
  <c r="AA18" i="319" s="1"/>
  <c r="Q18" i="319"/>
  <c r="S18" i="319" s="1"/>
  <c r="I18" i="319"/>
  <c r="K18" i="319" s="1"/>
  <c r="A18" i="319"/>
  <c r="C18" i="319" s="1"/>
  <c r="CL17" i="319"/>
  <c r="CN17" i="319" s="1"/>
  <c r="CV17" i="319" s="1"/>
  <c r="CD17" i="319"/>
  <c r="CF17" i="319" s="1"/>
  <c r="CH17" i="319" s="1"/>
  <c r="BY17" i="319"/>
  <c r="CA17" i="319" s="1"/>
  <c r="BW17" i="319"/>
  <c r="BO17" i="319"/>
  <c r="BQ17" i="319" s="1"/>
  <c r="BS17" i="319" s="1"/>
  <c r="BE17" i="319"/>
  <c r="BG17" i="319" s="1"/>
  <c r="BI17" i="319" s="1"/>
  <c r="AW17" i="319"/>
  <c r="AY17" i="319" s="1"/>
  <c r="AO17" i="319"/>
  <c r="AQ17" i="319" s="1"/>
  <c r="AG17" i="319"/>
  <c r="AI17" i="319" s="1"/>
  <c r="Y17" i="319"/>
  <c r="AA17" i="319" s="1"/>
  <c r="Q17" i="319"/>
  <c r="S17" i="319" s="1"/>
  <c r="I17" i="319"/>
  <c r="K17" i="319" s="1"/>
  <c r="C17" i="319"/>
  <c r="A17" i="319"/>
  <c r="CL16" i="319"/>
  <c r="CN16" i="319" s="1"/>
  <c r="CV16" i="319" s="1"/>
  <c r="CD16" i="319"/>
  <c r="CF16" i="319" s="1"/>
  <c r="CH16" i="319" s="1"/>
  <c r="BW16" i="319"/>
  <c r="BY16" i="319" s="1"/>
  <c r="CA16" i="319" s="1"/>
  <c r="BO16" i="319"/>
  <c r="BQ16" i="319" s="1"/>
  <c r="BS16" i="319" s="1"/>
  <c r="BE16" i="319"/>
  <c r="BG16" i="319" s="1"/>
  <c r="BI16" i="319" s="1"/>
  <c r="AW16" i="319"/>
  <c r="AY16" i="319" s="1"/>
  <c r="AO16" i="319"/>
  <c r="AQ16" i="319" s="1"/>
  <c r="AG16" i="319"/>
  <c r="AI16" i="319" s="1"/>
  <c r="Y16" i="319"/>
  <c r="AA16" i="319" s="1"/>
  <c r="Q16" i="319"/>
  <c r="S16" i="319" s="1"/>
  <c r="I16" i="319"/>
  <c r="K16" i="319" s="1"/>
  <c r="A16" i="319"/>
  <c r="C16" i="319" s="1"/>
  <c r="CL15" i="319"/>
  <c r="CN15" i="319" s="1"/>
  <c r="CV15" i="319" s="1"/>
  <c r="CD15" i="319"/>
  <c r="CF15" i="319" s="1"/>
  <c r="CH15" i="319" s="1"/>
  <c r="BW15" i="319"/>
  <c r="BY15" i="319" s="1"/>
  <c r="CA15" i="319" s="1"/>
  <c r="BO15" i="319"/>
  <c r="BQ15" i="319" s="1"/>
  <c r="BS15" i="319" s="1"/>
  <c r="BE15" i="319"/>
  <c r="BG15" i="319" s="1"/>
  <c r="BI15" i="319" s="1"/>
  <c r="AW15" i="319"/>
  <c r="AY15" i="319" s="1"/>
  <c r="AO15" i="319"/>
  <c r="AQ15" i="319" s="1"/>
  <c r="AG15" i="319"/>
  <c r="AI15" i="319" s="1"/>
  <c r="Y15" i="319"/>
  <c r="AA15" i="319" s="1"/>
  <c r="Q15" i="319"/>
  <c r="S15" i="319" s="1"/>
  <c r="I15" i="319"/>
  <c r="K15" i="319" s="1"/>
  <c r="A15" i="319"/>
  <c r="C15" i="319" s="1"/>
  <c r="CL14" i="319"/>
  <c r="CN14" i="319" s="1"/>
  <c r="CV14" i="319" s="1"/>
  <c r="CD14" i="319"/>
  <c r="CF14" i="319" s="1"/>
  <c r="CH14" i="319" s="1"/>
  <c r="BW14" i="319"/>
  <c r="BY14" i="319" s="1"/>
  <c r="CA14" i="319" s="1"/>
  <c r="BO14" i="319"/>
  <c r="BQ14" i="319" s="1"/>
  <c r="BS14" i="319" s="1"/>
  <c r="BE14" i="319"/>
  <c r="BG14" i="319" s="1"/>
  <c r="BI14" i="319" s="1"/>
  <c r="AW14" i="319"/>
  <c r="AY14" i="319" s="1"/>
  <c r="AO14" i="319"/>
  <c r="AQ14" i="319" s="1"/>
  <c r="AG14" i="319"/>
  <c r="AI14" i="319" s="1"/>
  <c r="Y14" i="319"/>
  <c r="AA14" i="319" s="1"/>
  <c r="Q14" i="319"/>
  <c r="S14" i="319" s="1"/>
  <c r="I14" i="319"/>
  <c r="K14" i="319" s="1"/>
  <c r="A14" i="319"/>
  <c r="C14" i="319" s="1"/>
  <c r="CL13" i="319"/>
  <c r="CN13" i="319" s="1"/>
  <c r="CV13" i="319" s="1"/>
  <c r="CD13" i="319"/>
  <c r="CF13" i="319" s="1"/>
  <c r="CH13" i="319" s="1"/>
  <c r="BW13" i="319"/>
  <c r="BY13" i="319" s="1"/>
  <c r="CA13" i="319" s="1"/>
  <c r="BO13" i="319"/>
  <c r="BQ13" i="319" s="1"/>
  <c r="BS13" i="319" s="1"/>
  <c r="BE13" i="319"/>
  <c r="BG13" i="319" s="1"/>
  <c r="BI13" i="319" s="1"/>
  <c r="AW13" i="319"/>
  <c r="AY13" i="319" s="1"/>
  <c r="AO13" i="319"/>
  <c r="AQ13" i="319" s="1"/>
  <c r="AG13" i="319"/>
  <c r="AI13" i="319" s="1"/>
  <c r="AA13" i="319"/>
  <c r="Y13" i="319"/>
  <c r="Q13" i="319"/>
  <c r="S13" i="319" s="1"/>
  <c r="I13" i="319"/>
  <c r="K13" i="319" s="1"/>
  <c r="A13" i="319"/>
  <c r="C13" i="319" s="1"/>
  <c r="CL12" i="319"/>
  <c r="CN12" i="319" s="1"/>
  <c r="CV12" i="319" s="1"/>
  <c r="CD12" i="319"/>
  <c r="CF12" i="319" s="1"/>
  <c r="CH12" i="319" s="1"/>
  <c r="BW12" i="319"/>
  <c r="BY12" i="319" s="1"/>
  <c r="CA12" i="319" s="1"/>
  <c r="BO12" i="319"/>
  <c r="BQ12" i="319" s="1"/>
  <c r="BS12" i="319" s="1"/>
  <c r="BE12" i="319"/>
  <c r="BG12" i="319" s="1"/>
  <c r="BI12" i="319" s="1"/>
  <c r="AW12" i="319"/>
  <c r="AY12" i="319" s="1"/>
  <c r="AO12" i="319"/>
  <c r="AQ12" i="319" s="1"/>
  <c r="AG12" i="319"/>
  <c r="AI12" i="319" s="1"/>
  <c r="Y12" i="319"/>
  <c r="AA12" i="319" s="1"/>
  <c r="Q12" i="319"/>
  <c r="S12" i="319" s="1"/>
  <c r="I12" i="319"/>
  <c r="K12" i="319" s="1"/>
  <c r="A12" i="319"/>
  <c r="C12" i="319" s="1"/>
  <c r="CL11" i="319"/>
  <c r="CN11" i="319" s="1"/>
  <c r="CV11" i="319" s="1"/>
  <c r="CD11" i="319"/>
  <c r="CF11" i="319" s="1"/>
  <c r="CH11" i="319" s="1"/>
  <c r="BW11" i="319"/>
  <c r="BY11" i="319" s="1"/>
  <c r="CA11" i="319" s="1"/>
  <c r="BO11" i="319"/>
  <c r="BQ11" i="319" s="1"/>
  <c r="BS11" i="319" s="1"/>
  <c r="BE11" i="319"/>
  <c r="BG11" i="319" s="1"/>
  <c r="BI11" i="319" s="1"/>
  <c r="AW11" i="319"/>
  <c r="AY11" i="319" s="1"/>
  <c r="AO11" i="319"/>
  <c r="AQ11" i="319" s="1"/>
  <c r="AG11" i="319"/>
  <c r="AI11" i="319" s="1"/>
  <c r="Y11" i="319"/>
  <c r="AA11" i="319" s="1"/>
  <c r="Q11" i="319"/>
  <c r="S11" i="319" s="1"/>
  <c r="I11" i="319"/>
  <c r="K11" i="319" s="1"/>
  <c r="A11" i="319"/>
  <c r="C11" i="319" s="1"/>
  <c r="CL10" i="319"/>
  <c r="CN10" i="319" s="1"/>
  <c r="CV10" i="319" s="1"/>
  <c r="CD10" i="319"/>
  <c r="CF10" i="319" s="1"/>
  <c r="CH10" i="319" s="1"/>
  <c r="BW10" i="319"/>
  <c r="BY10" i="319" s="1"/>
  <c r="CA10" i="319" s="1"/>
  <c r="BO10" i="319"/>
  <c r="BQ10" i="319" s="1"/>
  <c r="BS10" i="319" s="1"/>
  <c r="BE10" i="319"/>
  <c r="BG10" i="319" s="1"/>
  <c r="BI10" i="319" s="1"/>
  <c r="BB10" i="319"/>
  <c r="AY10" i="319"/>
  <c r="AT10" i="319"/>
  <c r="AQ10" i="319"/>
  <c r="AL10" i="319"/>
  <c r="AI10" i="319"/>
  <c r="AD10" i="319"/>
  <c r="AA10" i="319"/>
  <c r="V10" i="319"/>
  <c r="S10" i="319"/>
  <c r="N10" i="319"/>
  <c r="K10" i="319"/>
  <c r="F10" i="319"/>
  <c r="C10" i="319"/>
  <c r="CN9" i="319"/>
  <c r="CV9" i="319" s="1"/>
  <c r="CF9" i="319"/>
  <c r="CH9" i="319" s="1"/>
  <c r="BY9" i="319"/>
  <c r="CA9" i="319" s="1"/>
  <c r="BQ9" i="319"/>
  <c r="BS9" i="319" s="1"/>
  <c r="BG9" i="319"/>
  <c r="BI9" i="319" s="1"/>
  <c r="CT723" i="319" l="1"/>
  <c r="CV396" i="319"/>
  <c r="CI11" i="319"/>
  <c r="CP671" i="319"/>
  <c r="BB11" i="319"/>
  <c r="BB12" i="319" s="1"/>
  <c r="BB13" i="319" s="1"/>
  <c r="BB14" i="319" s="1"/>
  <c r="BB15" i="319" s="1"/>
  <c r="BB16" i="319" s="1"/>
  <c r="BB17" i="319" s="1"/>
  <c r="BB18" i="319" s="1"/>
  <c r="BB19" i="319" s="1"/>
  <c r="BB20" i="319" s="1"/>
  <c r="BB21" i="319" s="1"/>
  <c r="BB22" i="319" s="1"/>
  <c r="BB23" i="319" s="1"/>
  <c r="BB24" i="319" s="1"/>
  <c r="BB25" i="319" s="1"/>
  <c r="BB26" i="319" s="1"/>
  <c r="BB27" i="319" s="1"/>
  <c r="BB28" i="319" s="1"/>
  <c r="BB29" i="319" s="1"/>
  <c r="BB30" i="319" s="1"/>
  <c r="BB31" i="319" s="1"/>
  <c r="BB32" i="319" s="1"/>
  <c r="BB33" i="319" s="1"/>
  <c r="BB34" i="319" s="1"/>
  <c r="BB35" i="319" s="1"/>
  <c r="BB36" i="319" s="1"/>
  <c r="BB37" i="319" s="1"/>
  <c r="BB38" i="319" s="1"/>
  <c r="BB39" i="319" s="1"/>
  <c r="BB40" i="319" s="1"/>
  <c r="BB41" i="319" s="1"/>
  <c r="BB42" i="319" s="1"/>
  <c r="BB43" i="319" s="1"/>
  <c r="BB44" i="319" s="1"/>
  <c r="BB45" i="319" s="1"/>
  <c r="BB46" i="319" s="1"/>
  <c r="BB47" i="319" s="1"/>
  <c r="BB48" i="319" s="1"/>
  <c r="BB49" i="319" s="1"/>
  <c r="BB50" i="319" s="1"/>
  <c r="BB51" i="319" s="1"/>
  <c r="BB52" i="319" s="1"/>
  <c r="BB53" i="319" s="1"/>
  <c r="BB54" i="319" s="1"/>
  <c r="BB55" i="319" s="1"/>
  <c r="BB56" i="319" s="1"/>
  <c r="BB57" i="319" s="1"/>
  <c r="BB58" i="319" s="1"/>
  <c r="BB59" i="319" s="1"/>
  <c r="BB60" i="319" s="1"/>
  <c r="BB61" i="319" s="1"/>
  <c r="BB62" i="319" s="1"/>
  <c r="BB63" i="319" s="1"/>
  <c r="BB64" i="319" s="1"/>
  <c r="BB65" i="319" s="1"/>
  <c r="BB66" i="319" s="1"/>
  <c r="BB67" i="319" s="1"/>
  <c r="BB68" i="319" s="1"/>
  <c r="BB69" i="319" s="1"/>
  <c r="CP396" i="319"/>
  <c r="CP634" i="319"/>
  <c r="CP662" i="319"/>
  <c r="CP737" i="319"/>
  <c r="BJ56" i="319"/>
  <c r="BL56" i="319" s="1"/>
  <c r="CW200" i="319"/>
  <c r="CV398" i="319"/>
  <c r="CP655" i="319"/>
  <c r="CN678" i="319"/>
  <c r="CP678" i="319" s="1"/>
  <c r="CT629" i="319"/>
  <c r="CN625" i="319"/>
  <c r="CV625" i="319" s="1"/>
  <c r="CV626" i="319"/>
  <c r="CP626" i="319"/>
  <c r="CV661" i="319"/>
  <c r="CP661" i="319"/>
  <c r="BJ77" i="319"/>
  <c r="BL77" i="319" s="1"/>
  <c r="CW111" i="319"/>
  <c r="CV405" i="319"/>
  <c r="CP405" i="319"/>
  <c r="CV410" i="319"/>
  <c r="CP410" i="319"/>
  <c r="CP530" i="319"/>
  <c r="CR530" i="319"/>
  <c r="CV540" i="319"/>
  <c r="CP540" i="319"/>
  <c r="CT639" i="319"/>
  <c r="CN635" i="319"/>
  <c r="CP635" i="319" s="1"/>
  <c r="CV701" i="319"/>
  <c r="CP701" i="319"/>
  <c r="CP739" i="319"/>
  <c r="CV739" i="319"/>
  <c r="CP381" i="319"/>
  <c r="CR381" i="319"/>
  <c r="CR388" i="319"/>
  <c r="CP388" i="319"/>
  <c r="CP508" i="319"/>
  <c r="CR508" i="319"/>
  <c r="CV651" i="319"/>
  <c r="CP651" i="319"/>
  <c r="CV676" i="319"/>
  <c r="CP676" i="319"/>
  <c r="CP708" i="319"/>
  <c r="CV708" i="319"/>
  <c r="CP745" i="319"/>
  <c r="CV745" i="319"/>
  <c r="BT366" i="319"/>
  <c r="CV381" i="319"/>
  <c r="CV388" i="319"/>
  <c r="CV430" i="319"/>
  <c r="CP430" i="319"/>
  <c r="CV589" i="319"/>
  <c r="CP589" i="319"/>
  <c r="CT661" i="319"/>
  <c r="CN656" i="319"/>
  <c r="CP656" i="319" s="1"/>
  <c r="CP680" i="319"/>
  <c r="CV680" i="319"/>
  <c r="BJ350" i="319"/>
  <c r="BL350" i="319" s="1"/>
  <c r="CW261" i="319"/>
  <c r="CT781" i="319"/>
  <c r="CP783" i="319"/>
  <c r="BJ355" i="319"/>
  <c r="BL355" i="319" s="1"/>
  <c r="CP600" i="319"/>
  <c r="CV600" i="319"/>
  <c r="CP627" i="319"/>
  <c r="CV627" i="319"/>
  <c r="CB58" i="319"/>
  <c r="CW132" i="319"/>
  <c r="CP717" i="319"/>
  <c r="CV717" i="319"/>
  <c r="CP732" i="319"/>
  <c r="CP734" i="319"/>
  <c r="CV734" i="319"/>
  <c r="CP765" i="319"/>
  <c r="CT766" i="319"/>
  <c r="V11" i="319"/>
  <c r="V12" i="319" s="1"/>
  <c r="V13" i="319" s="1"/>
  <c r="V14" i="319" s="1"/>
  <c r="V15" i="319" s="1"/>
  <c r="V16" i="319" s="1"/>
  <c r="V17" i="319" s="1"/>
  <c r="V18" i="319" s="1"/>
  <c r="V19" i="319" s="1"/>
  <c r="V20" i="319" s="1"/>
  <c r="V21" i="319" s="1"/>
  <c r="V22" i="319" s="1"/>
  <c r="V23" i="319" s="1"/>
  <c r="V24" i="319" s="1"/>
  <c r="V25" i="319" s="1"/>
  <c r="V26" i="319" s="1"/>
  <c r="V27" i="319" s="1"/>
  <c r="V28" i="319" s="1"/>
  <c r="V29" i="319" s="1"/>
  <c r="V30" i="319" s="1"/>
  <c r="V31" i="319" s="1"/>
  <c r="V32" i="319" s="1"/>
  <c r="V33" i="319" s="1"/>
  <c r="V34" i="319" s="1"/>
  <c r="V35" i="319" s="1"/>
  <c r="V36" i="319" s="1"/>
  <c r="V37" i="319" s="1"/>
  <c r="V38" i="319" s="1"/>
  <c r="V39" i="319" s="1"/>
  <c r="V40" i="319" s="1"/>
  <c r="V41" i="319" s="1"/>
  <c r="V42" i="319" s="1"/>
  <c r="V43" i="319" s="1"/>
  <c r="V44" i="319" s="1"/>
  <c r="V45" i="319" s="1"/>
  <c r="V46" i="319" s="1"/>
  <c r="V47" i="319" s="1"/>
  <c r="V48" i="319" s="1"/>
  <c r="V49" i="319" s="1"/>
  <c r="V50" i="319" s="1"/>
  <c r="V51" i="319" s="1"/>
  <c r="V52" i="319" s="1"/>
  <c r="V53" i="319" s="1"/>
  <c r="V54" i="319" s="1"/>
  <c r="V55" i="319" s="1"/>
  <c r="V56" i="319" s="1"/>
  <c r="V57" i="319" s="1"/>
  <c r="V58" i="319" s="1"/>
  <c r="V59" i="319" s="1"/>
  <c r="V60" i="319" s="1"/>
  <c r="V61" i="319" s="1"/>
  <c r="V62" i="319" s="1"/>
  <c r="V63" i="319" s="1"/>
  <c r="V64" i="319" s="1"/>
  <c r="V65" i="319" s="1"/>
  <c r="V66" i="319" s="1"/>
  <c r="V67" i="319" s="1"/>
  <c r="V68" i="319" s="1"/>
  <c r="V69" i="319" s="1"/>
  <c r="V70" i="319" s="1"/>
  <c r="V71" i="319" s="1"/>
  <c r="V72" i="319" s="1"/>
  <c r="V73" i="319" s="1"/>
  <c r="V74" i="319" s="1"/>
  <c r="V75" i="319" s="1"/>
  <c r="V76" i="319" s="1"/>
  <c r="V77" i="319" s="1"/>
  <c r="V78" i="319" s="1"/>
  <c r="V79" i="319" s="1"/>
  <c r="V80" i="319" s="1"/>
  <c r="V81" i="319" s="1"/>
  <c r="V82" i="319" s="1"/>
  <c r="V83" i="319" s="1"/>
  <c r="V84" i="319" s="1"/>
  <c r="V85" i="319" s="1"/>
  <c r="V86" i="319" s="1"/>
  <c r="V87" i="319" s="1"/>
  <c r="V88" i="319" s="1"/>
  <c r="V89" i="319" s="1"/>
  <c r="V90" i="319" s="1"/>
  <c r="V91" i="319" s="1"/>
  <c r="V92" i="319" s="1"/>
  <c r="V93" i="319" s="1"/>
  <c r="V94" i="319" s="1"/>
  <c r="V95" i="319" s="1"/>
  <c r="V96" i="319" s="1"/>
  <c r="V97" i="319" s="1"/>
  <c r="V98" i="319" s="1"/>
  <c r="V99" i="319" s="1"/>
  <c r="V100" i="319" s="1"/>
  <c r="V101" i="319" s="1"/>
  <c r="V102" i="319" s="1"/>
  <c r="V103" i="319" s="1"/>
  <c r="V104" i="319" s="1"/>
  <c r="V105" i="319" s="1"/>
  <c r="V106" i="319" s="1"/>
  <c r="V107" i="319" s="1"/>
  <c r="V108" i="319" s="1"/>
  <c r="V109" i="319" s="1"/>
  <c r="V110" i="319" s="1"/>
  <c r="V111" i="319" s="1"/>
  <c r="V112" i="319" s="1"/>
  <c r="V113" i="319" s="1"/>
  <c r="V114" i="319" s="1"/>
  <c r="V115" i="319" s="1"/>
  <c r="V116" i="319" s="1"/>
  <c r="V117" i="319" s="1"/>
  <c r="V118" i="319" s="1"/>
  <c r="V119" i="319" s="1"/>
  <c r="V120" i="319" s="1"/>
  <c r="V121" i="319" s="1"/>
  <c r="V122" i="319" s="1"/>
  <c r="V123" i="319" s="1"/>
  <c r="V124" i="319" s="1"/>
  <c r="V125" i="319" s="1"/>
  <c r="V126" i="319" s="1"/>
  <c r="V127" i="319" s="1"/>
  <c r="V128" i="319" s="1"/>
  <c r="V129" i="319" s="1"/>
  <c r="V130" i="319" s="1"/>
  <c r="V131" i="319" s="1"/>
  <c r="V132" i="319" s="1"/>
  <c r="V133" i="319" s="1"/>
  <c r="V134" i="319" s="1"/>
  <c r="V135" i="319" s="1"/>
  <c r="V136" i="319" s="1"/>
  <c r="V137" i="319" s="1"/>
  <c r="V138" i="319" s="1"/>
  <c r="V139" i="319" s="1"/>
  <c r="V140" i="319" s="1"/>
  <c r="V141" i="319" s="1"/>
  <c r="V142" i="319" s="1"/>
  <c r="V143" i="319" s="1"/>
  <c r="V144" i="319" s="1"/>
  <c r="V145" i="319" s="1"/>
  <c r="V146" i="319" s="1"/>
  <c r="V147" i="319" s="1"/>
  <c r="V148" i="319" s="1"/>
  <c r="V149" i="319" s="1"/>
  <c r="V150" i="319" s="1"/>
  <c r="V151" i="319" s="1"/>
  <c r="V152" i="319" s="1"/>
  <c r="V153" i="319" s="1"/>
  <c r="V154" i="319" s="1"/>
  <c r="V155" i="319" s="1"/>
  <c r="V156" i="319" s="1"/>
  <c r="V157" i="319" s="1"/>
  <c r="V158" i="319" s="1"/>
  <c r="V159" i="319" s="1"/>
  <c r="V160" i="319" s="1"/>
  <c r="V161" i="319" s="1"/>
  <c r="V162" i="319" s="1"/>
  <c r="V163" i="319" s="1"/>
  <c r="V164" i="319" s="1"/>
  <c r="V165" i="319" s="1"/>
  <c r="V166" i="319" s="1"/>
  <c r="V167" i="319" s="1"/>
  <c r="V168" i="319" s="1"/>
  <c r="V169" i="319" s="1"/>
  <c r="V170" i="319" s="1"/>
  <c r="V171" i="319" s="1"/>
  <c r="V172" i="319" s="1"/>
  <c r="V173" i="319" s="1"/>
  <c r="V174" i="319" s="1"/>
  <c r="V175" i="319" s="1"/>
  <c r="V176" i="319" s="1"/>
  <c r="V177" i="319" s="1"/>
  <c r="V178" i="319" s="1"/>
  <c r="V179" i="319" s="1"/>
  <c r="V180" i="319" s="1"/>
  <c r="V181" i="319" s="1"/>
  <c r="V182" i="319" s="1"/>
  <c r="V183" i="319" s="1"/>
  <c r="V184" i="319" s="1"/>
  <c r="V185" i="319" s="1"/>
  <c r="V186" i="319" s="1"/>
  <c r="V187" i="319" s="1"/>
  <c r="V188" i="319" s="1"/>
  <c r="V189" i="319" s="1"/>
  <c r="V190" i="319" s="1"/>
  <c r="V191" i="319" s="1"/>
  <c r="V192" i="319" s="1"/>
  <c r="V193" i="319" s="1"/>
  <c r="V194" i="319" s="1"/>
  <c r="V195" i="319" s="1"/>
  <c r="V196" i="319" s="1"/>
  <c r="V197" i="319" s="1"/>
  <c r="V198" i="319" s="1"/>
  <c r="V199" i="319" s="1"/>
  <c r="V200" i="319" s="1"/>
  <c r="V201" i="319" s="1"/>
  <c r="V202" i="319" s="1"/>
  <c r="V203" i="319" s="1"/>
  <c r="V204" i="319" s="1"/>
  <c r="V205" i="319" s="1"/>
  <c r="V206" i="319" s="1"/>
  <c r="V207" i="319" s="1"/>
  <c r="V208" i="319" s="1"/>
  <c r="V209" i="319" s="1"/>
  <c r="V210" i="319" s="1"/>
  <c r="V211" i="319" s="1"/>
  <c r="V212" i="319" s="1"/>
  <c r="V213" i="319" s="1"/>
  <c r="V214" i="319" s="1"/>
  <c r="V215" i="319" s="1"/>
  <c r="V216" i="319" s="1"/>
  <c r="V217" i="319" s="1"/>
  <c r="V218" i="319" s="1"/>
  <c r="V219" i="319" s="1"/>
  <c r="V220" i="319" s="1"/>
  <c r="V221" i="319" s="1"/>
  <c r="V222" i="319" s="1"/>
  <c r="V223" i="319" s="1"/>
  <c r="V224" i="319" s="1"/>
  <c r="V225" i="319" s="1"/>
  <c r="V226" i="319" s="1"/>
  <c r="V227" i="319" s="1"/>
  <c r="V228" i="319" s="1"/>
  <c r="V229" i="319" s="1"/>
  <c r="V230" i="319" s="1"/>
  <c r="V231" i="319" s="1"/>
  <c r="V232" i="319" s="1"/>
  <c r="V233" i="319" s="1"/>
  <c r="V234" i="319" s="1"/>
  <c r="V235" i="319" s="1"/>
  <c r="V236" i="319" s="1"/>
  <c r="V237" i="319" s="1"/>
  <c r="V238" i="319" s="1"/>
  <c r="V239" i="319" s="1"/>
  <c r="V240" i="319" s="1"/>
  <c r="V241" i="319" s="1"/>
  <c r="V242" i="319" s="1"/>
  <c r="V243" i="319" s="1"/>
  <c r="V244" i="319" s="1"/>
  <c r="V245" i="319" s="1"/>
  <c r="V246" i="319" s="1"/>
  <c r="V247" i="319" s="1"/>
  <c r="V248" i="319" s="1"/>
  <c r="V249" i="319" s="1"/>
  <c r="V250" i="319" s="1"/>
  <c r="V251" i="319" s="1"/>
  <c r="V252" i="319" s="1"/>
  <c r="V253" i="319" s="1"/>
  <c r="V254" i="319" s="1"/>
  <c r="V255" i="319" s="1"/>
  <c r="V256" i="319" s="1"/>
  <c r="V257" i="319" s="1"/>
  <c r="V258" i="319" s="1"/>
  <c r="V259" i="319" s="1"/>
  <c r="V260" i="319" s="1"/>
  <c r="V261" i="319" s="1"/>
  <c r="V262" i="319" s="1"/>
  <c r="V263" i="319" s="1"/>
  <c r="V264" i="319" s="1"/>
  <c r="V265" i="319" s="1"/>
  <c r="V266" i="319" s="1"/>
  <c r="V267" i="319" s="1"/>
  <c r="V268" i="319" s="1"/>
  <c r="V269" i="319" s="1"/>
  <c r="V270" i="319" s="1"/>
  <c r="V271" i="319" s="1"/>
  <c r="V272" i="319" s="1"/>
  <c r="V273" i="319" s="1"/>
  <c r="V274" i="319" s="1"/>
  <c r="V275" i="319" s="1"/>
  <c r="V276" i="319" s="1"/>
  <c r="V277" i="319" s="1"/>
  <c r="V278" i="319" s="1"/>
  <c r="V279" i="319" s="1"/>
  <c r="V280" i="319" s="1"/>
  <c r="V281" i="319" s="1"/>
  <c r="V282" i="319" s="1"/>
  <c r="V283" i="319" s="1"/>
  <c r="V284" i="319" s="1"/>
  <c r="V285" i="319" s="1"/>
  <c r="V286" i="319" s="1"/>
  <c r="V287" i="319" s="1"/>
  <c r="V288" i="319" s="1"/>
  <c r="V289" i="319" s="1"/>
  <c r="V290" i="319" s="1"/>
  <c r="V291" i="319" s="1"/>
  <c r="V292" i="319" s="1"/>
  <c r="V293" i="319" s="1"/>
  <c r="V294" i="319" s="1"/>
  <c r="V295" i="319" s="1"/>
  <c r="V296" i="319" s="1"/>
  <c r="V297" i="319" s="1"/>
  <c r="V298" i="319" s="1"/>
  <c r="V299" i="319" s="1"/>
  <c r="V300" i="319" s="1"/>
  <c r="V301" i="319" s="1"/>
  <c r="V302" i="319" s="1"/>
  <c r="V303" i="319" s="1"/>
  <c r="V304" i="319" s="1"/>
  <c r="V305" i="319" s="1"/>
  <c r="V306" i="319" s="1"/>
  <c r="V307" i="319" s="1"/>
  <c r="V308" i="319" s="1"/>
  <c r="V309" i="319" s="1"/>
  <c r="V310" i="319" s="1"/>
  <c r="V311" i="319" s="1"/>
  <c r="V318" i="319" s="1"/>
  <c r="V319" i="319" s="1"/>
  <c r="V320" i="319" s="1"/>
  <c r="V321" i="319" s="1"/>
  <c r="V322" i="319" s="1"/>
  <c r="V323" i="319" s="1"/>
  <c r="V324" i="319" s="1"/>
  <c r="V325" i="319" s="1"/>
  <c r="V326" i="319" s="1"/>
  <c r="V327" i="319" s="1"/>
  <c r="V328" i="319" s="1"/>
  <c r="V329" i="319" s="1"/>
  <c r="V330" i="319" s="1"/>
  <c r="V331" i="319" s="1"/>
  <c r="V332" i="319" s="1"/>
  <c r="V333" i="319" s="1"/>
  <c r="V334" i="319" s="1"/>
  <c r="V335" i="319" s="1"/>
  <c r="V336" i="319" s="1"/>
  <c r="V337" i="319" s="1"/>
  <c r="V338" i="319" s="1"/>
  <c r="V339" i="319" s="1"/>
  <c r="V340" i="319" s="1"/>
  <c r="V341" i="319" s="1"/>
  <c r="V342" i="319" s="1"/>
  <c r="V343" i="319" s="1"/>
  <c r="V344" i="319" s="1"/>
  <c r="V345" i="319" s="1"/>
  <c r="V346" i="319" s="1"/>
  <c r="V347" i="319" s="1"/>
  <c r="V348" i="319" s="1"/>
  <c r="V349" i="319" s="1"/>
  <c r="V350" i="319" s="1"/>
  <c r="V351" i="319" s="1"/>
  <c r="V352" i="319" s="1"/>
  <c r="V353" i="319" s="1"/>
  <c r="V354" i="319" s="1"/>
  <c r="V355" i="319" s="1"/>
  <c r="V356" i="319" s="1"/>
  <c r="V357" i="319" s="1"/>
  <c r="V358" i="319" s="1"/>
  <c r="V359" i="319" s="1"/>
  <c r="V360" i="319" s="1"/>
  <c r="V361" i="319" s="1"/>
  <c r="V362" i="319" s="1"/>
  <c r="V363" i="319" s="1"/>
  <c r="V364" i="319" s="1"/>
  <c r="V365" i="319" s="1"/>
  <c r="V366" i="319" s="1"/>
  <c r="V367" i="319" s="1"/>
  <c r="V368" i="319" s="1"/>
  <c r="V369" i="319" s="1"/>
  <c r="V370" i="319" s="1"/>
  <c r="V371" i="319" s="1"/>
  <c r="V372" i="319" s="1"/>
  <c r="V373" i="319" s="1"/>
  <c r="V374" i="319" s="1"/>
  <c r="V375" i="319" s="1"/>
  <c r="V376" i="319" s="1"/>
  <c r="V377" i="319" s="1"/>
  <c r="V378" i="319" s="1"/>
  <c r="V379" i="319" s="1"/>
  <c r="V380" i="319" s="1"/>
  <c r="V381" i="319" s="1"/>
  <c r="V382" i="319" s="1"/>
  <c r="V383" i="319" s="1"/>
  <c r="V384" i="319" s="1"/>
  <c r="V385" i="319" s="1"/>
  <c r="V386" i="319" s="1"/>
  <c r="V388" i="319" s="1"/>
  <c r="V389" i="319" s="1"/>
  <c r="V390" i="319" s="1"/>
  <c r="V391" i="319" s="1"/>
  <c r="V392" i="319" s="1"/>
  <c r="V393" i="319" s="1"/>
  <c r="V394" i="319" s="1"/>
  <c r="V395" i="319" s="1"/>
  <c r="V396" i="319" s="1"/>
  <c r="V397" i="319" s="1"/>
  <c r="V398" i="319" s="1"/>
  <c r="V399" i="319" s="1"/>
  <c r="V400" i="319" s="1"/>
  <c r="V401" i="319" s="1"/>
  <c r="V402" i="319" s="1"/>
  <c r="V403" i="319" s="1"/>
  <c r="V404" i="319" s="1"/>
  <c r="V405" i="319" s="1"/>
  <c r="V406" i="319" s="1"/>
  <c r="V407" i="319" s="1"/>
  <c r="V408" i="319" s="1"/>
  <c r="V409" i="319" s="1"/>
  <c r="V410" i="319" s="1"/>
  <c r="V411" i="319" s="1"/>
  <c r="V412" i="319" s="1"/>
  <c r="V413" i="319" s="1"/>
  <c r="V414" i="319" s="1"/>
  <c r="V415" i="319" s="1"/>
  <c r="V416" i="319" s="1"/>
  <c r="V417" i="319" s="1"/>
  <c r="V418" i="319" s="1"/>
  <c r="V419" i="319" s="1"/>
  <c r="V420" i="319" s="1"/>
  <c r="V421" i="319" s="1"/>
  <c r="V422" i="319" s="1"/>
  <c r="V423" i="319" s="1"/>
  <c r="V424" i="319" s="1"/>
  <c r="V425" i="319" s="1"/>
  <c r="V426" i="319" s="1"/>
  <c r="V427" i="319" s="1"/>
  <c r="V428" i="319" s="1"/>
  <c r="V429" i="319" s="1"/>
  <c r="V430" i="319" s="1"/>
  <c r="V431" i="319" s="1"/>
  <c r="V432" i="319" s="1"/>
  <c r="V433" i="319" s="1"/>
  <c r="V434" i="319" s="1"/>
  <c r="V435" i="319" s="1"/>
  <c r="V436" i="319" s="1"/>
  <c r="V437" i="319" s="1"/>
  <c r="V438" i="319" s="1"/>
  <c r="V439" i="319" s="1"/>
  <c r="V440" i="319" s="1"/>
  <c r="V441" i="319" s="1"/>
  <c r="V442" i="319" s="1"/>
  <c r="BT76" i="319"/>
  <c r="CB111" i="319"/>
  <c r="CW122" i="319"/>
  <c r="BJ281" i="319"/>
  <c r="BL281" i="319" s="1"/>
  <c r="CR386" i="319"/>
  <c r="CV386" i="319"/>
  <c r="BJ418" i="319"/>
  <c r="BL418" i="319" s="1"/>
  <c r="CV653" i="319"/>
  <c r="CP653" i="319"/>
  <c r="CV691" i="319"/>
  <c r="CP691" i="319"/>
  <c r="BT50" i="319"/>
  <c r="CB116" i="319"/>
  <c r="BT239" i="319"/>
  <c r="CP744" i="319"/>
  <c r="CV744" i="319"/>
  <c r="N11" i="319"/>
  <c r="CB167" i="319"/>
  <c r="CI183" i="319"/>
  <c r="CP439" i="319"/>
  <c r="CV439" i="319"/>
  <c r="CT624" i="319"/>
  <c r="CN620" i="319"/>
  <c r="CP620" i="319" s="1"/>
  <c r="BJ129" i="319"/>
  <c r="BL129" i="319" s="1"/>
  <c r="CB142" i="319"/>
  <c r="BT223" i="319"/>
  <c r="CW317" i="319"/>
  <c r="CW369" i="319"/>
  <c r="CP464" i="319"/>
  <c r="CV464" i="319"/>
  <c r="CP567" i="319"/>
  <c r="CV567" i="319"/>
  <c r="CV623" i="319"/>
  <c r="CP623" i="319"/>
  <c r="CP547" i="319"/>
  <c r="CV547" i="319"/>
  <c r="CT666" i="319"/>
  <c r="CW374" i="319"/>
  <c r="CP395" i="319"/>
  <c r="CP398" i="319"/>
  <c r="CP543" i="319"/>
  <c r="CP576" i="319"/>
  <c r="CP580" i="319"/>
  <c r="CP686" i="319"/>
  <c r="CP769" i="319"/>
  <c r="CP826" i="319"/>
  <c r="CP828" i="319"/>
  <c r="CN835" i="319"/>
  <c r="CP835" i="319" s="1"/>
  <c r="CW53" i="319"/>
  <c r="CR383" i="319"/>
  <c r="CP383" i="319"/>
  <c r="CV383" i="319"/>
  <c r="CP390" i="319"/>
  <c r="CV390" i="319"/>
  <c r="CV391" i="319"/>
  <c r="CR391" i="319"/>
  <c r="CP391" i="319"/>
  <c r="CV399" i="319"/>
  <c r="CR399" i="319"/>
  <c r="CP444" i="319"/>
  <c r="CV444" i="319"/>
  <c r="CP506" i="319"/>
  <c r="CR506" i="319"/>
  <c r="CP566" i="319"/>
  <c r="CV566" i="319"/>
  <c r="CP588" i="319"/>
  <c r="CV588" i="319"/>
  <c r="CP731" i="319"/>
  <c r="CV731" i="319"/>
  <c r="CP741" i="319"/>
  <c r="CV741" i="319"/>
  <c r="CT834" i="319"/>
  <c r="CN830" i="319"/>
  <c r="BJ35" i="319"/>
  <c r="BL35" i="319" s="1"/>
  <c r="CW48" i="319"/>
  <c r="CB84" i="319"/>
  <c r="CI100" i="319"/>
  <c r="CW106" i="319"/>
  <c r="CB121" i="319"/>
  <c r="CB126" i="319"/>
  <c r="CW158" i="319"/>
  <c r="CB178" i="319"/>
  <c r="BJ20" i="319"/>
  <c r="BL20" i="319" s="1"/>
  <c r="CI21" i="319"/>
  <c r="N12" i="319"/>
  <c r="N13" i="319" s="1"/>
  <c r="N14" i="319" s="1"/>
  <c r="N15" i="319" s="1"/>
  <c r="N16" i="319" s="1"/>
  <c r="N17" i="319" s="1"/>
  <c r="N18" i="319" s="1"/>
  <c r="N19" i="319" s="1"/>
  <c r="N20" i="319" s="1"/>
  <c r="N21" i="319" s="1"/>
  <c r="N22" i="319" s="1"/>
  <c r="N23" i="319" s="1"/>
  <c r="N24" i="319" s="1"/>
  <c r="N25" i="319" s="1"/>
  <c r="N26" i="319" s="1"/>
  <c r="N27" i="319" s="1"/>
  <c r="N28" i="319" s="1"/>
  <c r="N29" i="319" s="1"/>
  <c r="N30" i="319" s="1"/>
  <c r="N31" i="319" s="1"/>
  <c r="N32" i="319" s="1"/>
  <c r="N33" i="319" s="1"/>
  <c r="N34" i="319" s="1"/>
  <c r="N35" i="319" s="1"/>
  <c r="N36" i="319" s="1"/>
  <c r="N37" i="319" s="1"/>
  <c r="N38" i="319" s="1"/>
  <c r="N39" i="319" s="1"/>
  <c r="N40" i="319" s="1"/>
  <c r="N41" i="319" s="1"/>
  <c r="N42" i="319" s="1"/>
  <c r="N43" i="319" s="1"/>
  <c r="N44" i="319" s="1"/>
  <c r="N45" i="319" s="1"/>
  <c r="N46" i="319" s="1"/>
  <c r="N47" i="319" s="1"/>
  <c r="N48" i="319" s="1"/>
  <c r="N49" i="319" s="1"/>
  <c r="N50" i="319" s="1"/>
  <c r="N51" i="319" s="1"/>
  <c r="N52" i="319" s="1"/>
  <c r="N53" i="319" s="1"/>
  <c r="N54" i="319" s="1"/>
  <c r="N55" i="319" s="1"/>
  <c r="N56" i="319" s="1"/>
  <c r="N57" i="319" s="1"/>
  <c r="N58" i="319" s="1"/>
  <c r="N59" i="319" s="1"/>
  <c r="N60" i="319" s="1"/>
  <c r="N61" i="319" s="1"/>
  <c r="N62" i="319" s="1"/>
  <c r="N63" i="319" s="1"/>
  <c r="N64" i="319" s="1"/>
  <c r="N65" i="319" s="1"/>
  <c r="N66" i="319" s="1"/>
  <c r="N67" i="319" s="1"/>
  <c r="N68" i="319" s="1"/>
  <c r="N69" i="319" s="1"/>
  <c r="N70" i="319" s="1"/>
  <c r="N71" i="319" s="1"/>
  <c r="N72" i="319" s="1"/>
  <c r="N73" i="319" s="1"/>
  <c r="N74" i="319" s="1"/>
  <c r="N75" i="319" s="1"/>
  <c r="N76" i="319" s="1"/>
  <c r="N77" i="319" s="1"/>
  <c r="N78" i="319" s="1"/>
  <c r="N79" i="319" s="1"/>
  <c r="N80" i="319" s="1"/>
  <c r="N81" i="319" s="1"/>
  <c r="N82" i="319" s="1"/>
  <c r="N83" i="319" s="1"/>
  <c r="N84" i="319" s="1"/>
  <c r="N85" i="319" s="1"/>
  <c r="N86" i="319" s="1"/>
  <c r="N87" i="319" s="1"/>
  <c r="N88" i="319" s="1"/>
  <c r="N89" i="319" s="1"/>
  <c r="N90" i="319" s="1"/>
  <c r="N91" i="319" s="1"/>
  <c r="N92" i="319" s="1"/>
  <c r="N93" i="319" s="1"/>
  <c r="N94" i="319" s="1"/>
  <c r="N95" i="319" s="1"/>
  <c r="N96" i="319" s="1"/>
  <c r="N97" i="319" s="1"/>
  <c r="N98" i="319" s="1"/>
  <c r="N99" i="319" s="1"/>
  <c r="N100" i="319" s="1"/>
  <c r="N101" i="319" s="1"/>
  <c r="N102" i="319" s="1"/>
  <c r="N103" i="319" s="1"/>
  <c r="N104" i="319" s="1"/>
  <c r="N105" i="319" s="1"/>
  <c r="N106" i="319" s="1"/>
  <c r="N107" i="319" s="1"/>
  <c r="N108" i="319" s="1"/>
  <c r="N109" i="319" s="1"/>
  <c r="N110" i="319" s="1"/>
  <c r="N111" i="319" s="1"/>
  <c r="N112" i="319" s="1"/>
  <c r="N113" i="319" s="1"/>
  <c r="N114" i="319" s="1"/>
  <c r="N115" i="319" s="1"/>
  <c r="N116" i="319" s="1"/>
  <c r="N117" i="319" s="1"/>
  <c r="N118" i="319" s="1"/>
  <c r="N119" i="319" s="1"/>
  <c r="N120" i="319" s="1"/>
  <c r="N121" i="319" s="1"/>
  <c r="N122" i="319" s="1"/>
  <c r="N123" i="319" s="1"/>
  <c r="N124" i="319" s="1"/>
  <c r="N125" i="319" s="1"/>
  <c r="N126" i="319" s="1"/>
  <c r="N127" i="319" s="1"/>
  <c r="N128" i="319" s="1"/>
  <c r="N129" i="319" s="1"/>
  <c r="N130" i="319" s="1"/>
  <c r="N131" i="319" s="1"/>
  <c r="N132" i="319" s="1"/>
  <c r="N133" i="319" s="1"/>
  <c r="N134" i="319" s="1"/>
  <c r="N135" i="319" s="1"/>
  <c r="N136" i="319" s="1"/>
  <c r="N137" i="319" s="1"/>
  <c r="N138" i="319" s="1"/>
  <c r="N139" i="319" s="1"/>
  <c r="N140" i="319" s="1"/>
  <c r="N141" i="319" s="1"/>
  <c r="N142" i="319" s="1"/>
  <c r="N143" i="319" s="1"/>
  <c r="N144" i="319" s="1"/>
  <c r="N145" i="319" s="1"/>
  <c r="N146" i="319" s="1"/>
  <c r="N147" i="319" s="1"/>
  <c r="N148" i="319" s="1"/>
  <c r="N149" i="319" s="1"/>
  <c r="N150" i="319" s="1"/>
  <c r="N151" i="319" s="1"/>
  <c r="N152" i="319" s="1"/>
  <c r="N153" i="319" s="1"/>
  <c r="N154" i="319" s="1"/>
  <c r="N155" i="319" s="1"/>
  <c r="N156" i="319" s="1"/>
  <c r="N157" i="319" s="1"/>
  <c r="N158" i="319" s="1"/>
  <c r="N159" i="319" s="1"/>
  <c r="N160" i="319" s="1"/>
  <c r="N161" i="319" s="1"/>
  <c r="N162" i="319" s="1"/>
  <c r="N163" i="319" s="1"/>
  <c r="N164" i="319" s="1"/>
  <c r="N165" i="319" s="1"/>
  <c r="N166" i="319" s="1"/>
  <c r="N167" i="319" s="1"/>
  <c r="N168" i="319" s="1"/>
  <c r="N169" i="319" s="1"/>
  <c r="N170" i="319" s="1"/>
  <c r="N171" i="319" s="1"/>
  <c r="N172" i="319" s="1"/>
  <c r="N173" i="319" s="1"/>
  <c r="N174" i="319" s="1"/>
  <c r="N175" i="319" s="1"/>
  <c r="N176" i="319" s="1"/>
  <c r="N177" i="319" s="1"/>
  <c r="N178" i="319" s="1"/>
  <c r="N179" i="319" s="1"/>
  <c r="N180" i="319" s="1"/>
  <c r="N181" i="319" s="1"/>
  <c r="N182" i="319" s="1"/>
  <c r="N183" i="319" s="1"/>
  <c r="N184" i="319" s="1"/>
  <c r="N185" i="319" s="1"/>
  <c r="N186" i="319" s="1"/>
  <c r="N187" i="319" s="1"/>
  <c r="N188" i="319" s="1"/>
  <c r="N189" i="319" s="1"/>
  <c r="N190" i="319" s="1"/>
  <c r="N191" i="319" s="1"/>
  <c r="N192" i="319" s="1"/>
  <c r="N193" i="319" s="1"/>
  <c r="N194" i="319" s="1"/>
  <c r="N195" i="319" s="1"/>
  <c r="N196" i="319" s="1"/>
  <c r="N197" i="319" s="1"/>
  <c r="N198" i="319" s="1"/>
  <c r="N199" i="319" s="1"/>
  <c r="N200" i="319" s="1"/>
  <c r="N201" i="319" s="1"/>
  <c r="N202" i="319" s="1"/>
  <c r="N203" i="319" s="1"/>
  <c r="N204" i="319" s="1"/>
  <c r="N205" i="319" s="1"/>
  <c r="N206" i="319" s="1"/>
  <c r="N207" i="319" s="1"/>
  <c r="N208" i="319" s="1"/>
  <c r="N209" i="319" s="1"/>
  <c r="N210" i="319" s="1"/>
  <c r="N211" i="319" s="1"/>
  <c r="N212" i="319" s="1"/>
  <c r="N213" i="319" s="1"/>
  <c r="N214" i="319" s="1"/>
  <c r="N215" i="319" s="1"/>
  <c r="N216" i="319" s="1"/>
  <c r="N217" i="319" s="1"/>
  <c r="N218" i="319" s="1"/>
  <c r="N219" i="319" s="1"/>
  <c r="N220" i="319" s="1"/>
  <c r="N221" i="319" s="1"/>
  <c r="N222" i="319" s="1"/>
  <c r="N223" i="319" s="1"/>
  <c r="N224" i="319" s="1"/>
  <c r="N225" i="319" s="1"/>
  <c r="N226" i="319" s="1"/>
  <c r="N227" i="319" s="1"/>
  <c r="N228" i="319" s="1"/>
  <c r="N229" i="319" s="1"/>
  <c r="N230" i="319" s="1"/>
  <c r="N231" i="319" s="1"/>
  <c r="N232" i="319" s="1"/>
  <c r="N233" i="319" s="1"/>
  <c r="N234" i="319" s="1"/>
  <c r="N235" i="319" s="1"/>
  <c r="N236" i="319" s="1"/>
  <c r="N237" i="319" s="1"/>
  <c r="N238" i="319" s="1"/>
  <c r="N239" i="319" s="1"/>
  <c r="N240" i="319" s="1"/>
  <c r="N241" i="319" s="1"/>
  <c r="N242" i="319" s="1"/>
  <c r="N243" i="319" s="1"/>
  <c r="N244" i="319" s="1"/>
  <c r="N245" i="319" s="1"/>
  <c r="N246" i="319" s="1"/>
  <c r="N247" i="319" s="1"/>
  <c r="N248" i="319" s="1"/>
  <c r="N249" i="319" s="1"/>
  <c r="N250" i="319" s="1"/>
  <c r="N251" i="319" s="1"/>
  <c r="N252" i="319" s="1"/>
  <c r="N253" i="319" s="1"/>
  <c r="N254" i="319" s="1"/>
  <c r="N255" i="319" s="1"/>
  <c r="N256" i="319" s="1"/>
  <c r="N257" i="319" s="1"/>
  <c r="N258" i="319" s="1"/>
  <c r="N259" i="319" s="1"/>
  <c r="N260" i="319" s="1"/>
  <c r="N261" i="319" s="1"/>
  <c r="N262" i="319" s="1"/>
  <c r="N263" i="319" s="1"/>
  <c r="N264" i="319" s="1"/>
  <c r="N265" i="319" s="1"/>
  <c r="N266" i="319" s="1"/>
  <c r="N267" i="319" s="1"/>
  <c r="N268" i="319" s="1"/>
  <c r="N269" i="319" s="1"/>
  <c r="N270" i="319" s="1"/>
  <c r="N271" i="319" s="1"/>
  <c r="N272" i="319" s="1"/>
  <c r="N273" i="319" s="1"/>
  <c r="N274" i="319" s="1"/>
  <c r="N275" i="319" s="1"/>
  <c r="N276" i="319" s="1"/>
  <c r="N277" i="319" s="1"/>
  <c r="N278" i="319" s="1"/>
  <c r="N279" i="319" s="1"/>
  <c r="N280" i="319" s="1"/>
  <c r="N281" i="319" s="1"/>
  <c r="N282" i="319" s="1"/>
  <c r="N283" i="319" s="1"/>
  <c r="N284" i="319" s="1"/>
  <c r="N285" i="319" s="1"/>
  <c r="N286" i="319" s="1"/>
  <c r="N287" i="319" s="1"/>
  <c r="N288" i="319" s="1"/>
  <c r="N289" i="319" s="1"/>
  <c r="N290" i="319" s="1"/>
  <c r="N291" i="319" s="1"/>
  <c r="N292" i="319" s="1"/>
  <c r="N293" i="319" s="1"/>
  <c r="N294" i="319" s="1"/>
  <c r="N295" i="319" s="1"/>
  <c r="N296" i="319" s="1"/>
  <c r="N297" i="319" s="1"/>
  <c r="N298" i="319" s="1"/>
  <c r="N299" i="319" s="1"/>
  <c r="N300" i="319" s="1"/>
  <c r="N301" i="319" s="1"/>
  <c r="N302" i="319" s="1"/>
  <c r="N303" i="319" s="1"/>
  <c r="N304" i="319" s="1"/>
  <c r="N305" i="319" s="1"/>
  <c r="N306" i="319" s="1"/>
  <c r="N307" i="319" s="1"/>
  <c r="N308" i="319" s="1"/>
  <c r="N309" i="319" s="1"/>
  <c r="N310" i="319" s="1"/>
  <c r="N311" i="319" s="1"/>
  <c r="N318" i="319" s="1"/>
  <c r="N319" i="319" s="1"/>
  <c r="N320" i="319" s="1"/>
  <c r="N321" i="319" s="1"/>
  <c r="N322" i="319" s="1"/>
  <c r="N323" i="319" s="1"/>
  <c r="N324" i="319" s="1"/>
  <c r="N325" i="319" s="1"/>
  <c r="N326" i="319" s="1"/>
  <c r="N327" i="319" s="1"/>
  <c r="N328" i="319" s="1"/>
  <c r="N329" i="319" s="1"/>
  <c r="N330" i="319" s="1"/>
  <c r="N331" i="319" s="1"/>
  <c r="N332" i="319" s="1"/>
  <c r="N333" i="319" s="1"/>
  <c r="N334" i="319" s="1"/>
  <c r="N335" i="319" s="1"/>
  <c r="N336" i="319" s="1"/>
  <c r="N337" i="319" s="1"/>
  <c r="N338" i="319" s="1"/>
  <c r="N339" i="319" s="1"/>
  <c r="N340" i="319" s="1"/>
  <c r="N341" i="319" s="1"/>
  <c r="N342" i="319" s="1"/>
  <c r="N343" i="319" s="1"/>
  <c r="N344" i="319" s="1"/>
  <c r="N345" i="319" s="1"/>
  <c r="N346" i="319" s="1"/>
  <c r="N347" i="319" s="1"/>
  <c r="N348" i="319" s="1"/>
  <c r="N349" i="319" s="1"/>
  <c r="N350" i="319" s="1"/>
  <c r="N351" i="319" s="1"/>
  <c r="N352" i="319" s="1"/>
  <c r="N353" i="319" s="1"/>
  <c r="N354" i="319" s="1"/>
  <c r="N355" i="319" s="1"/>
  <c r="N356" i="319" s="1"/>
  <c r="N357" i="319" s="1"/>
  <c r="N358" i="319" s="1"/>
  <c r="N359" i="319" s="1"/>
  <c r="N360" i="319" s="1"/>
  <c r="N361" i="319" s="1"/>
  <c r="N362" i="319" s="1"/>
  <c r="N363" i="319" s="1"/>
  <c r="N364" i="319" s="1"/>
  <c r="N365" i="319" s="1"/>
  <c r="N366" i="319" s="1"/>
  <c r="N367" i="319" s="1"/>
  <c r="N368" i="319" s="1"/>
  <c r="N369" i="319" s="1"/>
  <c r="N370" i="319" s="1"/>
  <c r="N371" i="319" s="1"/>
  <c r="N372" i="319" s="1"/>
  <c r="N373" i="319" s="1"/>
  <c r="N374" i="319" s="1"/>
  <c r="N375" i="319" s="1"/>
  <c r="N376" i="319" s="1"/>
  <c r="N377" i="319" s="1"/>
  <c r="N378" i="319" s="1"/>
  <c r="N379" i="319" s="1"/>
  <c r="N380" i="319" s="1"/>
  <c r="N381" i="319" s="1"/>
  <c r="N382" i="319" s="1"/>
  <c r="N383" i="319" s="1"/>
  <c r="N384" i="319" s="1"/>
  <c r="N385" i="319" s="1"/>
  <c r="N386" i="319" s="1"/>
  <c r="N388" i="319" s="1"/>
  <c r="N389" i="319" s="1"/>
  <c r="N390" i="319" s="1"/>
  <c r="N391" i="319" s="1"/>
  <c r="N392" i="319" s="1"/>
  <c r="N393" i="319" s="1"/>
  <c r="N394" i="319" s="1"/>
  <c r="N395" i="319" s="1"/>
  <c r="N396" i="319" s="1"/>
  <c r="N397" i="319" s="1"/>
  <c r="N398" i="319" s="1"/>
  <c r="N399" i="319" s="1"/>
  <c r="N400" i="319" s="1"/>
  <c r="N401" i="319" s="1"/>
  <c r="N402" i="319" s="1"/>
  <c r="N403" i="319" s="1"/>
  <c r="N404" i="319" s="1"/>
  <c r="N405" i="319" s="1"/>
  <c r="N406" i="319" s="1"/>
  <c r="N407" i="319" s="1"/>
  <c r="N408" i="319" s="1"/>
  <c r="N409" i="319" s="1"/>
  <c r="N410" i="319" s="1"/>
  <c r="N411" i="319" s="1"/>
  <c r="N412" i="319" s="1"/>
  <c r="N413" i="319" s="1"/>
  <c r="N414" i="319" s="1"/>
  <c r="N415" i="319" s="1"/>
  <c r="N416" i="319" s="1"/>
  <c r="N417" i="319" s="1"/>
  <c r="N418" i="319" s="1"/>
  <c r="N419" i="319" s="1"/>
  <c r="N420" i="319" s="1"/>
  <c r="N421" i="319" s="1"/>
  <c r="N422" i="319" s="1"/>
  <c r="N423" i="319" s="1"/>
  <c r="N424" i="319" s="1"/>
  <c r="N425" i="319" s="1"/>
  <c r="N426" i="319" s="1"/>
  <c r="N427" i="319" s="1"/>
  <c r="N428" i="319" s="1"/>
  <c r="N429" i="319" s="1"/>
  <c r="N430" i="319" s="1"/>
  <c r="N431" i="319" s="1"/>
  <c r="N432" i="319" s="1"/>
  <c r="N433" i="319" s="1"/>
  <c r="N434" i="319" s="1"/>
  <c r="N435" i="319" s="1"/>
  <c r="N436" i="319" s="1"/>
  <c r="N437" i="319" s="1"/>
  <c r="N438" i="319" s="1"/>
  <c r="N439" i="319" s="1"/>
  <c r="N440" i="319" s="1"/>
  <c r="N441" i="319" s="1"/>
  <c r="N442" i="319" s="1"/>
  <c r="N443" i="319" s="1"/>
  <c r="N444" i="319" s="1"/>
  <c r="N445" i="319" s="1"/>
  <c r="N446" i="319" s="1"/>
  <c r="N447" i="319" s="1"/>
  <c r="N448" i="319" s="1"/>
  <c r="N449" i="319" s="1"/>
  <c r="N450" i="319" s="1"/>
  <c r="N451" i="319" s="1"/>
  <c r="N452" i="319" s="1"/>
  <c r="N453" i="319" s="1"/>
  <c r="N454" i="319" s="1"/>
  <c r="N455" i="319" s="1"/>
  <c r="N456" i="319" s="1"/>
  <c r="N457" i="319" s="1"/>
  <c r="N458" i="319" s="1"/>
  <c r="N459" i="319" s="1"/>
  <c r="N460" i="319" s="1"/>
  <c r="N461" i="319" s="1"/>
  <c r="N462" i="319" s="1"/>
  <c r="N463" i="319" s="1"/>
  <c r="N464" i="319" s="1"/>
  <c r="N465" i="319" s="1"/>
  <c r="N466" i="319" s="1"/>
  <c r="N467" i="319" s="1"/>
  <c r="N468" i="319" s="1"/>
  <c r="N469" i="319" s="1"/>
  <c r="N470" i="319" s="1"/>
  <c r="N471" i="319" s="1"/>
  <c r="N473" i="319" s="1"/>
  <c r="N474" i="319" s="1"/>
  <c r="N475" i="319" s="1"/>
  <c r="N476" i="319" s="1"/>
  <c r="N477" i="319" s="1"/>
  <c r="N478" i="319" s="1"/>
  <c r="N479" i="319" s="1"/>
  <c r="N480" i="319" s="1"/>
  <c r="N481" i="319" s="1"/>
  <c r="N482" i="319" s="1"/>
  <c r="N483" i="319" s="1"/>
  <c r="N484" i="319" s="1"/>
  <c r="N485" i="319" s="1"/>
  <c r="N486" i="319" s="1"/>
  <c r="N487" i="319" s="1"/>
  <c r="N488" i="319" s="1"/>
  <c r="N489" i="319" s="1"/>
  <c r="N490" i="319" s="1"/>
  <c r="N491" i="319" s="1"/>
  <c r="N492" i="319" s="1"/>
  <c r="N493" i="319" s="1"/>
  <c r="N494" i="319" s="1"/>
  <c r="N495" i="319" s="1"/>
  <c r="N496" i="319" s="1"/>
  <c r="N497" i="319" s="1"/>
  <c r="N498" i="319" s="1"/>
  <c r="N499" i="319" s="1"/>
  <c r="N500" i="319" s="1"/>
  <c r="N501" i="319" s="1"/>
  <c r="N502" i="319" s="1"/>
  <c r="N503" i="319" s="1"/>
  <c r="N504" i="319" s="1"/>
  <c r="N505" i="319" s="1"/>
  <c r="N506" i="319" s="1"/>
  <c r="N507" i="319" s="1"/>
  <c r="N508" i="319" s="1"/>
  <c r="N509" i="319" s="1"/>
  <c r="N510" i="319" s="1"/>
  <c r="N511" i="319" s="1"/>
  <c r="N512" i="319" s="1"/>
  <c r="N513" i="319" s="1"/>
  <c r="N514" i="319" s="1"/>
  <c r="N515" i="319" s="1"/>
  <c r="N516" i="319" s="1"/>
  <c r="N517" i="319" s="1"/>
  <c r="N518" i="319" s="1"/>
  <c r="N519" i="319" s="1"/>
  <c r="N520" i="319" s="1"/>
  <c r="N521" i="319" s="1"/>
  <c r="N522" i="319" s="1"/>
  <c r="N523" i="319" s="1"/>
  <c r="N524" i="319" s="1"/>
  <c r="N525" i="319" s="1"/>
  <c r="N526" i="319" s="1"/>
  <c r="N527" i="319" s="1"/>
  <c r="N528" i="319" s="1"/>
  <c r="N529" i="319" s="1"/>
  <c r="N530" i="319" s="1"/>
  <c r="N531" i="319" s="1"/>
  <c r="N532" i="319" s="1"/>
  <c r="N533" i="319" s="1"/>
  <c r="N535" i="319" s="1"/>
  <c r="N536" i="319" s="1"/>
  <c r="N537" i="319" s="1"/>
  <c r="N538" i="319" s="1"/>
  <c r="N539" i="319" s="1"/>
  <c r="N540" i="319" s="1"/>
  <c r="N541" i="319" s="1"/>
  <c r="N542" i="319" s="1"/>
  <c r="N543" i="319" s="1"/>
  <c r="N544" i="319" s="1"/>
  <c r="N545" i="319" s="1"/>
  <c r="N546" i="319" s="1"/>
  <c r="N547" i="319" s="1"/>
  <c r="N548" i="319" s="1"/>
  <c r="N549" i="319" s="1"/>
  <c r="N550" i="319" s="1"/>
  <c r="N551" i="319" s="1"/>
  <c r="N552" i="319" s="1"/>
  <c r="N553" i="319" s="1"/>
  <c r="N554" i="319" s="1"/>
  <c r="N555" i="319" s="1"/>
  <c r="N556" i="319" s="1"/>
  <c r="N557" i="319" s="1"/>
  <c r="N558" i="319" s="1"/>
  <c r="N559" i="319" s="1"/>
  <c r="N560" i="319" s="1"/>
  <c r="N561" i="319" s="1"/>
  <c r="N562" i="319" s="1"/>
  <c r="N563" i="319" s="1"/>
  <c r="N569" i="319" s="1"/>
  <c r="N570" i="319" s="1"/>
  <c r="AT11" i="319"/>
  <c r="AT12" i="319" s="1"/>
  <c r="AT13" i="319" s="1"/>
  <c r="AT14" i="319" s="1"/>
  <c r="AT15" i="319" s="1"/>
  <c r="AT16" i="319" s="1"/>
  <c r="AT17" i="319" s="1"/>
  <c r="AT18" i="319" s="1"/>
  <c r="AT19" i="319" s="1"/>
  <c r="AT20" i="319" s="1"/>
  <c r="AT21" i="319" s="1"/>
  <c r="AT22" i="319" s="1"/>
  <c r="AT23" i="319" s="1"/>
  <c r="AT24" i="319" s="1"/>
  <c r="AT25" i="319" s="1"/>
  <c r="AT26" i="319" s="1"/>
  <c r="AT27" i="319" s="1"/>
  <c r="AT28" i="319" s="1"/>
  <c r="AT29" i="319" s="1"/>
  <c r="AT30" i="319" s="1"/>
  <c r="AT31" i="319" s="1"/>
  <c r="AT32" i="319" s="1"/>
  <c r="AT33" i="319" s="1"/>
  <c r="AT34" i="319" s="1"/>
  <c r="AT35" i="319" s="1"/>
  <c r="AT36" i="319" s="1"/>
  <c r="AT37" i="319" s="1"/>
  <c r="AT38" i="319" s="1"/>
  <c r="AT39" i="319" s="1"/>
  <c r="AT40" i="319" s="1"/>
  <c r="AT41" i="319" s="1"/>
  <c r="AT42" i="319" s="1"/>
  <c r="AT43" i="319" s="1"/>
  <c r="AT44" i="319" s="1"/>
  <c r="AT45" i="319" s="1"/>
  <c r="AT46" i="319" s="1"/>
  <c r="AT47" i="319" s="1"/>
  <c r="AT48" i="319" s="1"/>
  <c r="AT49" i="319" s="1"/>
  <c r="AT50" i="319" s="1"/>
  <c r="AT51" i="319" s="1"/>
  <c r="AT52" i="319" s="1"/>
  <c r="AT53" i="319" s="1"/>
  <c r="AT54" i="319" s="1"/>
  <c r="AT55" i="319" s="1"/>
  <c r="AT56" i="319" s="1"/>
  <c r="AT57" i="319" s="1"/>
  <c r="AT58" i="319" s="1"/>
  <c r="AT59" i="319" s="1"/>
  <c r="AT60" i="319" s="1"/>
  <c r="AT61" i="319" s="1"/>
  <c r="AT62" i="319" s="1"/>
  <c r="AT63" i="319" s="1"/>
  <c r="AT64" i="319" s="1"/>
  <c r="AT65" i="319" s="1"/>
  <c r="AT66" i="319" s="1"/>
  <c r="AT67" i="319" s="1"/>
  <c r="AT68" i="319" s="1"/>
  <c r="AT69" i="319" s="1"/>
  <c r="AT70" i="319" s="1"/>
  <c r="AT71" i="319" s="1"/>
  <c r="AT72" i="319" s="1"/>
  <c r="AT73" i="319" s="1"/>
  <c r="AT74" i="319" s="1"/>
  <c r="AT75" i="319" s="1"/>
  <c r="AT76" i="319" s="1"/>
  <c r="AT77" i="319" s="1"/>
  <c r="AT78" i="319" s="1"/>
  <c r="AT79" i="319" s="1"/>
  <c r="AT80" i="319" s="1"/>
  <c r="AT81" i="319" s="1"/>
  <c r="AT82" i="319" s="1"/>
  <c r="AT83" i="319" s="1"/>
  <c r="AT84" i="319" s="1"/>
  <c r="AT85" i="319" s="1"/>
  <c r="AT86" i="319" s="1"/>
  <c r="AT87" i="319" s="1"/>
  <c r="AT88" i="319" s="1"/>
  <c r="AT89" i="319" s="1"/>
  <c r="AT90" i="319" s="1"/>
  <c r="AT91" i="319" s="1"/>
  <c r="AT92" i="319" s="1"/>
  <c r="AT93" i="319" s="1"/>
  <c r="AT94" i="319" s="1"/>
  <c r="AT95" i="319" s="1"/>
  <c r="AT96" i="319" s="1"/>
  <c r="AT97" i="319" s="1"/>
  <c r="AT98" i="319" s="1"/>
  <c r="AT99" i="319" s="1"/>
  <c r="AT100" i="319" s="1"/>
  <c r="AT101" i="319" s="1"/>
  <c r="AT102" i="319" s="1"/>
  <c r="AT103" i="319" s="1"/>
  <c r="AT104" i="319" s="1"/>
  <c r="AT105" i="319" s="1"/>
  <c r="AT106" i="319" s="1"/>
  <c r="AT107" i="319" s="1"/>
  <c r="AT108" i="319" s="1"/>
  <c r="AT109" i="319" s="1"/>
  <c r="AT110" i="319" s="1"/>
  <c r="AT111" i="319" s="1"/>
  <c r="AT112" i="319" s="1"/>
  <c r="AT113" i="319" s="1"/>
  <c r="AT114" i="319" s="1"/>
  <c r="AT115" i="319" s="1"/>
  <c r="AT116" i="319" s="1"/>
  <c r="AT117" i="319" s="1"/>
  <c r="AT118" i="319" s="1"/>
  <c r="AT119" i="319" s="1"/>
  <c r="AT120" i="319" s="1"/>
  <c r="AT121" i="319" s="1"/>
  <c r="AT122" i="319" s="1"/>
  <c r="AT123" i="319" s="1"/>
  <c r="AT124" i="319" s="1"/>
  <c r="AT125" i="319" s="1"/>
  <c r="AT126" i="319" s="1"/>
  <c r="AT127" i="319" s="1"/>
  <c r="AT128" i="319" s="1"/>
  <c r="AT129" i="319" s="1"/>
  <c r="AT130" i="319" s="1"/>
  <c r="AT131" i="319" s="1"/>
  <c r="AT132" i="319" s="1"/>
  <c r="AT133" i="319" s="1"/>
  <c r="AT134" i="319" s="1"/>
  <c r="CW43" i="319"/>
  <c r="CW80" i="319"/>
  <c r="CW216" i="319"/>
  <c r="CW241" i="319"/>
  <c r="BJ244" i="319"/>
  <c r="BL244" i="319" s="1"/>
  <c r="CI32" i="319"/>
  <c r="BJ10" i="319"/>
  <c r="BL10" i="319" s="1"/>
  <c r="BM10" i="319" s="1"/>
  <c r="CB22" i="319"/>
  <c r="BJ30" i="319"/>
  <c r="BL30" i="319" s="1"/>
  <c r="BJ46" i="319"/>
  <c r="BL46" i="319" s="1"/>
  <c r="CI47" i="319"/>
  <c r="CB68" i="319"/>
  <c r="BJ72" i="319"/>
  <c r="BL72" i="319" s="1"/>
  <c r="CB74" i="319"/>
  <c r="BJ83" i="319"/>
  <c r="BL83" i="319" s="1"/>
  <c r="BT101" i="319"/>
  <c r="CI126" i="319"/>
  <c r="BT265" i="319"/>
  <c r="CB63" i="319"/>
  <c r="CW164" i="319"/>
  <c r="BJ191" i="319"/>
  <c r="BL191" i="319" s="1"/>
  <c r="BT296" i="319"/>
  <c r="F11" i="319"/>
  <c r="F12" i="319" s="1"/>
  <c r="F13" i="319" s="1"/>
  <c r="F14" i="319" s="1"/>
  <c r="F15" i="319" s="1"/>
  <c r="F16" i="319" s="1"/>
  <c r="F17" i="319" s="1"/>
  <c r="F18" i="319" s="1"/>
  <c r="F19" i="319" s="1"/>
  <c r="F20" i="319" s="1"/>
  <c r="F21" i="319" s="1"/>
  <c r="F22" i="319" s="1"/>
  <c r="F23" i="319" s="1"/>
  <c r="F24" i="319" s="1"/>
  <c r="F25" i="319" s="1"/>
  <c r="F26" i="319" s="1"/>
  <c r="F27" i="319" s="1"/>
  <c r="F28" i="319" s="1"/>
  <c r="F29" i="319" s="1"/>
  <c r="F30" i="319" s="1"/>
  <c r="F31" i="319" s="1"/>
  <c r="F32" i="319" s="1"/>
  <c r="F33" i="319" s="1"/>
  <c r="F34" i="319" s="1"/>
  <c r="F35" i="319" s="1"/>
  <c r="F36" i="319" s="1"/>
  <c r="F37" i="319" s="1"/>
  <c r="F38" i="319" s="1"/>
  <c r="F39" i="319" s="1"/>
  <c r="F40" i="319" s="1"/>
  <c r="F41" i="319" s="1"/>
  <c r="F42" i="319" s="1"/>
  <c r="F43" i="319" s="1"/>
  <c r="F44" i="319" s="1"/>
  <c r="F45" i="319" s="1"/>
  <c r="F46" i="319" s="1"/>
  <c r="F47" i="319" s="1"/>
  <c r="F48" i="319" s="1"/>
  <c r="F49" i="319" s="1"/>
  <c r="F50" i="319" s="1"/>
  <c r="F51" i="319" s="1"/>
  <c r="F52" i="319" s="1"/>
  <c r="F53" i="319" s="1"/>
  <c r="F54" i="319" s="1"/>
  <c r="F55" i="319" s="1"/>
  <c r="F56" i="319" s="1"/>
  <c r="F57" i="319" s="1"/>
  <c r="F58" i="319" s="1"/>
  <c r="F59" i="319" s="1"/>
  <c r="F60" i="319" s="1"/>
  <c r="F61" i="319" s="1"/>
  <c r="F62" i="319" s="1"/>
  <c r="F63" i="319" s="1"/>
  <c r="F64" i="319" s="1"/>
  <c r="F65" i="319" s="1"/>
  <c r="F66" i="319" s="1"/>
  <c r="F67" i="319" s="1"/>
  <c r="F68" i="319" s="1"/>
  <c r="F69" i="319" s="1"/>
  <c r="F70" i="319" s="1"/>
  <c r="F71" i="319" s="1"/>
  <c r="F72" i="319" s="1"/>
  <c r="F73" i="319" s="1"/>
  <c r="F74" i="319" s="1"/>
  <c r="F75" i="319" s="1"/>
  <c r="F76" i="319" s="1"/>
  <c r="F77" i="319" s="1"/>
  <c r="F78" i="319" s="1"/>
  <c r="F79" i="319" s="1"/>
  <c r="F80" i="319" s="1"/>
  <c r="F81" i="319" s="1"/>
  <c r="F82" i="319" s="1"/>
  <c r="F83" i="319" s="1"/>
  <c r="F84" i="319" s="1"/>
  <c r="F85" i="319" s="1"/>
  <c r="F86" i="319" s="1"/>
  <c r="F87" i="319" s="1"/>
  <c r="F88" i="319" s="1"/>
  <c r="F89" i="319" s="1"/>
  <c r="F90" i="319" s="1"/>
  <c r="F91" i="319" s="1"/>
  <c r="F92" i="319" s="1"/>
  <c r="F93" i="319" s="1"/>
  <c r="F94" i="319" s="1"/>
  <c r="F95" i="319" s="1"/>
  <c r="F96" i="319" s="1"/>
  <c r="F97" i="319" s="1"/>
  <c r="F98" i="319" s="1"/>
  <c r="F99" i="319" s="1"/>
  <c r="F100" i="319" s="1"/>
  <c r="F101" i="319" s="1"/>
  <c r="F102" i="319" s="1"/>
  <c r="F103" i="319" s="1"/>
  <c r="F104" i="319" s="1"/>
  <c r="F105" i="319" s="1"/>
  <c r="F106" i="319" s="1"/>
  <c r="F107" i="319" s="1"/>
  <c r="F108" i="319" s="1"/>
  <c r="F109" i="319" s="1"/>
  <c r="F110" i="319" s="1"/>
  <c r="F111" i="319" s="1"/>
  <c r="F112" i="319" s="1"/>
  <c r="F113" i="319" s="1"/>
  <c r="F114" i="319" s="1"/>
  <c r="F115" i="319" s="1"/>
  <c r="F116" i="319" s="1"/>
  <c r="F117" i="319" s="1"/>
  <c r="F118" i="319" s="1"/>
  <c r="F119" i="319" s="1"/>
  <c r="F120" i="319" s="1"/>
  <c r="F121" i="319" s="1"/>
  <c r="F122" i="319" s="1"/>
  <c r="F123" i="319" s="1"/>
  <c r="F124" i="319" s="1"/>
  <c r="F125" i="319" s="1"/>
  <c r="F126" i="319" s="1"/>
  <c r="F127" i="319" s="1"/>
  <c r="F128" i="319" s="1"/>
  <c r="F129" i="319" s="1"/>
  <c r="F130" i="319" s="1"/>
  <c r="F131" i="319" s="1"/>
  <c r="F132" i="319" s="1"/>
  <c r="F133" i="319" s="1"/>
  <c r="F134" i="319" s="1"/>
  <c r="F135" i="319" s="1"/>
  <c r="F136" i="319" s="1"/>
  <c r="F137" i="319" s="1"/>
  <c r="F138" i="319" s="1"/>
  <c r="F139" i="319" s="1"/>
  <c r="F140" i="319" s="1"/>
  <c r="F141" i="319" s="1"/>
  <c r="F142" i="319" s="1"/>
  <c r="F143" i="319" s="1"/>
  <c r="F144" i="319" s="1"/>
  <c r="F145" i="319" s="1"/>
  <c r="F146" i="319" s="1"/>
  <c r="F147" i="319" s="1"/>
  <c r="F148" i="319" s="1"/>
  <c r="F149" i="319" s="1"/>
  <c r="F150" i="319" s="1"/>
  <c r="F151" i="319" s="1"/>
  <c r="F152" i="319" s="1"/>
  <c r="F153" i="319" s="1"/>
  <c r="F154" i="319" s="1"/>
  <c r="F155" i="319" s="1"/>
  <c r="F156" i="319" s="1"/>
  <c r="F157" i="319" s="1"/>
  <c r="F158" i="319" s="1"/>
  <c r="F159" i="319" s="1"/>
  <c r="F160" i="319" s="1"/>
  <c r="F161" i="319" s="1"/>
  <c r="F162" i="319" s="1"/>
  <c r="F163" i="319" s="1"/>
  <c r="F164" i="319" s="1"/>
  <c r="F165" i="319" s="1"/>
  <c r="F166" i="319" s="1"/>
  <c r="F167" i="319" s="1"/>
  <c r="F168" i="319" s="1"/>
  <c r="F169" i="319" s="1"/>
  <c r="F170" i="319" s="1"/>
  <c r="F171" i="319" s="1"/>
  <c r="F172" i="319" s="1"/>
  <c r="F173" i="319" s="1"/>
  <c r="F174" i="319" s="1"/>
  <c r="F175" i="319" s="1"/>
  <c r="F176" i="319" s="1"/>
  <c r="F177" i="319" s="1"/>
  <c r="F178" i="319" s="1"/>
  <c r="F179" i="319" s="1"/>
  <c r="F180" i="319" s="1"/>
  <c r="F181" i="319" s="1"/>
  <c r="F182" i="319" s="1"/>
  <c r="F183" i="319" s="1"/>
  <c r="F184" i="319" s="1"/>
  <c r="F185" i="319" s="1"/>
  <c r="F186" i="319" s="1"/>
  <c r="F187" i="319" s="1"/>
  <c r="F188" i="319" s="1"/>
  <c r="F189" i="319" s="1"/>
  <c r="F190" i="319" s="1"/>
  <c r="F191" i="319" s="1"/>
  <c r="F192" i="319" s="1"/>
  <c r="F193" i="319" s="1"/>
  <c r="F194" i="319" s="1"/>
  <c r="F195" i="319" s="1"/>
  <c r="F196" i="319" s="1"/>
  <c r="F197" i="319" s="1"/>
  <c r="F198" i="319" s="1"/>
  <c r="F199" i="319" s="1"/>
  <c r="F200" i="319" s="1"/>
  <c r="F201" i="319" s="1"/>
  <c r="F202" i="319" s="1"/>
  <c r="F203" i="319" s="1"/>
  <c r="F204" i="319" s="1"/>
  <c r="F205" i="319" s="1"/>
  <c r="F206" i="319" s="1"/>
  <c r="F207" i="319" s="1"/>
  <c r="F208" i="319" s="1"/>
  <c r="F209" i="319" s="1"/>
  <c r="F210" i="319" s="1"/>
  <c r="F211" i="319" s="1"/>
  <c r="F212" i="319" s="1"/>
  <c r="F213" i="319" s="1"/>
  <c r="F214" i="319" s="1"/>
  <c r="F215" i="319" s="1"/>
  <c r="F216" i="319" s="1"/>
  <c r="F217" i="319" s="1"/>
  <c r="F218" i="319" s="1"/>
  <c r="F219" i="319" s="1"/>
  <c r="F220" i="319" s="1"/>
  <c r="F221" i="319" s="1"/>
  <c r="F222" i="319" s="1"/>
  <c r="F223" i="319" s="1"/>
  <c r="F224" i="319" s="1"/>
  <c r="F225" i="319" s="1"/>
  <c r="F226" i="319" s="1"/>
  <c r="F227" i="319" s="1"/>
  <c r="F228" i="319" s="1"/>
  <c r="F229" i="319" s="1"/>
  <c r="F230" i="319" s="1"/>
  <c r="F231" i="319" s="1"/>
  <c r="F232" i="319" s="1"/>
  <c r="F233" i="319" s="1"/>
  <c r="F234" i="319" s="1"/>
  <c r="F235" i="319" s="1"/>
  <c r="F236" i="319" s="1"/>
  <c r="F237" i="319" s="1"/>
  <c r="F238" i="319" s="1"/>
  <c r="F239" i="319" s="1"/>
  <c r="F240" i="319" s="1"/>
  <c r="F241" i="319" s="1"/>
  <c r="F242" i="319" s="1"/>
  <c r="F243" i="319" s="1"/>
  <c r="F244" i="319" s="1"/>
  <c r="F245" i="319" s="1"/>
  <c r="F246" i="319" s="1"/>
  <c r="F247" i="319" s="1"/>
  <c r="F248" i="319" s="1"/>
  <c r="F249" i="319" s="1"/>
  <c r="F250" i="319" s="1"/>
  <c r="F251" i="319" s="1"/>
  <c r="F252" i="319" s="1"/>
  <c r="F253" i="319" s="1"/>
  <c r="F254" i="319" s="1"/>
  <c r="F255" i="319" s="1"/>
  <c r="F256" i="319" s="1"/>
  <c r="F257" i="319" s="1"/>
  <c r="F258" i="319" s="1"/>
  <c r="F259" i="319" s="1"/>
  <c r="F260" i="319" s="1"/>
  <c r="F261" i="319" s="1"/>
  <c r="F262" i="319" s="1"/>
  <c r="F263" i="319" s="1"/>
  <c r="F264" i="319" s="1"/>
  <c r="F265" i="319" s="1"/>
  <c r="F266" i="319" s="1"/>
  <c r="F267" i="319" s="1"/>
  <c r="F268" i="319" s="1"/>
  <c r="F269" i="319" s="1"/>
  <c r="F270" i="319" s="1"/>
  <c r="F271" i="319" s="1"/>
  <c r="F272" i="319" s="1"/>
  <c r="F273" i="319" s="1"/>
  <c r="F274" i="319" s="1"/>
  <c r="F275" i="319" s="1"/>
  <c r="F276" i="319" s="1"/>
  <c r="F277" i="319" s="1"/>
  <c r="F278" i="319" s="1"/>
  <c r="F279" i="319" s="1"/>
  <c r="F280" i="319" s="1"/>
  <c r="F281" i="319" s="1"/>
  <c r="F282" i="319" s="1"/>
  <c r="F283" i="319" s="1"/>
  <c r="F284" i="319" s="1"/>
  <c r="F285" i="319" s="1"/>
  <c r="F286" i="319" s="1"/>
  <c r="F287" i="319" s="1"/>
  <c r="F288" i="319" s="1"/>
  <c r="F289" i="319" s="1"/>
  <c r="F290" i="319" s="1"/>
  <c r="F291" i="319" s="1"/>
  <c r="F292" i="319" s="1"/>
  <c r="F293" i="319" s="1"/>
  <c r="F294" i="319" s="1"/>
  <c r="F295" i="319" s="1"/>
  <c r="F296" i="319" s="1"/>
  <c r="F297" i="319" s="1"/>
  <c r="F298" i="319" s="1"/>
  <c r="F299" i="319" s="1"/>
  <c r="F300" i="319" s="1"/>
  <c r="F301" i="319" s="1"/>
  <c r="F302" i="319" s="1"/>
  <c r="F303" i="319" s="1"/>
  <c r="F304" i="319" s="1"/>
  <c r="F305" i="319" s="1"/>
  <c r="F306" i="319" s="1"/>
  <c r="F307" i="319" s="1"/>
  <c r="F308" i="319" s="1"/>
  <c r="F309" i="319" s="1"/>
  <c r="F310" i="319" s="1"/>
  <c r="F311" i="319" s="1"/>
  <c r="F318" i="319" s="1"/>
  <c r="F319" i="319" s="1"/>
  <c r="F320" i="319" s="1"/>
  <c r="F321" i="319" s="1"/>
  <c r="F322" i="319" s="1"/>
  <c r="F323" i="319" s="1"/>
  <c r="F324" i="319" s="1"/>
  <c r="F325" i="319" s="1"/>
  <c r="F326" i="319" s="1"/>
  <c r="F327" i="319" s="1"/>
  <c r="F328" i="319" s="1"/>
  <c r="F329" i="319" s="1"/>
  <c r="F330" i="319" s="1"/>
  <c r="F331" i="319" s="1"/>
  <c r="F332" i="319" s="1"/>
  <c r="F333" i="319" s="1"/>
  <c r="F334" i="319" s="1"/>
  <c r="F335" i="319" s="1"/>
  <c r="F336" i="319" s="1"/>
  <c r="F337" i="319" s="1"/>
  <c r="F338" i="319" s="1"/>
  <c r="F339" i="319" s="1"/>
  <c r="F340" i="319" s="1"/>
  <c r="F341" i="319" s="1"/>
  <c r="F342" i="319" s="1"/>
  <c r="F343" i="319" s="1"/>
  <c r="F344" i="319" s="1"/>
  <c r="F345" i="319" s="1"/>
  <c r="F346" i="319" s="1"/>
  <c r="F347" i="319" s="1"/>
  <c r="F348" i="319" s="1"/>
  <c r="F349" i="319" s="1"/>
  <c r="F350" i="319" s="1"/>
  <c r="F351" i="319" s="1"/>
  <c r="F352" i="319" s="1"/>
  <c r="F353" i="319" s="1"/>
  <c r="F354" i="319" s="1"/>
  <c r="F355" i="319" s="1"/>
  <c r="F356" i="319" s="1"/>
  <c r="F357" i="319" s="1"/>
  <c r="F358" i="319" s="1"/>
  <c r="F359" i="319" s="1"/>
  <c r="F360" i="319" s="1"/>
  <c r="F361" i="319" s="1"/>
  <c r="F362" i="319" s="1"/>
  <c r="F363" i="319" s="1"/>
  <c r="F364" i="319" s="1"/>
  <c r="F365" i="319" s="1"/>
  <c r="F366" i="319" s="1"/>
  <c r="F367" i="319" s="1"/>
  <c r="F368" i="319" s="1"/>
  <c r="F369" i="319" s="1"/>
  <c r="F370" i="319" s="1"/>
  <c r="F371" i="319" s="1"/>
  <c r="F372" i="319" s="1"/>
  <c r="F373" i="319" s="1"/>
  <c r="F374" i="319" s="1"/>
  <c r="F375" i="319" s="1"/>
  <c r="F376" i="319" s="1"/>
  <c r="F377" i="319" s="1"/>
  <c r="F378" i="319" s="1"/>
  <c r="F379" i="319" s="1"/>
  <c r="F380" i="319" s="1"/>
  <c r="F381" i="319" s="1"/>
  <c r="F382" i="319" s="1"/>
  <c r="F383" i="319" s="1"/>
  <c r="F384" i="319" s="1"/>
  <c r="F385" i="319" s="1"/>
  <c r="F386" i="319" s="1"/>
  <c r="F388" i="319" s="1"/>
  <c r="F389" i="319" s="1"/>
  <c r="F390" i="319" s="1"/>
  <c r="F391" i="319" s="1"/>
  <c r="F392" i="319" s="1"/>
  <c r="F393" i="319" s="1"/>
  <c r="F394" i="319" s="1"/>
  <c r="F395" i="319" s="1"/>
  <c r="F396" i="319" s="1"/>
  <c r="F397" i="319" s="1"/>
  <c r="F398" i="319" s="1"/>
  <c r="F399" i="319" s="1"/>
  <c r="F400" i="319" s="1"/>
  <c r="F401" i="319" s="1"/>
  <c r="F402" i="319" s="1"/>
  <c r="F403" i="319" s="1"/>
  <c r="F404" i="319" s="1"/>
  <c r="F405" i="319" s="1"/>
  <c r="F406" i="319" s="1"/>
  <c r="F407" i="319" s="1"/>
  <c r="F408" i="319" s="1"/>
  <c r="F409" i="319" s="1"/>
  <c r="F410" i="319" s="1"/>
  <c r="F411" i="319" s="1"/>
  <c r="F412" i="319" s="1"/>
  <c r="F413" i="319" s="1"/>
  <c r="F414" i="319" s="1"/>
  <c r="F415" i="319" s="1"/>
  <c r="F416" i="319" s="1"/>
  <c r="F417" i="319" s="1"/>
  <c r="F418" i="319" s="1"/>
  <c r="F419" i="319" s="1"/>
  <c r="F420" i="319" s="1"/>
  <c r="F421" i="319" s="1"/>
  <c r="F422" i="319" s="1"/>
  <c r="F423" i="319" s="1"/>
  <c r="F424" i="319" s="1"/>
  <c r="F425" i="319" s="1"/>
  <c r="F426" i="319" s="1"/>
  <c r="F427" i="319" s="1"/>
  <c r="F428" i="319" s="1"/>
  <c r="F429" i="319" s="1"/>
  <c r="F430" i="319" s="1"/>
  <c r="F431" i="319" s="1"/>
  <c r="F432" i="319" s="1"/>
  <c r="F433" i="319" s="1"/>
  <c r="F434" i="319" s="1"/>
  <c r="F435" i="319" s="1"/>
  <c r="F436" i="319" s="1"/>
  <c r="F437" i="319" s="1"/>
  <c r="F438" i="319" s="1"/>
  <c r="F439" i="319" s="1"/>
  <c r="F440" i="319" s="1"/>
  <c r="F441" i="319" s="1"/>
  <c r="F442" i="319" s="1"/>
  <c r="F443" i="319" s="1"/>
  <c r="F444" i="319" s="1"/>
  <c r="F445" i="319" s="1"/>
  <c r="F446" i="319" s="1"/>
  <c r="F447" i="319" s="1"/>
  <c r="F448" i="319" s="1"/>
  <c r="F449" i="319" s="1"/>
  <c r="F450" i="319" s="1"/>
  <c r="F451" i="319" s="1"/>
  <c r="F452" i="319" s="1"/>
  <c r="F453" i="319" s="1"/>
  <c r="F454" i="319" s="1"/>
  <c r="F455" i="319" s="1"/>
  <c r="F456" i="319" s="1"/>
  <c r="F457" i="319" s="1"/>
  <c r="F458" i="319" s="1"/>
  <c r="F459" i="319" s="1"/>
  <c r="F460" i="319" s="1"/>
  <c r="F461" i="319" s="1"/>
  <c r="F462" i="319" s="1"/>
  <c r="F463" i="319" s="1"/>
  <c r="F464" i="319" s="1"/>
  <c r="F465" i="319" s="1"/>
  <c r="F466" i="319" s="1"/>
  <c r="F467" i="319" s="1"/>
  <c r="F468" i="319" s="1"/>
  <c r="F469" i="319" s="1"/>
  <c r="F470" i="319" s="1"/>
  <c r="F471" i="319" s="1"/>
  <c r="F473" i="319" s="1"/>
  <c r="F474" i="319" s="1"/>
  <c r="F475" i="319" s="1"/>
  <c r="F476" i="319" s="1"/>
  <c r="F477" i="319" s="1"/>
  <c r="F478" i="319" s="1"/>
  <c r="F479" i="319" s="1"/>
  <c r="F480" i="319" s="1"/>
  <c r="F481" i="319" s="1"/>
  <c r="F482" i="319" s="1"/>
  <c r="F483" i="319" s="1"/>
  <c r="F484" i="319" s="1"/>
  <c r="F485" i="319" s="1"/>
  <c r="F486" i="319" s="1"/>
  <c r="F487" i="319" s="1"/>
  <c r="F488" i="319" s="1"/>
  <c r="F489" i="319" s="1"/>
  <c r="F490" i="319" s="1"/>
  <c r="F491" i="319" s="1"/>
  <c r="F492" i="319" s="1"/>
  <c r="F493" i="319" s="1"/>
  <c r="F494" i="319" s="1"/>
  <c r="F495" i="319" s="1"/>
  <c r="F496" i="319" s="1"/>
  <c r="F497" i="319" s="1"/>
  <c r="F498" i="319" s="1"/>
  <c r="F499" i="319" s="1"/>
  <c r="F500" i="319" s="1"/>
  <c r="F501" i="319" s="1"/>
  <c r="F502" i="319" s="1"/>
  <c r="F503" i="319" s="1"/>
  <c r="F504" i="319" s="1"/>
  <c r="CW23" i="319"/>
  <c r="BT29" i="319"/>
  <c r="BJ88" i="319"/>
  <c r="BL88" i="319" s="1"/>
  <c r="CB172" i="319"/>
  <c r="BJ181" i="319"/>
  <c r="BL181" i="319" s="1"/>
  <c r="BT187" i="319"/>
  <c r="CB194" i="319"/>
  <c r="BT228" i="319"/>
  <c r="CW289" i="319"/>
  <c r="BJ301" i="319"/>
  <c r="BL301" i="319" s="1"/>
  <c r="BT318" i="319"/>
  <c r="BJ322" i="319"/>
  <c r="BL322" i="319" s="1"/>
  <c r="BT323" i="319"/>
  <c r="CW358" i="319"/>
  <c r="BT86" i="319"/>
  <c r="CI132" i="319"/>
  <c r="CI137" i="319"/>
  <c r="CW184" i="319"/>
  <c r="BJ296" i="319"/>
  <c r="BL296" i="319" s="1"/>
  <c r="BJ306" i="319"/>
  <c r="BL306" i="319" s="1"/>
  <c r="BJ382" i="319"/>
  <c r="BL382" i="319" s="1"/>
  <c r="BJ15" i="319"/>
  <c r="BL15" i="319" s="1"/>
  <c r="BT18" i="319"/>
  <c r="CW18" i="319"/>
  <c r="BT24" i="319"/>
  <c r="CW29" i="319"/>
  <c r="CI42" i="319"/>
  <c r="CB53" i="319"/>
  <c r="CI67" i="319"/>
  <c r="BJ93" i="319"/>
  <c r="BL93" i="319" s="1"/>
  <c r="BJ97" i="319"/>
  <c r="BL97" i="319" s="1"/>
  <c r="CI111" i="319"/>
  <c r="CI121" i="319"/>
  <c r="BT138" i="319"/>
  <c r="CW148" i="319"/>
  <c r="BJ149" i="319"/>
  <c r="BL149" i="319" s="1"/>
  <c r="CB148" i="319"/>
  <c r="CI188" i="319"/>
  <c r="CW195" i="319"/>
  <c r="BT197" i="319"/>
  <c r="CB196" i="319"/>
  <c r="CW211" i="319"/>
  <c r="CW267" i="319"/>
  <c r="BJ270" i="319"/>
  <c r="BL270" i="319" s="1"/>
  <c r="BT307" i="319"/>
  <c r="CW342" i="319"/>
  <c r="BT286" i="319"/>
  <c r="BT334" i="319"/>
  <c r="BJ339" i="319"/>
  <c r="BL339" i="319" s="1"/>
  <c r="BT371" i="319"/>
  <c r="CV389" i="319"/>
  <c r="CR389" i="319"/>
  <c r="CR393" i="319"/>
  <c r="CP393" i="319"/>
  <c r="CV397" i="319"/>
  <c r="CR397" i="319"/>
  <c r="CP432" i="319"/>
  <c r="CV432" i="319"/>
  <c r="CP458" i="319"/>
  <c r="CR458" i="319"/>
  <c r="CP472" i="319"/>
  <c r="CR472" i="319"/>
  <c r="CP496" i="319"/>
  <c r="CR496" i="319"/>
  <c r="CP579" i="319"/>
  <c r="CV579" i="319"/>
  <c r="CV606" i="319"/>
  <c r="CP606" i="319"/>
  <c r="CV652" i="319"/>
  <c r="CP652" i="319"/>
  <c r="CP658" i="319"/>
  <c r="CV658" i="319"/>
  <c r="CV666" i="319"/>
  <c r="CP666" i="319"/>
  <c r="CV681" i="319"/>
  <c r="CP681" i="319"/>
  <c r="CP690" i="319"/>
  <c r="CV690" i="319"/>
  <c r="CP697" i="319"/>
  <c r="CV697" i="319"/>
  <c r="CV706" i="319"/>
  <c r="CP706" i="319"/>
  <c r="CN724" i="319"/>
  <c r="CP724" i="319" s="1"/>
  <c r="CT724" i="319"/>
  <c r="CW327" i="319"/>
  <c r="BT377" i="319"/>
  <c r="CV393" i="319"/>
  <c r="BJ408" i="319"/>
  <c r="BL408" i="319" s="1"/>
  <c r="CP485" i="319"/>
  <c r="CR485" i="319"/>
  <c r="CP522" i="319"/>
  <c r="CR522" i="319"/>
  <c r="CP610" i="319"/>
  <c r="CV610" i="319"/>
  <c r="CI196" i="319"/>
  <c r="BT281" i="319"/>
  <c r="CW322" i="319"/>
  <c r="BT329" i="319"/>
  <c r="BT344" i="319"/>
  <c r="BJ366" i="319"/>
  <c r="BL366" i="319" s="1"/>
  <c r="BJ377" i="319"/>
  <c r="BL377" i="319" s="1"/>
  <c r="BT382" i="319"/>
  <c r="BT387" i="319"/>
  <c r="BT403" i="319"/>
  <c r="CV400" i="319"/>
  <c r="BJ444" i="319"/>
  <c r="BL444" i="319" s="1"/>
  <c r="CP442" i="319"/>
  <c r="CV442" i="319"/>
  <c r="CP448" i="319"/>
  <c r="CR448" i="319"/>
  <c r="CV477" i="319"/>
  <c r="CP477" i="319"/>
  <c r="CV481" i="319"/>
  <c r="CP481" i="319"/>
  <c r="CP524" i="319"/>
  <c r="CR524" i="319"/>
  <c r="CP528" i="319"/>
  <c r="CR528" i="319"/>
  <c r="CV560" i="319"/>
  <c r="CP560" i="319"/>
  <c r="CN709" i="319"/>
  <c r="CT713" i="319"/>
  <c r="CP718" i="319"/>
  <c r="CV718" i="319"/>
  <c r="CV746" i="319"/>
  <c r="CP746" i="319"/>
  <c r="CV775" i="319"/>
  <c r="CP775" i="319"/>
  <c r="CP811" i="319"/>
  <c r="CV811" i="319"/>
  <c r="BJ413" i="319"/>
  <c r="BL413" i="319" s="1"/>
  <c r="CP465" i="319"/>
  <c r="CV465" i="319"/>
  <c r="CP479" i="319"/>
  <c r="CV479" i="319"/>
  <c r="CV556" i="319"/>
  <c r="CP556" i="319"/>
  <c r="CP688" i="319"/>
  <c r="CV688" i="319"/>
  <c r="CV696" i="319"/>
  <c r="CP696" i="319"/>
  <c r="CT708" i="319"/>
  <c r="CN704" i="319"/>
  <c r="CP704" i="319" s="1"/>
  <c r="CV754" i="319"/>
  <c r="CP754" i="319"/>
  <c r="CV763" i="319"/>
  <c r="CP763" i="319"/>
  <c r="BT428" i="319"/>
  <c r="CP467" i="319"/>
  <c r="CV467" i="319"/>
  <c r="CP493" i="319"/>
  <c r="CR493" i="319"/>
  <c r="CP559" i="319"/>
  <c r="CV559" i="319"/>
  <c r="CV570" i="319"/>
  <c r="CP570" i="319"/>
  <c r="CP632" i="319"/>
  <c r="CV632" i="319"/>
  <c r="CV633" i="319"/>
  <c r="CP633" i="319"/>
  <c r="CT650" i="319"/>
  <c r="CN646" i="319"/>
  <c r="CP646" i="319" s="1"/>
  <c r="CV654" i="319"/>
  <c r="CP654" i="319"/>
  <c r="CP660" i="319"/>
  <c r="CV660" i="319"/>
  <c r="CN667" i="319"/>
  <c r="CT671" i="319"/>
  <c r="CT687" i="319"/>
  <c r="CN683" i="319"/>
  <c r="CT729" i="319"/>
  <c r="CN725" i="319"/>
  <c r="CV725" i="319" s="1"/>
  <c r="CV742" i="319"/>
  <c r="CP742" i="319"/>
  <c r="CP747" i="319"/>
  <c r="CV747" i="319"/>
  <c r="CN767" i="319"/>
  <c r="CT771" i="319"/>
  <c r="CV825" i="319"/>
  <c r="CP825" i="319"/>
  <c r="CV827" i="319"/>
  <c r="CP827" i="319"/>
  <c r="CV832" i="319"/>
  <c r="CP832" i="319"/>
  <c r="BT423" i="319"/>
  <c r="CV577" i="319"/>
  <c r="CP577" i="319"/>
  <c r="CT619" i="319"/>
  <c r="CN615" i="319"/>
  <c r="CT634" i="319"/>
  <c r="CN630" i="319"/>
  <c r="CP668" i="319"/>
  <c r="CV668" i="319"/>
  <c r="CP700" i="319"/>
  <c r="CV700" i="319"/>
  <c r="CT718" i="319"/>
  <c r="CN714" i="319"/>
  <c r="CV714" i="319" s="1"/>
  <c r="CP719" i="319"/>
  <c r="CV719" i="319"/>
  <c r="CV727" i="319"/>
  <c r="CP727" i="319"/>
  <c r="CP743" i="319"/>
  <c r="CV743" i="319"/>
  <c r="CV750" i="319"/>
  <c r="CP750" i="319"/>
  <c r="CP757" i="319"/>
  <c r="CV757" i="319"/>
  <c r="CP809" i="319"/>
  <c r="CV809" i="319"/>
  <c r="CN815" i="319"/>
  <c r="CT819" i="319"/>
  <c r="CV831" i="319"/>
  <c r="CP831" i="319"/>
  <c r="CV833" i="319"/>
  <c r="CP833" i="319"/>
  <c r="CP457" i="319"/>
  <c r="CP512" i="319"/>
  <c r="CV557" i="319"/>
  <c r="CP557" i="319"/>
  <c r="CP582" i="319"/>
  <c r="CV586" i="319"/>
  <c r="CP586" i="319"/>
  <c r="CP601" i="319"/>
  <c r="CV605" i="319"/>
  <c r="CP611" i="319"/>
  <c r="CV657" i="319"/>
  <c r="CP657" i="319"/>
  <c r="CP670" i="319"/>
  <c r="CV670" i="319"/>
  <c r="CV707" i="319"/>
  <c r="CV716" i="319"/>
  <c r="CP716" i="319"/>
  <c r="CP728" i="319"/>
  <c r="CV728" i="319"/>
  <c r="CT750" i="319"/>
  <c r="CT755" i="319"/>
  <c r="CN751" i="319"/>
  <c r="CV751" i="319" s="1"/>
  <c r="CV760" i="319"/>
  <c r="CP760" i="319"/>
  <c r="CP761" i="319"/>
  <c r="CV777" i="319"/>
  <c r="CP777" i="319"/>
  <c r="CP796" i="319"/>
  <c r="CV796" i="319"/>
  <c r="CV816" i="319"/>
  <c r="CP816" i="319"/>
  <c r="CP817" i="319"/>
  <c r="CV818" i="319"/>
  <c r="CP818" i="319"/>
  <c r="CV835" i="319"/>
  <c r="CV693" i="319"/>
  <c r="CT655" i="319"/>
  <c r="CP836" i="319"/>
  <c r="CP837" i="319"/>
  <c r="CP838" i="319"/>
  <c r="CP839" i="319"/>
  <c r="F64" i="324"/>
  <c r="F67" i="324" s="1"/>
  <c r="S60" i="324"/>
  <c r="H60" i="324"/>
  <c r="U129" i="320"/>
  <c r="AE131" i="320"/>
  <c r="S132" i="320"/>
  <c r="Z42" i="320"/>
  <c r="Z43" i="320" s="1"/>
  <c r="Z44" i="320" s="1"/>
  <c r="Z45" i="320" s="1"/>
  <c r="Z46" i="320" s="1"/>
  <c r="AF41" i="320"/>
  <c r="AH41" i="320" s="1"/>
  <c r="N37" i="320"/>
  <c r="N38" i="320" s="1"/>
  <c r="N39" i="320" s="1"/>
  <c r="N40" i="320" s="1"/>
  <c r="N41" i="320" s="1"/>
  <c r="N42" i="320" s="1"/>
  <c r="N43" i="320" s="1"/>
  <c r="N44" i="320" s="1"/>
  <c r="N45" i="320" s="1"/>
  <c r="N46" i="320" s="1"/>
  <c r="T36" i="320"/>
  <c r="V36" i="320" s="1"/>
  <c r="AT11" i="320"/>
  <c r="P13" i="320"/>
  <c r="U12" i="320"/>
  <c r="T12" i="320"/>
  <c r="H12" i="320"/>
  <c r="B13" i="320"/>
  <c r="B14" i="320" s="1"/>
  <c r="B15" i="320" s="1"/>
  <c r="B16" i="320" s="1"/>
  <c r="B17" i="320" s="1"/>
  <c r="B18" i="320" s="1"/>
  <c r="B19" i="320" s="1"/>
  <c r="B20" i="320" s="1"/>
  <c r="B21" i="320" s="1"/>
  <c r="B22" i="320" s="1"/>
  <c r="B23" i="320" s="1"/>
  <c r="B24" i="320" s="1"/>
  <c r="B25" i="320" s="1"/>
  <c r="B26" i="320" s="1"/>
  <c r="B27" i="320" s="1"/>
  <c r="B28" i="320" s="1"/>
  <c r="B29" i="320" s="1"/>
  <c r="B30" i="320" s="1"/>
  <c r="B31" i="320" s="1"/>
  <c r="B32" i="320" s="1"/>
  <c r="B33" i="320" s="1"/>
  <c r="B34" i="320" s="1"/>
  <c r="B35" i="320" s="1"/>
  <c r="B36" i="320" s="1"/>
  <c r="AG12" i="320"/>
  <c r="AB13" i="320"/>
  <c r="AR52" i="320"/>
  <c r="AT52" i="320" s="1"/>
  <c r="AL41" i="320"/>
  <c r="AL42" i="320" s="1"/>
  <c r="AL43" i="320" s="1"/>
  <c r="AL44" i="320" s="1"/>
  <c r="AL45" i="320" s="1"/>
  <c r="AL46" i="320" s="1"/>
  <c r="AL47" i="320" s="1"/>
  <c r="AL48" i="320" s="1"/>
  <c r="AL49" i="320" s="1"/>
  <c r="AL50" i="320" s="1"/>
  <c r="AL51" i="320" s="1"/>
  <c r="AL52" i="320" s="1"/>
  <c r="AL53" i="320" s="1"/>
  <c r="AL54" i="320" s="1"/>
  <c r="AL55" i="320" s="1"/>
  <c r="AL56" i="320" s="1"/>
  <c r="AL57" i="320" s="1"/>
  <c r="AL58" i="320" s="1"/>
  <c r="AL59" i="320" s="1"/>
  <c r="AL60" i="320" s="1"/>
  <c r="AL61" i="320" s="1"/>
  <c r="AL62" i="320" s="1"/>
  <c r="AL63" i="320" s="1"/>
  <c r="AL64" i="320" s="1"/>
  <c r="AL65" i="320" s="1"/>
  <c r="AL66" i="320" s="1"/>
  <c r="AL67" i="320" s="1"/>
  <c r="AL68" i="320" s="1"/>
  <c r="AL69" i="320" s="1"/>
  <c r="AL70" i="320" s="1"/>
  <c r="AR40" i="320"/>
  <c r="AT40" i="320" s="1"/>
  <c r="H13" i="320"/>
  <c r="AF12" i="320"/>
  <c r="AH12" i="320" s="1"/>
  <c r="AR56" i="320"/>
  <c r="AT56" i="320" s="1"/>
  <c r="AR59" i="320"/>
  <c r="AT59" i="320" s="1"/>
  <c r="AR63" i="320"/>
  <c r="AT63" i="320" s="1"/>
  <c r="AF11" i="320"/>
  <c r="AF13" i="320"/>
  <c r="AF40" i="320"/>
  <c r="AG40" i="320"/>
  <c r="T41" i="320"/>
  <c r="V41" i="320" s="1"/>
  <c r="AR45" i="320"/>
  <c r="AT45" i="320" s="1"/>
  <c r="Q52" i="320"/>
  <c r="S52" i="320" s="1"/>
  <c r="Q71" i="320"/>
  <c r="S70" i="320"/>
  <c r="D13" i="320"/>
  <c r="I12" i="320"/>
  <c r="U11" i="320"/>
  <c r="V11" i="320" s="1"/>
  <c r="AG11" i="320"/>
  <c r="AF39" i="320"/>
  <c r="AH39" i="320" s="1"/>
  <c r="AF42" i="320"/>
  <c r="AH42" i="320" s="1"/>
  <c r="AR44" i="320"/>
  <c r="AT44" i="320" s="1"/>
  <c r="AF45" i="320"/>
  <c r="AH45" i="320" s="1"/>
  <c r="AO47" i="320"/>
  <c r="AQ46" i="320"/>
  <c r="AR46" i="320" s="1"/>
  <c r="AT46" i="320" s="1"/>
  <c r="AR50" i="320"/>
  <c r="AT50" i="320" s="1"/>
  <c r="AE53" i="320"/>
  <c r="AC54" i="320"/>
  <c r="AE54" i="320" s="1"/>
  <c r="AR55" i="320"/>
  <c r="AT55" i="320" s="1"/>
  <c r="AR57" i="320"/>
  <c r="AT57" i="320" s="1"/>
  <c r="AE109" i="320"/>
  <c r="AC110" i="320"/>
  <c r="AG110" i="320" s="1"/>
  <c r="AR12" i="320"/>
  <c r="AT12" i="320" s="1"/>
  <c r="T38" i="320"/>
  <c r="V38" i="320" s="1"/>
  <c r="AR48" i="320"/>
  <c r="AT48" i="320" s="1"/>
  <c r="AR53" i="320"/>
  <c r="AT53" i="320" s="1"/>
  <c r="AN13" i="320"/>
  <c r="AS12" i="320"/>
  <c r="AR37" i="320"/>
  <c r="AT37" i="320" s="1"/>
  <c r="U40" i="320"/>
  <c r="T40" i="320"/>
  <c r="V40" i="320" s="1"/>
  <c r="AR41" i="320"/>
  <c r="AT41" i="320" s="1"/>
  <c r="Q43" i="320"/>
  <c r="S43" i="320" s="1"/>
  <c r="T43" i="320" s="1"/>
  <c r="V43" i="320" s="1"/>
  <c r="S42" i="320"/>
  <c r="T42" i="320" s="1"/>
  <c r="V42" i="320" s="1"/>
  <c r="AQ47" i="320"/>
  <c r="AR47" i="320" s="1"/>
  <c r="AT47" i="320" s="1"/>
  <c r="AR36" i="320"/>
  <c r="AT36" i="320" s="1"/>
  <c r="AF37" i="320"/>
  <c r="AH37" i="320" s="1"/>
  <c r="AR38" i="320"/>
  <c r="AT38" i="320" s="1"/>
  <c r="T39" i="320"/>
  <c r="V39" i="320" s="1"/>
  <c r="AR39" i="320"/>
  <c r="AT39" i="320" s="1"/>
  <c r="I40" i="320"/>
  <c r="AR54" i="320"/>
  <c r="AT54" i="320" s="1"/>
  <c r="Q62" i="320"/>
  <c r="S61" i="320"/>
  <c r="AO62" i="320"/>
  <c r="AQ61" i="320"/>
  <c r="AR61" i="320" s="1"/>
  <c r="AT61" i="320" s="1"/>
  <c r="AR67" i="320"/>
  <c r="AT67" i="320" s="1"/>
  <c r="AR69" i="320"/>
  <c r="AT69" i="320" s="1"/>
  <c r="AE87" i="320"/>
  <c r="AG87" i="320"/>
  <c r="AC91" i="320"/>
  <c r="AE90" i="320"/>
  <c r="Q93" i="320"/>
  <c r="S92" i="320"/>
  <c r="AE47" i="320"/>
  <c r="Q54" i="320"/>
  <c r="S54" i="320" s="1"/>
  <c r="AO58" i="320"/>
  <c r="AQ58" i="320" s="1"/>
  <c r="AR58" i="320" s="1"/>
  <c r="AT58" i="320" s="1"/>
  <c r="AR65" i="320"/>
  <c r="AT65" i="320" s="1"/>
  <c r="S87" i="320"/>
  <c r="U87" i="320"/>
  <c r="AE93" i="320"/>
  <c r="AG93" i="320"/>
  <c r="Q103" i="320"/>
  <c r="S102" i="320"/>
  <c r="AC112" i="320"/>
  <c r="I11" i="320"/>
  <c r="J11" i="320" s="1"/>
  <c r="AC44" i="320"/>
  <c r="AE44" i="320" s="1"/>
  <c r="AF44" i="320" s="1"/>
  <c r="AH44" i="320" s="1"/>
  <c r="AE43" i="320"/>
  <c r="AF43" i="320" s="1"/>
  <c r="AH43" i="320" s="1"/>
  <c r="AQ49" i="320"/>
  <c r="AR49" i="320" s="1"/>
  <c r="AT49" i="320" s="1"/>
  <c r="AE55" i="320"/>
  <c r="AE59" i="320"/>
  <c r="S62" i="320"/>
  <c r="AR70" i="320"/>
  <c r="AT70" i="320" s="1"/>
  <c r="Q72" i="320"/>
  <c r="S72" i="320" s="1"/>
  <c r="S71" i="320"/>
  <c r="S90" i="320"/>
  <c r="I99" i="320"/>
  <c r="G99" i="320"/>
  <c r="AE99" i="320"/>
  <c r="I102" i="320"/>
  <c r="S106" i="320"/>
  <c r="AO43" i="320"/>
  <c r="AQ43" i="320" s="1"/>
  <c r="AR43" i="320" s="1"/>
  <c r="AT43" i="320" s="1"/>
  <c r="AQ42" i="320"/>
  <c r="AR42" i="320" s="1"/>
  <c r="AT42" i="320" s="1"/>
  <c r="I96" i="320"/>
  <c r="G96" i="320"/>
  <c r="AE123" i="320"/>
  <c r="AC124" i="320"/>
  <c r="AS11" i="320"/>
  <c r="Q45" i="320"/>
  <c r="S45" i="320" s="1"/>
  <c r="T45" i="320" s="1"/>
  <c r="V45" i="320" s="1"/>
  <c r="S44" i="320"/>
  <c r="T44" i="320" s="1"/>
  <c r="V44" i="320" s="1"/>
  <c r="AC48" i="320"/>
  <c r="AE48" i="320" s="1"/>
  <c r="AR51" i="320"/>
  <c r="AT51" i="320" s="1"/>
  <c r="I88" i="320"/>
  <c r="G88" i="320"/>
  <c r="U89" i="320"/>
  <c r="AG89" i="320"/>
  <c r="AG90" i="320"/>
  <c r="U92" i="320"/>
  <c r="S95" i="320"/>
  <c r="U95" i="320"/>
  <c r="G98" i="320"/>
  <c r="I98" i="320"/>
  <c r="AE114" i="320"/>
  <c r="AG114" i="320"/>
  <c r="S115" i="320"/>
  <c r="U115" i="320"/>
  <c r="S97" i="320"/>
  <c r="AC103" i="320"/>
  <c r="AE102" i="320"/>
  <c r="AC105" i="320"/>
  <c r="AE104" i="320"/>
  <c r="AC111" i="320"/>
  <c r="AG111" i="320" s="1"/>
  <c r="AE110" i="320"/>
  <c r="AG115" i="320"/>
  <c r="AE115" i="320"/>
  <c r="S60" i="320"/>
  <c r="AE60" i="320"/>
  <c r="AQ60" i="320"/>
  <c r="AR60" i="320" s="1"/>
  <c r="AT60" i="320" s="1"/>
  <c r="AQ62" i="320"/>
  <c r="AR62" i="320" s="1"/>
  <c r="AT62" i="320" s="1"/>
  <c r="AQ64" i="320"/>
  <c r="AR64" i="320" s="1"/>
  <c r="AT64" i="320" s="1"/>
  <c r="AQ66" i="320"/>
  <c r="AR66" i="320" s="1"/>
  <c r="AT66" i="320" s="1"/>
  <c r="AQ68" i="320"/>
  <c r="AR68" i="320" s="1"/>
  <c r="AT68" i="320" s="1"/>
  <c r="AC72" i="320"/>
  <c r="AE72" i="320" s="1"/>
  <c r="AE71" i="320"/>
  <c r="AG88" i="320"/>
  <c r="G90" i="320"/>
  <c r="U90" i="320"/>
  <c r="Q98" i="320"/>
  <c r="U98" i="320" s="1"/>
  <c r="AC99" i="320"/>
  <c r="AG99" i="320" s="1"/>
  <c r="AE98" i="320"/>
  <c r="G100" i="320"/>
  <c r="I100" i="320"/>
  <c r="U102" i="320"/>
  <c r="Q105" i="320"/>
  <c r="S104" i="320"/>
  <c r="AG104" i="320"/>
  <c r="G121" i="320"/>
  <c r="I121" i="320"/>
  <c r="AG130" i="320"/>
  <c r="AE130" i="320"/>
  <c r="Q99" i="320"/>
  <c r="Q110" i="320"/>
  <c r="U110" i="320" s="1"/>
  <c r="S109" i="320"/>
  <c r="Q114" i="320"/>
  <c r="U114" i="320" s="1"/>
  <c r="S113" i="320"/>
  <c r="S121" i="320"/>
  <c r="U121" i="320"/>
  <c r="S122" i="320"/>
  <c r="Q123" i="320"/>
  <c r="AC97" i="320"/>
  <c r="AE96" i="320"/>
  <c r="AG109" i="320"/>
  <c r="U112" i="320"/>
  <c r="S112" i="320"/>
  <c r="G115" i="320"/>
  <c r="I115" i="320"/>
  <c r="I123" i="320"/>
  <c r="G123" i="320"/>
  <c r="AC101" i="320"/>
  <c r="Q108" i="320"/>
  <c r="S107" i="320"/>
  <c r="AC108" i="320"/>
  <c r="AE107" i="320"/>
  <c r="U111" i="320"/>
  <c r="U113" i="320"/>
  <c r="AE117" i="320"/>
  <c r="AC118" i="320"/>
  <c r="AG122" i="320"/>
  <c r="AE122" i="320"/>
  <c r="AE126" i="320"/>
  <c r="AC132" i="320"/>
  <c r="AG132" i="320" s="1"/>
  <c r="S100" i="320"/>
  <c r="AE113" i="320"/>
  <c r="G114" i="320"/>
  <c r="S116" i="320"/>
  <c r="G117" i="320"/>
  <c r="U119" i="320"/>
  <c r="S119" i="320"/>
  <c r="AG123" i="320"/>
  <c r="Q125" i="320"/>
  <c r="U127" i="320"/>
  <c r="S127" i="320"/>
  <c r="S118" i="320"/>
  <c r="AE119" i="320"/>
  <c r="U122" i="320"/>
  <c r="G125" i="320"/>
  <c r="I125" i="320"/>
  <c r="U128" i="320"/>
  <c r="AE127" i="320"/>
  <c r="G129" i="320"/>
  <c r="I129" i="320"/>
  <c r="S129" i="320"/>
  <c r="AG131" i="320"/>
  <c r="U132" i="320"/>
  <c r="AE132" i="320"/>
  <c r="AG117" i="320"/>
  <c r="I119" i="320"/>
  <c r="G119" i="320"/>
  <c r="S120" i="320"/>
  <c r="AE121" i="320"/>
  <c r="U124" i="320"/>
  <c r="S131" i="320"/>
  <c r="AE125" i="320"/>
  <c r="S126" i="320"/>
  <c r="G127" i="320"/>
  <c r="AC129" i="320"/>
  <c r="AG129" i="320" s="1"/>
  <c r="Q130" i="320"/>
  <c r="CB33" i="319"/>
  <c r="BT13" i="319"/>
  <c r="CB17" i="319"/>
  <c r="AL11" i="319"/>
  <c r="AL12" i="319" s="1"/>
  <c r="AL13" i="319" s="1"/>
  <c r="AL14" i="319" s="1"/>
  <c r="AL15" i="319" s="1"/>
  <c r="AL16" i="319" s="1"/>
  <c r="AL17" i="319" s="1"/>
  <c r="AL18" i="319" s="1"/>
  <c r="AL19" i="319" s="1"/>
  <c r="AL20" i="319" s="1"/>
  <c r="AL21" i="319" s="1"/>
  <c r="AL22" i="319" s="1"/>
  <c r="AL23" i="319" s="1"/>
  <c r="AL24" i="319" s="1"/>
  <c r="AL25" i="319" s="1"/>
  <c r="AL26" i="319" s="1"/>
  <c r="AL27" i="319" s="1"/>
  <c r="AL28" i="319" s="1"/>
  <c r="AL29" i="319" s="1"/>
  <c r="AL30" i="319" s="1"/>
  <c r="AL31" i="319" s="1"/>
  <c r="AL32" i="319" s="1"/>
  <c r="AL33" i="319" s="1"/>
  <c r="AL34" i="319" s="1"/>
  <c r="AL35" i="319" s="1"/>
  <c r="AL36" i="319" s="1"/>
  <c r="AL37" i="319" s="1"/>
  <c r="AL38" i="319" s="1"/>
  <c r="AL39" i="319" s="1"/>
  <c r="AL40" i="319" s="1"/>
  <c r="AL41" i="319" s="1"/>
  <c r="AL42" i="319" s="1"/>
  <c r="AL43" i="319" s="1"/>
  <c r="AL44" i="319" s="1"/>
  <c r="AL45" i="319" s="1"/>
  <c r="AL46" i="319" s="1"/>
  <c r="AL47" i="319" s="1"/>
  <c r="AL48" i="319" s="1"/>
  <c r="AL49" i="319" s="1"/>
  <c r="AL50" i="319" s="1"/>
  <c r="AL51" i="319" s="1"/>
  <c r="AL52" i="319" s="1"/>
  <c r="AL53" i="319" s="1"/>
  <c r="AL54" i="319" s="1"/>
  <c r="AL55" i="319" s="1"/>
  <c r="AL56" i="319" s="1"/>
  <c r="AL57" i="319" s="1"/>
  <c r="AL58" i="319" s="1"/>
  <c r="AL59" i="319" s="1"/>
  <c r="AL60" i="319" s="1"/>
  <c r="AL61" i="319" s="1"/>
  <c r="AL62" i="319" s="1"/>
  <c r="AL63" i="319" s="1"/>
  <c r="AL64" i="319" s="1"/>
  <c r="AL65" i="319" s="1"/>
  <c r="AL66" i="319" s="1"/>
  <c r="AL67" i="319" s="1"/>
  <c r="AL68" i="319" s="1"/>
  <c r="AL69" i="319" s="1"/>
  <c r="AL70" i="319" s="1"/>
  <c r="AL71" i="319" s="1"/>
  <c r="AL72" i="319" s="1"/>
  <c r="AL73" i="319" s="1"/>
  <c r="AL74" i="319" s="1"/>
  <c r="AL75" i="319" s="1"/>
  <c r="AL76" i="319" s="1"/>
  <c r="AL77" i="319" s="1"/>
  <c r="AL78" i="319" s="1"/>
  <c r="AL79" i="319" s="1"/>
  <c r="AL80" i="319" s="1"/>
  <c r="AL81" i="319" s="1"/>
  <c r="AL82" i="319" s="1"/>
  <c r="AL83" i="319" s="1"/>
  <c r="AL84" i="319" s="1"/>
  <c r="AL85" i="319" s="1"/>
  <c r="AL86" i="319" s="1"/>
  <c r="AL87" i="319" s="1"/>
  <c r="AL88" i="319" s="1"/>
  <c r="AL89" i="319" s="1"/>
  <c r="AL90" i="319" s="1"/>
  <c r="CI16" i="319"/>
  <c r="CI27" i="319"/>
  <c r="CB28" i="319"/>
  <c r="CB38" i="319"/>
  <c r="CB43" i="319"/>
  <c r="CB48" i="319"/>
  <c r="BT55" i="319"/>
  <c r="BJ61" i="319"/>
  <c r="BL61" i="319" s="1"/>
  <c r="BT66" i="319"/>
  <c r="CW69" i="319"/>
  <c r="CI74" i="319"/>
  <c r="BT81" i="319"/>
  <c r="CI90" i="319"/>
  <c r="CB95" i="319"/>
  <c r="CW95" i="319"/>
  <c r="BT106" i="319"/>
  <c r="CI106" i="319"/>
  <c r="BJ118" i="319"/>
  <c r="BL118" i="319" s="1"/>
  <c r="BT122" i="319"/>
  <c r="BT159" i="319"/>
  <c r="BT175" i="319"/>
  <c r="N650" i="319"/>
  <c r="N651" i="319" s="1"/>
  <c r="N652" i="319" s="1"/>
  <c r="N653" i="319" s="1"/>
  <c r="N654" i="319" s="1"/>
  <c r="N655" i="319" s="1"/>
  <c r="N656" i="319" s="1"/>
  <c r="CI57" i="319"/>
  <c r="CW13" i="319"/>
  <c r="AD11" i="319"/>
  <c r="AD12" i="319" s="1"/>
  <c r="AD13" i="319" s="1"/>
  <c r="AD14" i="319" s="1"/>
  <c r="AD15" i="319" s="1"/>
  <c r="AD16" i="319" s="1"/>
  <c r="AD17" i="319" s="1"/>
  <c r="AD18" i="319" s="1"/>
  <c r="AD19" i="319" s="1"/>
  <c r="AD20" i="319" s="1"/>
  <c r="AD21" i="319" s="1"/>
  <c r="AD22" i="319" s="1"/>
  <c r="AD23" i="319" s="1"/>
  <c r="AD24" i="319" s="1"/>
  <c r="AD25" i="319" s="1"/>
  <c r="AD26" i="319" s="1"/>
  <c r="AD27" i="319" s="1"/>
  <c r="AD28" i="319" s="1"/>
  <c r="AD29" i="319" s="1"/>
  <c r="AD30" i="319" s="1"/>
  <c r="AD31" i="319" s="1"/>
  <c r="AD32" i="319" s="1"/>
  <c r="AD33" i="319" s="1"/>
  <c r="AD34" i="319" s="1"/>
  <c r="AD35" i="319" s="1"/>
  <c r="AD36" i="319" s="1"/>
  <c r="AD37" i="319" s="1"/>
  <c r="AD38" i="319" s="1"/>
  <c r="AD39" i="319" s="1"/>
  <c r="AD40" i="319" s="1"/>
  <c r="AD41" i="319" s="1"/>
  <c r="AD42" i="319" s="1"/>
  <c r="AD43" i="319" s="1"/>
  <c r="AD44" i="319" s="1"/>
  <c r="AD45" i="319" s="1"/>
  <c r="AD46" i="319" s="1"/>
  <c r="AD47" i="319" s="1"/>
  <c r="AD48" i="319" s="1"/>
  <c r="AD49" i="319" s="1"/>
  <c r="AD50" i="319" s="1"/>
  <c r="AD51" i="319" s="1"/>
  <c r="AD52" i="319" s="1"/>
  <c r="AD53" i="319" s="1"/>
  <c r="AD54" i="319" s="1"/>
  <c r="AD55" i="319" s="1"/>
  <c r="AD56" i="319" s="1"/>
  <c r="AD57" i="319" s="1"/>
  <c r="AD58" i="319" s="1"/>
  <c r="AD59" i="319" s="1"/>
  <c r="AD60" i="319" s="1"/>
  <c r="AD61" i="319" s="1"/>
  <c r="AD62" i="319" s="1"/>
  <c r="AD63" i="319" s="1"/>
  <c r="AD64" i="319" s="1"/>
  <c r="AD65" i="319" s="1"/>
  <c r="AD66" i="319" s="1"/>
  <c r="AD67" i="319" s="1"/>
  <c r="AD68" i="319" s="1"/>
  <c r="AD69" i="319" s="1"/>
  <c r="AD70" i="319" s="1"/>
  <c r="AD71" i="319" s="1"/>
  <c r="AD72" i="319" s="1"/>
  <c r="AD73" i="319" s="1"/>
  <c r="AD74" i="319" s="1"/>
  <c r="AD75" i="319" s="1"/>
  <c r="AD76" i="319" s="1"/>
  <c r="AD77" i="319" s="1"/>
  <c r="AD78" i="319" s="1"/>
  <c r="AD79" i="319" s="1"/>
  <c r="AD80" i="319" s="1"/>
  <c r="AD81" i="319" s="1"/>
  <c r="AD82" i="319" s="1"/>
  <c r="AD83" i="319" s="1"/>
  <c r="AD84" i="319" s="1"/>
  <c r="AD85" i="319" s="1"/>
  <c r="AD86" i="319" s="1"/>
  <c r="AD87" i="319" s="1"/>
  <c r="AD88" i="319" s="1"/>
  <c r="AD89" i="319" s="1"/>
  <c r="AD90" i="319" s="1"/>
  <c r="AD91" i="319" s="1"/>
  <c r="AD92" i="319" s="1"/>
  <c r="AD93" i="319" s="1"/>
  <c r="AD94" i="319" s="1"/>
  <c r="AD95" i="319" s="1"/>
  <c r="AD96" i="319" s="1"/>
  <c r="AD97" i="319" s="1"/>
  <c r="AD98" i="319" s="1"/>
  <c r="AD99" i="319" s="1"/>
  <c r="AD100" i="319" s="1"/>
  <c r="AD101" i="319" s="1"/>
  <c r="AD102" i="319" s="1"/>
  <c r="AD103" i="319" s="1"/>
  <c r="AD104" i="319" s="1"/>
  <c r="AD105" i="319" s="1"/>
  <c r="AD106" i="319" s="1"/>
  <c r="AD107" i="319" s="1"/>
  <c r="AD108" i="319" s="1"/>
  <c r="AD109" i="319" s="1"/>
  <c r="AD110" i="319" s="1"/>
  <c r="AD111" i="319" s="1"/>
  <c r="AD112" i="319" s="1"/>
  <c r="AD113" i="319" s="1"/>
  <c r="AD114" i="319" s="1"/>
  <c r="AD115" i="319" s="1"/>
  <c r="AD116" i="319" s="1"/>
  <c r="AD117" i="319" s="1"/>
  <c r="AD118" i="319" s="1"/>
  <c r="AD119" i="319" s="1"/>
  <c r="AD120" i="319" s="1"/>
  <c r="AD121" i="319" s="1"/>
  <c r="AD122" i="319" s="1"/>
  <c r="AD123" i="319" s="1"/>
  <c r="AD124" i="319" s="1"/>
  <c r="AD125" i="319" s="1"/>
  <c r="AD126" i="319" s="1"/>
  <c r="AD127" i="319" s="1"/>
  <c r="AD128" i="319" s="1"/>
  <c r="AD129" i="319" s="1"/>
  <c r="AD130" i="319" s="1"/>
  <c r="AD131" i="319" s="1"/>
  <c r="AD132" i="319" s="1"/>
  <c r="AD133" i="319" s="1"/>
  <c r="AD134" i="319" s="1"/>
  <c r="AD135" i="319" s="1"/>
  <c r="AD136" i="319" s="1"/>
  <c r="AD137" i="319" s="1"/>
  <c r="AD138" i="319" s="1"/>
  <c r="AD139" i="319" s="1"/>
  <c r="AD140" i="319" s="1"/>
  <c r="AD141" i="319" s="1"/>
  <c r="AD142" i="319" s="1"/>
  <c r="AD143" i="319" s="1"/>
  <c r="AD144" i="319" s="1"/>
  <c r="AD145" i="319" s="1"/>
  <c r="AD146" i="319" s="1"/>
  <c r="AD147" i="319" s="1"/>
  <c r="AD148" i="319" s="1"/>
  <c r="AD149" i="319" s="1"/>
  <c r="AD150" i="319" s="1"/>
  <c r="AD151" i="319" s="1"/>
  <c r="AD152" i="319" s="1"/>
  <c r="AD153" i="319" s="1"/>
  <c r="AD154" i="319" s="1"/>
  <c r="AD155" i="319" s="1"/>
  <c r="AD156" i="319" s="1"/>
  <c r="AD157" i="319" s="1"/>
  <c r="AD158" i="319" s="1"/>
  <c r="AD159" i="319" s="1"/>
  <c r="AD160" i="319" s="1"/>
  <c r="AD161" i="319" s="1"/>
  <c r="AD162" i="319" s="1"/>
  <c r="AD163" i="319" s="1"/>
  <c r="AD164" i="319" s="1"/>
  <c r="AD165" i="319" s="1"/>
  <c r="AD166" i="319" s="1"/>
  <c r="AD167" i="319" s="1"/>
  <c r="AD168" i="319" s="1"/>
  <c r="AD169" i="319" s="1"/>
  <c r="AD170" i="319" s="1"/>
  <c r="AD171" i="319" s="1"/>
  <c r="AD172" i="319" s="1"/>
  <c r="AD173" i="319" s="1"/>
  <c r="AD174" i="319" s="1"/>
  <c r="AD175" i="319" s="1"/>
  <c r="AD176" i="319" s="1"/>
  <c r="AD177" i="319" s="1"/>
  <c r="AD178" i="319" s="1"/>
  <c r="AD179" i="319" s="1"/>
  <c r="AD180" i="319" s="1"/>
  <c r="AD181" i="319" s="1"/>
  <c r="AD182" i="319" s="1"/>
  <c r="AD183" i="319" s="1"/>
  <c r="AD184" i="319" s="1"/>
  <c r="AD185" i="319" s="1"/>
  <c r="AD186" i="319" s="1"/>
  <c r="AD187" i="319" s="1"/>
  <c r="AD188" i="319" s="1"/>
  <c r="AD189" i="319" s="1"/>
  <c r="AD190" i="319" s="1"/>
  <c r="AD191" i="319" s="1"/>
  <c r="AD192" i="319" s="1"/>
  <c r="AD193" i="319" s="1"/>
  <c r="AD194" i="319" s="1"/>
  <c r="AD195" i="319" s="1"/>
  <c r="AD196" i="319" s="1"/>
  <c r="AD197" i="319" s="1"/>
  <c r="AD198" i="319" s="1"/>
  <c r="AD199" i="319" s="1"/>
  <c r="AD200" i="319" s="1"/>
  <c r="AD201" i="319" s="1"/>
  <c r="AD202" i="319" s="1"/>
  <c r="AD203" i="319" s="1"/>
  <c r="AD204" i="319" s="1"/>
  <c r="AD205" i="319" s="1"/>
  <c r="AD206" i="319" s="1"/>
  <c r="AD207" i="319" s="1"/>
  <c r="AD208" i="319" s="1"/>
  <c r="AD209" i="319" s="1"/>
  <c r="AD210" i="319" s="1"/>
  <c r="AD211" i="319" s="1"/>
  <c r="AD212" i="319" s="1"/>
  <c r="AD213" i="319" s="1"/>
  <c r="BT34" i="319"/>
  <c r="CI37" i="319"/>
  <c r="CI52" i="319"/>
  <c r="CW59" i="319"/>
  <c r="CI62" i="319"/>
  <c r="CW64" i="319"/>
  <c r="BT71" i="319"/>
  <c r="CB79" i="319"/>
  <c r="CW85" i="319"/>
  <c r="BT96" i="319"/>
  <c r="CB100" i="319"/>
  <c r="CI116" i="319"/>
  <c r="BJ123" i="319"/>
  <c r="BL123" i="319" s="1"/>
  <c r="BT128" i="319"/>
  <c r="BT133" i="319"/>
  <c r="CW189" i="319"/>
  <c r="CB12" i="319"/>
  <c r="BJ25" i="319"/>
  <c r="BL25" i="319" s="1"/>
  <c r="CW34" i="319"/>
  <c r="BT40" i="319"/>
  <c r="CW39" i="319"/>
  <c r="BJ41" i="319"/>
  <c r="BL41" i="319" s="1"/>
  <c r="BT45" i="319"/>
  <c r="BJ51" i="319"/>
  <c r="BL51" i="319" s="1"/>
  <c r="BT60" i="319"/>
  <c r="CW75" i="319"/>
  <c r="CI79" i="319"/>
  <c r="CI84" i="319"/>
  <c r="CB90" i="319"/>
  <c r="BT91" i="319"/>
  <c r="BJ102" i="319"/>
  <c r="BL102" i="319" s="1"/>
  <c r="CB106" i="319"/>
  <c r="CW116" i="319"/>
  <c r="BJ165" i="319"/>
  <c r="BL165" i="319" s="1"/>
  <c r="CW127" i="319"/>
  <c r="CW137" i="319"/>
  <c r="BJ155" i="319"/>
  <c r="BL155" i="319" s="1"/>
  <c r="CI158" i="319"/>
  <c r="CI162" i="319"/>
  <c r="CW174" i="319"/>
  <c r="CW90" i="319"/>
  <c r="CI95" i="319"/>
  <c r="CW101" i="319"/>
  <c r="BJ107" i="319"/>
  <c r="BL107" i="319" s="1"/>
  <c r="BT112" i="319"/>
  <c r="BJ134" i="319"/>
  <c r="BL134" i="319" s="1"/>
  <c r="BJ139" i="319"/>
  <c r="BL139" i="319" s="1"/>
  <c r="BJ170" i="319"/>
  <c r="BL170" i="319" s="1"/>
  <c r="CW231" i="319"/>
  <c r="BJ67" i="319"/>
  <c r="BL67" i="319" s="1"/>
  <c r="BJ113" i="319"/>
  <c r="BL113" i="319" s="1"/>
  <c r="BT117" i="319"/>
  <c r="CB132" i="319"/>
  <c r="CW142" i="319"/>
  <c r="BT144" i="319"/>
  <c r="CI148" i="319"/>
  <c r="CI167" i="319"/>
  <c r="CB137" i="319"/>
  <c r="CI142" i="319"/>
  <c r="BJ144" i="319"/>
  <c r="BL144" i="319" s="1"/>
  <c r="BT149" i="319"/>
  <c r="CW153" i="319"/>
  <c r="CB153" i="319"/>
  <c r="CB158" i="319"/>
  <c r="BJ160" i="319"/>
  <c r="BL160" i="319" s="1"/>
  <c r="CB162" i="319"/>
  <c r="BT164" i="319"/>
  <c r="CI172" i="319"/>
  <c r="BJ176" i="319"/>
  <c r="BL176" i="319" s="1"/>
  <c r="BJ186" i="319"/>
  <c r="BL186" i="319" s="1"/>
  <c r="BJ196" i="319"/>
  <c r="BL196" i="319" s="1"/>
  <c r="BJ202" i="319"/>
  <c r="BL202" i="319" s="1"/>
  <c r="BT202" i="319"/>
  <c r="CW205" i="319"/>
  <c r="BT212" i="319"/>
  <c r="BT234" i="319"/>
  <c r="CW236" i="319"/>
  <c r="BT249" i="319"/>
  <c r="BJ286" i="319"/>
  <c r="BL286" i="319" s="1"/>
  <c r="CP404" i="319"/>
  <c r="CV404" i="319"/>
  <c r="CV414" i="319"/>
  <c r="CR414" i="319"/>
  <c r="CP414" i="319"/>
  <c r="CV417" i="319"/>
  <c r="CR417" i="319"/>
  <c r="CP417" i="319"/>
  <c r="CR427" i="319"/>
  <c r="CP427" i="319"/>
  <c r="CV427" i="319"/>
  <c r="CR429" i="319"/>
  <c r="CP429" i="319"/>
  <c r="CV429" i="319"/>
  <c r="BJ207" i="319"/>
  <c r="BL207" i="319" s="1"/>
  <c r="CW256" i="319"/>
  <c r="CW283" i="319"/>
  <c r="BT154" i="319"/>
  <c r="CW169" i="319"/>
  <c r="BT170" i="319"/>
  <c r="CI178" i="319"/>
  <c r="CW179" i="319"/>
  <c r="BT180" i="319"/>
  <c r="CB183" i="319"/>
  <c r="CB188" i="319"/>
  <c r="BT192" i="319"/>
  <c r="CI194" i="319"/>
  <c r="BT207" i="319"/>
  <c r="BJ212" i="319"/>
  <c r="BL212" i="319" s="1"/>
  <c r="BJ218" i="319"/>
  <c r="BL218" i="319" s="1"/>
  <c r="CW221" i="319"/>
  <c r="BJ234" i="319"/>
  <c r="BL234" i="319" s="1"/>
  <c r="BT244" i="319"/>
  <c r="CW246" i="319"/>
  <c r="BJ260" i="319"/>
  <c r="BL260" i="319" s="1"/>
  <c r="BT270" i="319"/>
  <c r="BJ276" i="319"/>
  <c r="BL276" i="319" s="1"/>
  <c r="BT218" i="319"/>
  <c r="BJ223" i="319"/>
  <c r="BL223" i="319" s="1"/>
  <c r="CW226" i="319"/>
  <c r="BJ250" i="319"/>
  <c r="BL250" i="319" s="1"/>
  <c r="CW251" i="319"/>
  <c r="BT254" i="319"/>
  <c r="BT260" i="319"/>
  <c r="BJ265" i="319"/>
  <c r="BL265" i="319" s="1"/>
  <c r="BJ291" i="319"/>
  <c r="BL291" i="319" s="1"/>
  <c r="BT301" i="319"/>
  <c r="BJ311" i="319"/>
  <c r="BL311" i="319" s="1"/>
  <c r="CW353" i="319"/>
  <c r="BJ361" i="319"/>
  <c r="BL361" i="319" s="1"/>
  <c r="BJ255" i="319"/>
  <c r="BL255" i="319" s="1"/>
  <c r="BT275" i="319"/>
  <c r="BT291" i="319"/>
  <c r="CW294" i="319"/>
  <c r="CW300" i="319"/>
  <c r="BT350" i="319"/>
  <c r="CI153" i="319"/>
  <c r="BJ228" i="319"/>
  <c r="BL228" i="319" s="1"/>
  <c r="BJ239" i="319"/>
  <c r="BL239" i="319" s="1"/>
  <c r="CW272" i="319"/>
  <c r="CW277" i="319"/>
  <c r="CW305" i="319"/>
  <c r="CW347" i="319"/>
  <c r="CW311" i="319"/>
  <c r="CW332" i="319"/>
  <c r="BT361" i="319"/>
  <c r="CP379" i="319"/>
  <c r="CV379" i="319"/>
  <c r="BJ388" i="319"/>
  <c r="BL388" i="319" s="1"/>
  <c r="CP384" i="319"/>
  <c r="CV384" i="319"/>
  <c r="BJ398" i="319"/>
  <c r="BL398" i="319" s="1"/>
  <c r="CR447" i="319"/>
  <c r="CP447" i="319"/>
  <c r="CV447" i="319"/>
  <c r="CV453" i="319"/>
  <c r="CR453" i="319"/>
  <c r="CP453" i="319"/>
  <c r="CV460" i="319"/>
  <c r="CR460" i="319"/>
  <c r="CP460" i="319"/>
  <c r="BJ329" i="319"/>
  <c r="BL329" i="319" s="1"/>
  <c r="CV387" i="319"/>
  <c r="CP387" i="319"/>
  <c r="CR387" i="319"/>
  <c r="BT398" i="319"/>
  <c r="CP402" i="319"/>
  <c r="CV402" i="319"/>
  <c r="CV420" i="319"/>
  <c r="CP420" i="319"/>
  <c r="BJ334" i="319"/>
  <c r="BL334" i="319" s="1"/>
  <c r="CW337" i="319"/>
  <c r="BT339" i="319"/>
  <c r="BJ345" i="319"/>
  <c r="BL345" i="319" s="1"/>
  <c r="BT355" i="319"/>
  <c r="CW364" i="319"/>
  <c r="CP378" i="319"/>
  <c r="CV378" i="319"/>
  <c r="CP385" i="319"/>
  <c r="CV385" i="319"/>
  <c r="CR394" i="319"/>
  <c r="CP394" i="319"/>
  <c r="CV394" i="319"/>
  <c r="CR483" i="319"/>
  <c r="CP483" i="319"/>
  <c r="CV483" i="319"/>
  <c r="CV488" i="319"/>
  <c r="CR488" i="319"/>
  <c r="CP488" i="319"/>
  <c r="CP375" i="319"/>
  <c r="CV375" i="319"/>
  <c r="CV382" i="319"/>
  <c r="CP382" i="319"/>
  <c r="BJ403" i="319"/>
  <c r="BL403" i="319" s="1"/>
  <c r="CP408" i="319"/>
  <c r="CV408" i="319"/>
  <c r="CV416" i="319"/>
  <c r="CP416" i="319"/>
  <c r="BT434" i="319"/>
  <c r="CP435" i="319"/>
  <c r="CV435" i="319"/>
  <c r="CV476" i="319"/>
  <c r="CR476" i="319"/>
  <c r="CP476" i="319"/>
  <c r="CV572" i="319"/>
  <c r="CP572" i="319"/>
  <c r="BJ371" i="319"/>
  <c r="BL371" i="319" s="1"/>
  <c r="CP376" i="319"/>
  <c r="CV376" i="319"/>
  <c r="CP377" i="319"/>
  <c r="CV377" i="319"/>
  <c r="CV380" i="319"/>
  <c r="CP380" i="319"/>
  <c r="BT393" i="319"/>
  <c r="BJ393" i="319"/>
  <c r="BL393" i="319" s="1"/>
  <c r="CR392" i="319"/>
  <c r="CP392" i="319"/>
  <c r="CV392" i="319"/>
  <c r="CV418" i="319"/>
  <c r="CR418" i="319"/>
  <c r="CP418" i="319"/>
  <c r="CV421" i="319"/>
  <c r="CR421" i="319"/>
  <c r="CP421" i="319"/>
  <c r="CV425" i="319"/>
  <c r="CP425" i="319"/>
  <c r="BJ439" i="319"/>
  <c r="BL439" i="319" s="1"/>
  <c r="CV440" i="319"/>
  <c r="CP440" i="319"/>
  <c r="BJ450" i="319"/>
  <c r="BL450" i="319" s="1"/>
  <c r="CR470" i="319"/>
  <c r="CP470" i="319"/>
  <c r="CV470" i="319"/>
  <c r="CP533" i="319"/>
  <c r="CV533" i="319"/>
  <c r="CP389" i="319"/>
  <c r="CP397" i="319"/>
  <c r="CP399" i="319"/>
  <c r="CP401" i="319"/>
  <c r="CP403" i="319"/>
  <c r="CV407" i="319"/>
  <c r="BJ424" i="319"/>
  <c r="BL424" i="319" s="1"/>
  <c r="CR423" i="319"/>
  <c r="CP423" i="319"/>
  <c r="CV426" i="319"/>
  <c r="CR426" i="319"/>
  <c r="CP431" i="319"/>
  <c r="CV431" i="319"/>
  <c r="CP433" i="319"/>
  <c r="BT439" i="319"/>
  <c r="CP438" i="319"/>
  <c r="CV438" i="319"/>
  <c r="BT444" i="319"/>
  <c r="CV449" i="319"/>
  <c r="CR449" i="319"/>
  <c r="CR451" i="319"/>
  <c r="CP451" i="319"/>
  <c r="CP463" i="319"/>
  <c r="CV463" i="319"/>
  <c r="CR463" i="319"/>
  <c r="CV499" i="319"/>
  <c r="CP499" i="319"/>
  <c r="CV515" i="319"/>
  <c r="CP515" i="319"/>
  <c r="CV552" i="319"/>
  <c r="CP552" i="319"/>
  <c r="CP581" i="319"/>
  <c r="CV581" i="319"/>
  <c r="CP790" i="319"/>
  <c r="CV790" i="319"/>
  <c r="CV801" i="319"/>
  <c r="CP801" i="319"/>
  <c r="CN804" i="319"/>
  <c r="BJ429" i="319"/>
  <c r="BL429" i="319" s="1"/>
  <c r="CV446" i="319"/>
  <c r="CP446" i="319"/>
  <c r="CR455" i="319"/>
  <c r="CP455" i="319"/>
  <c r="CR459" i="319"/>
  <c r="CP459" i="319"/>
  <c r="CV461" i="319"/>
  <c r="CR461" i="319"/>
  <c r="CV462" i="319"/>
  <c r="CP462" i="319"/>
  <c r="CR475" i="319"/>
  <c r="CP475" i="319"/>
  <c r="CV475" i="319"/>
  <c r="CP518" i="319"/>
  <c r="CV518" i="319"/>
  <c r="BT408" i="319"/>
  <c r="CV406" i="319"/>
  <c r="CP406" i="319"/>
  <c r="BT413" i="319"/>
  <c r="CV411" i="319"/>
  <c r="CP411" i="319"/>
  <c r="CV412" i="319"/>
  <c r="CR412" i="319"/>
  <c r="CP412" i="319"/>
  <c r="CV413" i="319"/>
  <c r="CR413" i="319"/>
  <c r="CP413" i="319"/>
  <c r="BT418" i="319"/>
  <c r="CV415" i="319"/>
  <c r="CR415" i="319"/>
  <c r="CP415" i="319"/>
  <c r="CV419" i="319"/>
  <c r="CR419" i="319"/>
  <c r="CP419" i="319"/>
  <c r="CV422" i="319"/>
  <c r="CR422" i="319"/>
  <c r="CP422" i="319"/>
  <c r="CV424" i="319"/>
  <c r="CR424" i="319"/>
  <c r="CP424" i="319"/>
  <c r="CV428" i="319"/>
  <c r="CR428" i="319"/>
  <c r="CP428" i="319"/>
  <c r="BJ434" i="319"/>
  <c r="BL434" i="319" s="1"/>
  <c r="CV436" i="319"/>
  <c r="CP436" i="319"/>
  <c r="BT450" i="319"/>
  <c r="CV450" i="319"/>
  <c r="CR450" i="319"/>
  <c r="CP450" i="319"/>
  <c r="BT456" i="319"/>
  <c r="CV454" i="319"/>
  <c r="CR454" i="319"/>
  <c r="CV456" i="319"/>
  <c r="CR456" i="319"/>
  <c r="CP456" i="319"/>
  <c r="CV502" i="319"/>
  <c r="CR502" i="319"/>
  <c r="CP502" i="319"/>
  <c r="CV542" i="319"/>
  <c r="CP542" i="319"/>
  <c r="CV548" i="319"/>
  <c r="CP548" i="319"/>
  <c r="CP554" i="319"/>
  <c r="CV554" i="319"/>
  <c r="CP562" i="319"/>
  <c r="CV562" i="319"/>
  <c r="CP595" i="319"/>
  <c r="CV595" i="319"/>
  <c r="CP648" i="319"/>
  <c r="CV648" i="319"/>
  <c r="CV441" i="319"/>
  <c r="CV448" i="319"/>
  <c r="CV452" i="319"/>
  <c r="CV458" i="319"/>
  <c r="CR469" i="319"/>
  <c r="CP469" i="319"/>
  <c r="CV473" i="319"/>
  <c r="CR473" i="319"/>
  <c r="CP473" i="319"/>
  <c r="CV491" i="319"/>
  <c r="CR491" i="319"/>
  <c r="CP491" i="319"/>
  <c r="CR501" i="319"/>
  <c r="CP501" i="319"/>
  <c r="CV505" i="319"/>
  <c r="CR505" i="319"/>
  <c r="CP505" i="319"/>
  <c r="CV507" i="319"/>
  <c r="CR507" i="319"/>
  <c r="CP507" i="319"/>
  <c r="CV509" i="319"/>
  <c r="CR509" i="319"/>
  <c r="CP509" i="319"/>
  <c r="CP514" i="319"/>
  <c r="CV514" i="319"/>
  <c r="CP517" i="319"/>
  <c r="CV517" i="319"/>
  <c r="CV521" i="319"/>
  <c r="CR521" i="319"/>
  <c r="CP521" i="319"/>
  <c r="CV523" i="319"/>
  <c r="CR523" i="319"/>
  <c r="CP523" i="319"/>
  <c r="CV525" i="319"/>
  <c r="CR525" i="319"/>
  <c r="CP525" i="319"/>
  <c r="CV537" i="319"/>
  <c r="CP537" i="319"/>
  <c r="CP558" i="319"/>
  <c r="CV558" i="319"/>
  <c r="CV565" i="319"/>
  <c r="CP565" i="319"/>
  <c r="CP585" i="319"/>
  <c r="CV585" i="319"/>
  <c r="CV409" i="319"/>
  <c r="CV434" i="319"/>
  <c r="CV437" i="319"/>
  <c r="CV443" i="319"/>
  <c r="CV445" i="319"/>
  <c r="CR466" i="319"/>
  <c r="CP466" i="319"/>
  <c r="CR468" i="319"/>
  <c r="CP468" i="319"/>
  <c r="CP474" i="319"/>
  <c r="CV474" i="319"/>
  <c r="CP482" i="319"/>
  <c r="CV482" i="319"/>
  <c r="CV487" i="319"/>
  <c r="CR487" i="319"/>
  <c r="CP487" i="319"/>
  <c r="CR490" i="319"/>
  <c r="CP490" i="319"/>
  <c r="CV498" i="319"/>
  <c r="CR498" i="319"/>
  <c r="CP498" i="319"/>
  <c r="CV503" i="319"/>
  <c r="CR503" i="319"/>
  <c r="CP536" i="319"/>
  <c r="CV536" i="319"/>
  <c r="CP539" i="319"/>
  <c r="CQ542" i="319" s="1"/>
  <c r="CV539" i="319"/>
  <c r="CP561" i="319"/>
  <c r="CV561" i="319"/>
  <c r="CP574" i="319"/>
  <c r="CV574" i="319"/>
  <c r="CV669" i="319"/>
  <c r="CP669" i="319"/>
  <c r="CV689" i="319"/>
  <c r="CP689" i="319"/>
  <c r="CR464" i="319"/>
  <c r="CR465" i="319"/>
  <c r="CV466" i="319"/>
  <c r="CV468" i="319"/>
  <c r="CR471" i="319"/>
  <c r="CP471" i="319"/>
  <c r="CR474" i="319"/>
  <c r="CP478" i="319"/>
  <c r="CV478" i="319"/>
  <c r="CV480" i="319"/>
  <c r="CR480" i="319"/>
  <c r="CP480" i="319"/>
  <c r="CR482" i="319"/>
  <c r="CV484" i="319"/>
  <c r="CR484" i="319"/>
  <c r="CP484" i="319"/>
  <c r="CR486" i="319"/>
  <c r="CP486" i="319"/>
  <c r="CV490" i="319"/>
  <c r="CV492" i="319"/>
  <c r="CR492" i="319"/>
  <c r="CV494" i="319"/>
  <c r="CR494" i="319"/>
  <c r="CP494" i="319"/>
  <c r="CV495" i="319"/>
  <c r="CR495" i="319"/>
  <c r="CR497" i="319"/>
  <c r="CP497" i="319"/>
  <c r="CP503" i="319"/>
  <c r="CP519" i="319"/>
  <c r="CV527" i="319"/>
  <c r="CR527" i="319"/>
  <c r="CP527" i="319"/>
  <c r="CV529" i="319"/>
  <c r="CR529" i="319"/>
  <c r="CP529" i="319"/>
  <c r="CV531" i="319"/>
  <c r="CP531" i="319"/>
  <c r="CP534" i="319"/>
  <c r="CV541" i="319"/>
  <c r="CP544" i="319"/>
  <c r="CV544" i="319"/>
  <c r="CV549" i="319"/>
  <c r="CP549" i="319"/>
  <c r="CV550" i="319"/>
  <c r="CP550" i="319"/>
  <c r="CV571" i="319"/>
  <c r="CV573" i="319"/>
  <c r="CP573" i="319"/>
  <c r="CP578" i="319"/>
  <c r="CV578" i="319"/>
  <c r="CP592" i="319"/>
  <c r="CV592" i="319"/>
  <c r="CV642" i="319"/>
  <c r="CP642" i="319"/>
  <c r="CV650" i="319"/>
  <c r="CP650" i="319"/>
  <c r="CV712" i="319"/>
  <c r="CP712" i="319"/>
  <c r="CR477" i="319"/>
  <c r="CR481" i="319"/>
  <c r="CV485" i="319"/>
  <c r="CV489" i="319"/>
  <c r="CV493" i="319"/>
  <c r="CV496" i="319"/>
  <c r="CV500" i="319"/>
  <c r="CV504" i="319"/>
  <c r="CV506" i="319"/>
  <c r="CV508" i="319"/>
  <c r="CV510" i="319"/>
  <c r="CV520" i="319"/>
  <c r="CV522" i="319"/>
  <c r="CV524" i="319"/>
  <c r="CV526" i="319"/>
  <c r="CV528" i="319"/>
  <c r="CV530" i="319"/>
  <c r="CV546" i="319"/>
  <c r="CV551" i="319"/>
  <c r="CV555" i="319"/>
  <c r="CV564" i="319"/>
  <c r="CV568" i="319"/>
  <c r="CV575" i="319"/>
  <c r="CP591" i="319"/>
  <c r="CV591" i="319"/>
  <c r="CP594" i="319"/>
  <c r="CV594" i="319"/>
  <c r="CV598" i="319"/>
  <c r="CP598" i="319"/>
  <c r="CV604" i="319"/>
  <c r="CP604" i="319"/>
  <c r="CV608" i="319"/>
  <c r="CP608" i="319"/>
  <c r="CV614" i="319"/>
  <c r="CP614" i="319"/>
  <c r="CV618" i="319"/>
  <c r="CP618" i="319"/>
  <c r="CV621" i="319"/>
  <c r="CP621" i="319"/>
  <c r="CP625" i="319"/>
  <c r="CV644" i="319"/>
  <c r="CP644" i="319"/>
  <c r="CP663" i="319"/>
  <c r="CV663" i="319"/>
  <c r="CV513" i="319"/>
  <c r="CV516" i="319"/>
  <c r="CV532" i="319"/>
  <c r="CV535" i="319"/>
  <c r="CV538" i="319"/>
  <c r="CP647" i="319"/>
  <c r="CV647" i="319"/>
  <c r="CP649" i="319"/>
  <c r="CV649" i="319"/>
  <c r="CV659" i="319"/>
  <c r="CP659" i="319"/>
  <c r="CP673" i="319"/>
  <c r="CV673" i="319"/>
  <c r="CP722" i="319"/>
  <c r="CV722" i="319"/>
  <c r="CP553" i="319"/>
  <c r="CP563" i="319"/>
  <c r="CV583" i="319"/>
  <c r="CP583" i="319"/>
  <c r="CP593" i="319"/>
  <c r="CP599" i="319"/>
  <c r="CV599" i="319"/>
  <c r="CV603" i="319"/>
  <c r="CP603" i="319"/>
  <c r="CP609" i="319"/>
  <c r="CV609" i="319"/>
  <c r="CV613" i="319"/>
  <c r="CP613" i="319"/>
  <c r="CP619" i="319"/>
  <c r="CV619" i="319"/>
  <c r="CP622" i="319"/>
  <c r="CV622" i="319"/>
  <c r="CN640" i="319"/>
  <c r="CT645" i="319"/>
  <c r="CV684" i="319"/>
  <c r="CP684" i="319"/>
  <c r="CP698" i="319"/>
  <c r="CV698" i="319"/>
  <c r="CP702" i="319"/>
  <c r="CV702" i="319"/>
  <c r="CV639" i="319"/>
  <c r="CP639" i="319"/>
  <c r="CN672" i="319"/>
  <c r="CT677" i="319"/>
  <c r="CP682" i="319"/>
  <c r="CV682" i="319"/>
  <c r="CP687" i="319"/>
  <c r="CV687" i="319"/>
  <c r="CV703" i="319"/>
  <c r="CP703" i="319"/>
  <c r="CV713" i="319"/>
  <c r="CP713" i="319"/>
  <c r="CV723" i="319"/>
  <c r="CP723" i="319"/>
  <c r="CV587" i="319"/>
  <c r="CV590" i="319"/>
  <c r="CP629" i="319"/>
  <c r="CV629" i="319"/>
  <c r="CV645" i="319"/>
  <c r="CV677" i="319"/>
  <c r="CP677" i="319"/>
  <c r="CN694" i="319"/>
  <c r="CT698" i="319"/>
  <c r="CV699" i="319"/>
  <c r="CP699" i="319"/>
  <c r="CT703" i="319"/>
  <c r="CP738" i="319"/>
  <c r="CV738" i="319"/>
  <c r="CV748" i="319"/>
  <c r="CP748" i="319"/>
  <c r="CP751" i="319"/>
  <c r="CV770" i="319"/>
  <c r="CP770" i="319"/>
  <c r="CV774" i="319"/>
  <c r="CP774" i="319"/>
  <c r="CP847" i="319"/>
  <c r="CV847" i="319"/>
  <c r="CV597" i="319"/>
  <c r="CV602" i="319"/>
  <c r="CV607" i="319"/>
  <c r="CV612" i="319"/>
  <c r="CV617" i="319"/>
  <c r="CV620" i="319"/>
  <c r="CV624" i="319"/>
  <c r="CP624" i="319"/>
  <c r="CP628" i="319"/>
  <c r="CP631" i="319"/>
  <c r="CV636" i="319"/>
  <c r="CV637" i="319"/>
  <c r="CV638" i="319"/>
  <c r="CP641" i="319"/>
  <c r="CP643" i="319"/>
  <c r="CV656" i="319"/>
  <c r="CP664" i="319"/>
  <c r="CV665" i="319"/>
  <c r="CP674" i="319"/>
  <c r="CV675" i="319"/>
  <c r="CV678" i="319"/>
  <c r="CV679" i="319"/>
  <c r="CP679" i="319"/>
  <c r="CV692" i="319"/>
  <c r="CV710" i="319"/>
  <c r="CV711" i="319"/>
  <c r="CP711" i="319"/>
  <c r="CV720" i="319"/>
  <c r="CV721" i="319"/>
  <c r="CP721" i="319"/>
  <c r="CV729" i="319"/>
  <c r="CN730" i="319"/>
  <c r="CT734" i="319"/>
  <c r="CP733" i="319"/>
  <c r="CV733" i="319"/>
  <c r="CP755" i="319"/>
  <c r="CV755" i="319"/>
  <c r="CV758" i="319"/>
  <c r="CP758" i="319"/>
  <c r="CV685" i="319"/>
  <c r="CV695" i="319"/>
  <c r="CP705" i="319"/>
  <c r="CV705" i="319"/>
  <c r="CP714" i="319"/>
  <c r="CV752" i="319"/>
  <c r="CP752" i="319"/>
  <c r="CV759" i="319"/>
  <c r="CP759" i="319"/>
  <c r="CV762" i="319"/>
  <c r="CP762" i="319"/>
  <c r="CV768" i="319"/>
  <c r="CP768" i="319"/>
  <c r="CN772" i="319"/>
  <c r="CT776" i="319"/>
  <c r="CP715" i="319"/>
  <c r="CV715" i="319"/>
  <c r="CN735" i="319"/>
  <c r="CT739" i="319"/>
  <c r="CN740" i="319"/>
  <c r="CT744" i="319"/>
  <c r="CV778" i="319"/>
  <c r="CP778" i="319"/>
  <c r="CV785" i="319"/>
  <c r="CP785" i="319"/>
  <c r="CV784" i="319"/>
  <c r="CP784" i="319"/>
  <c r="CT798" i="319"/>
  <c r="CN794" i="319"/>
  <c r="CP797" i="319"/>
  <c r="CV797" i="319"/>
  <c r="CP800" i="319"/>
  <c r="CV800" i="319"/>
  <c r="CP810" i="319"/>
  <c r="CV810" i="319"/>
  <c r="CT824" i="319"/>
  <c r="CN820" i="319"/>
  <c r="CV726" i="319"/>
  <c r="CV736" i="319"/>
  <c r="CV749" i="319"/>
  <c r="CV753" i="319"/>
  <c r="CT760" i="319"/>
  <c r="CN756" i="319"/>
  <c r="CP764" i="319"/>
  <c r="CV764" i="319"/>
  <c r="CP789" i="319"/>
  <c r="CV789" i="319"/>
  <c r="CP780" i="319"/>
  <c r="CP821" i="319"/>
  <c r="CV821" i="319"/>
  <c r="CP848" i="319"/>
  <c r="CV848" i="319"/>
  <c r="CP812" i="319"/>
  <c r="CV812" i="319"/>
  <c r="CP823" i="319"/>
  <c r="CV823" i="319"/>
  <c r="CT850" i="319"/>
  <c r="CN846" i="319"/>
  <c r="CT787" i="319"/>
  <c r="CN782" i="319"/>
  <c r="CT793" i="319"/>
  <c r="CN788" i="319"/>
  <c r="CP791" i="319"/>
  <c r="CV791" i="319"/>
  <c r="CV795" i="319"/>
  <c r="CP795" i="319"/>
  <c r="CT803" i="319"/>
  <c r="CN799" i="319"/>
  <c r="CV802" i="319"/>
  <c r="CP802" i="319"/>
  <c r="CV805" i="319"/>
  <c r="CP805" i="319"/>
  <c r="CP822" i="319"/>
  <c r="CV822" i="319"/>
  <c r="CP849" i="319"/>
  <c r="CV849" i="319"/>
  <c r="CV838" i="319"/>
  <c r="CT845" i="319"/>
  <c r="CN841" i="319"/>
  <c r="CP842" i="319"/>
  <c r="CV842" i="319"/>
  <c r="CP843" i="319"/>
  <c r="CV843" i="319"/>
  <c r="CP844" i="319"/>
  <c r="CV844" i="319"/>
  <c r="CV836" i="319"/>
  <c r="CT855" i="319"/>
  <c r="CN851" i="319"/>
  <c r="CP852" i="319"/>
  <c r="CV852" i="319"/>
  <c r="CP853" i="319"/>
  <c r="CV853" i="319"/>
  <c r="CP854" i="319"/>
  <c r="CV854" i="319"/>
  <c r="CV635" i="319" l="1"/>
  <c r="CQ639" i="319"/>
  <c r="CV724" i="319"/>
  <c r="CQ593" i="319"/>
  <c r="CR593" i="319" s="1"/>
  <c r="CQ489" i="319"/>
  <c r="CR489" i="319" s="1"/>
  <c r="CS489" i="319" s="1"/>
  <c r="CU489" i="319" s="1"/>
  <c r="CQ411" i="319"/>
  <c r="CQ408" i="319" s="1"/>
  <c r="CR408" i="319" s="1"/>
  <c r="CQ462" i="319"/>
  <c r="CR462" i="319" s="1"/>
  <c r="CS462" i="319" s="1"/>
  <c r="CU462" i="319" s="1"/>
  <c r="CP725" i="319"/>
  <c r="CQ729" i="319" s="1"/>
  <c r="CQ573" i="319"/>
  <c r="CQ572" i="319" s="1"/>
  <c r="CQ547" i="319"/>
  <c r="CQ829" i="319"/>
  <c r="CR829" i="319" s="1"/>
  <c r="CQ655" i="319"/>
  <c r="CQ654" i="319" s="1"/>
  <c r="CQ814" i="319"/>
  <c r="CR814" i="319" s="1"/>
  <c r="CV704" i="319"/>
  <c r="CQ515" i="319"/>
  <c r="CQ511" i="319" s="1"/>
  <c r="CR511" i="319" s="1"/>
  <c r="CQ650" i="319"/>
  <c r="CR650" i="319" s="1"/>
  <c r="CQ750" i="319"/>
  <c r="CQ749" i="319" s="1"/>
  <c r="CQ724" i="319"/>
  <c r="CQ661" i="319"/>
  <c r="CQ660" i="319" s="1"/>
  <c r="CQ609" i="319"/>
  <c r="CR609" i="319" s="1"/>
  <c r="CQ588" i="319"/>
  <c r="CR588" i="319" s="1"/>
  <c r="CQ666" i="319"/>
  <c r="CQ665" i="319" s="1"/>
  <c r="CQ567" i="319"/>
  <c r="CQ446" i="319"/>
  <c r="CR446" i="319" s="1"/>
  <c r="CQ400" i="319"/>
  <c r="CR400" i="319" s="1"/>
  <c r="CS400" i="319" s="1"/>
  <c r="CU400" i="319" s="1"/>
  <c r="CQ395" i="319"/>
  <c r="CR395" i="319" s="1"/>
  <c r="CQ708" i="319"/>
  <c r="CQ552" i="319"/>
  <c r="CR552" i="319" s="1"/>
  <c r="CS395" i="319"/>
  <c r="CU395" i="319" s="1"/>
  <c r="N564" i="319"/>
  <c r="N565" i="319" s="1"/>
  <c r="N566" i="319" s="1"/>
  <c r="N567" i="319" s="1"/>
  <c r="N568" i="319" s="1"/>
  <c r="CV815" i="319"/>
  <c r="CP815" i="319"/>
  <c r="CQ819" i="319" s="1"/>
  <c r="CQ818" i="319" s="1"/>
  <c r="CP683" i="319"/>
  <c r="CV683" i="319"/>
  <c r="BM15" i="319"/>
  <c r="BM20" i="319" s="1"/>
  <c r="BM25" i="319" s="1"/>
  <c r="BM30" i="319" s="1"/>
  <c r="BM35" i="319" s="1"/>
  <c r="BM41" i="319" s="1"/>
  <c r="BM46" i="319" s="1"/>
  <c r="BM51" i="319" s="1"/>
  <c r="BM56" i="319" s="1"/>
  <c r="BM61" i="319" s="1"/>
  <c r="BM67" i="319" s="1"/>
  <c r="BM72" i="319" s="1"/>
  <c r="BM77" i="319" s="1"/>
  <c r="BM83" i="319" s="1"/>
  <c r="BM88" i="319" s="1"/>
  <c r="BM93" i="319" s="1"/>
  <c r="BM97" i="319" s="1"/>
  <c r="BM102" i="319" s="1"/>
  <c r="BM107" i="319" s="1"/>
  <c r="BM113" i="319" s="1"/>
  <c r="BM118" i="319" s="1"/>
  <c r="BM123" i="319" s="1"/>
  <c r="BM129" i="319" s="1"/>
  <c r="BM134" i="319" s="1"/>
  <c r="BM139" i="319" s="1"/>
  <c r="BM144" i="319" s="1"/>
  <c r="BM149" i="319" s="1"/>
  <c r="BM155" i="319" s="1"/>
  <c r="BM160" i="319" s="1"/>
  <c r="BM165" i="319" s="1"/>
  <c r="BM170" i="319" s="1"/>
  <c r="BM176" i="319" s="1"/>
  <c r="BM181" i="319" s="1"/>
  <c r="BM186" i="319" s="1"/>
  <c r="BM191" i="319" s="1"/>
  <c r="BM196" i="319" s="1"/>
  <c r="BM202" i="319" s="1"/>
  <c r="BM207" i="319" s="1"/>
  <c r="BM212" i="319" s="1"/>
  <c r="BM218" i="319" s="1"/>
  <c r="BM223" i="319" s="1"/>
  <c r="BM228" i="319" s="1"/>
  <c r="BM234" i="319" s="1"/>
  <c r="BM239" i="319" s="1"/>
  <c r="BM244" i="319" s="1"/>
  <c r="BM250" i="319" s="1"/>
  <c r="BM255" i="319" s="1"/>
  <c r="BM260" i="319" s="1"/>
  <c r="BM265" i="319" s="1"/>
  <c r="BM270" i="319" s="1"/>
  <c r="BM276" i="319" s="1"/>
  <c r="BM281" i="319" s="1"/>
  <c r="BM286" i="319" s="1"/>
  <c r="BM291" i="319" s="1"/>
  <c r="BM296" i="319" s="1"/>
  <c r="BM301" i="319" s="1"/>
  <c r="BM306" i="319" s="1"/>
  <c r="BM311" i="319" s="1"/>
  <c r="BM322" i="319" s="1"/>
  <c r="BM329" i="319" s="1"/>
  <c r="BM334" i="319" s="1"/>
  <c r="BM339" i="319" s="1"/>
  <c r="BM345" i="319" s="1"/>
  <c r="BM350" i="319" s="1"/>
  <c r="BM355" i="319" s="1"/>
  <c r="BM361" i="319" s="1"/>
  <c r="BM366" i="319" s="1"/>
  <c r="BM371" i="319" s="1"/>
  <c r="BM377" i="319" s="1"/>
  <c r="BM382" i="319" s="1"/>
  <c r="BM388" i="319" s="1"/>
  <c r="BM393" i="319" s="1"/>
  <c r="BM398" i="319" s="1"/>
  <c r="BM403" i="319" s="1"/>
  <c r="BM408" i="319" s="1"/>
  <c r="BM413" i="319" s="1"/>
  <c r="BM418" i="319" s="1"/>
  <c r="BM424" i="319" s="1"/>
  <c r="BM429" i="319" s="1"/>
  <c r="BM434" i="319" s="1"/>
  <c r="BM439" i="319" s="1"/>
  <c r="BM444" i="319" s="1"/>
  <c r="BM450" i="319" s="1"/>
  <c r="BM454" i="319" s="1"/>
  <c r="CQ755" i="319"/>
  <c r="CR755" i="319" s="1"/>
  <c r="CQ703" i="319"/>
  <c r="CR703" i="319" s="1"/>
  <c r="CQ531" i="319"/>
  <c r="CR531" i="319" s="1"/>
  <c r="CS531" i="319" s="1"/>
  <c r="CU531" i="319" s="1"/>
  <c r="CQ563" i="319"/>
  <c r="CR563" i="319" s="1"/>
  <c r="CV646" i="319"/>
  <c r="CQ840" i="319"/>
  <c r="CR840" i="319" s="1"/>
  <c r="CP615" i="319"/>
  <c r="CQ619" i="319" s="1"/>
  <c r="CV615" i="319"/>
  <c r="CV767" i="319"/>
  <c r="CP767" i="319"/>
  <c r="CQ771" i="319" s="1"/>
  <c r="CP709" i="319"/>
  <c r="CV709" i="319"/>
  <c r="CQ781" i="319"/>
  <c r="CQ780" i="319" s="1"/>
  <c r="CQ766" i="319"/>
  <c r="CQ765" i="319" s="1"/>
  <c r="CQ713" i="319"/>
  <c r="CR713" i="319" s="1"/>
  <c r="CQ682" i="319"/>
  <c r="CR682" i="319" s="1"/>
  <c r="CQ687" i="319"/>
  <c r="CQ686" i="319" s="1"/>
  <c r="CQ614" i="319"/>
  <c r="CQ613" i="319" s="1"/>
  <c r="CQ604" i="319"/>
  <c r="CQ603" i="319" s="1"/>
  <c r="CQ558" i="319"/>
  <c r="CR558" i="319" s="1"/>
  <c r="CQ499" i="319"/>
  <c r="CR499" i="319" s="1"/>
  <c r="CS499" i="319" s="1"/>
  <c r="CU499" i="319" s="1"/>
  <c r="CQ693" i="319"/>
  <c r="CR693" i="319" s="1"/>
  <c r="CQ504" i="319"/>
  <c r="CR504" i="319" s="1"/>
  <c r="CS504" i="319" s="1"/>
  <c r="CU504" i="319" s="1"/>
  <c r="CQ430" i="319"/>
  <c r="CR430" i="319" s="1"/>
  <c r="CS430" i="319" s="1"/>
  <c r="CU430" i="319" s="1"/>
  <c r="CQ599" i="319"/>
  <c r="CQ598" i="319" s="1"/>
  <c r="CQ537" i="319"/>
  <c r="CQ536" i="319" s="1"/>
  <c r="CR536" i="319" s="1"/>
  <c r="CQ384" i="319"/>
  <c r="CR384" i="319" s="1"/>
  <c r="CS384" i="319" s="1"/>
  <c r="CU384" i="319" s="1"/>
  <c r="CP630" i="319"/>
  <c r="CQ634" i="319" s="1"/>
  <c r="CV630" i="319"/>
  <c r="CV667" i="319"/>
  <c r="CP667" i="319"/>
  <c r="CQ671" i="319" s="1"/>
  <c r="CV830" i="319"/>
  <c r="CP830" i="319"/>
  <c r="CQ834" i="319" s="1"/>
  <c r="CQ833" i="319" s="1"/>
  <c r="CQ839" i="319"/>
  <c r="CR839" i="319" s="1"/>
  <c r="H64" i="324"/>
  <c r="Q60" i="324"/>
  <c r="Q64" i="324" s="1"/>
  <c r="S64" i="324" s="1"/>
  <c r="AE129" i="320"/>
  <c r="S110" i="320"/>
  <c r="AG108" i="320"/>
  <c r="AE108" i="320"/>
  <c r="U99" i="320"/>
  <c r="S99" i="320"/>
  <c r="AG105" i="320"/>
  <c r="AE105" i="320"/>
  <c r="AN14" i="320"/>
  <c r="AS13" i="320"/>
  <c r="H36" i="320"/>
  <c r="J36" i="320" s="1"/>
  <c r="B37" i="320"/>
  <c r="N47" i="320"/>
  <c r="T46" i="320"/>
  <c r="V46" i="320" s="1"/>
  <c r="J12" i="320"/>
  <c r="U130" i="320"/>
  <c r="S130" i="320"/>
  <c r="U108" i="320"/>
  <c r="S108" i="320"/>
  <c r="AG97" i="320"/>
  <c r="AE97" i="320"/>
  <c r="U105" i="320"/>
  <c r="S105" i="320"/>
  <c r="AG103" i="320"/>
  <c r="AE103" i="320"/>
  <c r="AF48" i="320"/>
  <c r="AH48" i="320" s="1"/>
  <c r="AE111" i="320"/>
  <c r="D14" i="320"/>
  <c r="I13" i="320"/>
  <c r="J13" i="320" s="1"/>
  <c r="AH40" i="320"/>
  <c r="AB14" i="320"/>
  <c r="AG13" i="320"/>
  <c r="AH13" i="320" s="1"/>
  <c r="Z47" i="320"/>
  <c r="Z48" i="320" s="1"/>
  <c r="Z49" i="320" s="1"/>
  <c r="AF46" i="320"/>
  <c r="AH46" i="320" s="1"/>
  <c r="U123" i="320"/>
  <c r="S123" i="320"/>
  <c r="U103" i="320"/>
  <c r="S103" i="320"/>
  <c r="AE91" i="320"/>
  <c r="AG91" i="320"/>
  <c r="U13" i="320"/>
  <c r="T13" i="320"/>
  <c r="V13" i="320" s="1"/>
  <c r="P14" i="320"/>
  <c r="S125" i="320"/>
  <c r="U125" i="320"/>
  <c r="AG118" i="320"/>
  <c r="AE118" i="320"/>
  <c r="AG101" i="320"/>
  <c r="AE101" i="320"/>
  <c r="S98" i="320"/>
  <c r="S114" i="320"/>
  <c r="AE124" i="320"/>
  <c r="AG124" i="320"/>
  <c r="AG112" i="320"/>
  <c r="AE112" i="320"/>
  <c r="AF47" i="320"/>
  <c r="AH47" i="320" s="1"/>
  <c r="S93" i="320"/>
  <c r="U93" i="320"/>
  <c r="T37" i="320"/>
  <c r="V37" i="320" s="1"/>
  <c r="AH11" i="320"/>
  <c r="AR13" i="320"/>
  <c r="AT13" i="320" s="1"/>
  <c r="V12" i="320"/>
  <c r="CR614" i="319"/>
  <c r="CQ692" i="319"/>
  <c r="CQ723" i="319"/>
  <c r="CR724" i="319"/>
  <c r="CS724" i="319" s="1"/>
  <c r="CU724" i="319" s="1"/>
  <c r="CR661" i="319"/>
  <c r="CR537" i="319"/>
  <c r="CQ534" i="319"/>
  <c r="CR534" i="319" s="1"/>
  <c r="CQ445" i="319"/>
  <c r="CR445" i="319" s="1"/>
  <c r="CR781" i="319"/>
  <c r="CR411" i="319"/>
  <c r="CQ407" i="319"/>
  <c r="CR407" i="319" s="1"/>
  <c r="CQ410" i="319"/>
  <c r="CR410" i="319" s="1"/>
  <c r="CQ409" i="319"/>
  <c r="CR409" i="319" s="1"/>
  <c r="CR666" i="319"/>
  <c r="CR515" i="319"/>
  <c r="CQ514" i="319"/>
  <c r="CR514" i="319" s="1"/>
  <c r="CQ513" i="319"/>
  <c r="CR513" i="319" s="1"/>
  <c r="CP851" i="319"/>
  <c r="CQ855" i="319" s="1"/>
  <c r="CV851" i="319"/>
  <c r="CQ702" i="319"/>
  <c r="CQ629" i="319"/>
  <c r="CQ541" i="319"/>
  <c r="CR542" i="319"/>
  <c r="CV804" i="319"/>
  <c r="CP804" i="319"/>
  <c r="CQ808" i="319" s="1"/>
  <c r="CR766" i="319"/>
  <c r="CV672" i="319"/>
  <c r="CP672" i="319"/>
  <c r="CQ677" i="319" s="1"/>
  <c r="CR547" i="319"/>
  <c r="CQ546" i="319"/>
  <c r="CQ526" i="319"/>
  <c r="CR526" i="319" s="1"/>
  <c r="CS526" i="319" s="1"/>
  <c r="CU526" i="319" s="1"/>
  <c r="CQ520" i="319"/>
  <c r="CQ379" i="319"/>
  <c r="CR379" i="319" s="1"/>
  <c r="CS379" i="319" s="1"/>
  <c r="CU379" i="319" s="1"/>
  <c r="CP799" i="319"/>
  <c r="CQ803" i="319" s="1"/>
  <c r="CV799" i="319"/>
  <c r="CV782" i="319"/>
  <c r="CP782" i="319"/>
  <c r="CQ787" i="319" s="1"/>
  <c r="CP820" i="319"/>
  <c r="CQ824" i="319" s="1"/>
  <c r="CV820" i="319"/>
  <c r="CV794" i="319"/>
  <c r="CP794" i="319"/>
  <c r="CQ798" i="319" s="1"/>
  <c r="CV735" i="319"/>
  <c r="CP735" i="319"/>
  <c r="CQ739" i="319" s="1"/>
  <c r="CV772" i="319"/>
  <c r="CP772" i="319"/>
  <c r="CQ776" i="319" s="1"/>
  <c r="CV694" i="319"/>
  <c r="CP694" i="319"/>
  <c r="CQ698" i="319" s="1"/>
  <c r="CS494" i="319"/>
  <c r="CU494" i="319" s="1"/>
  <c r="CQ479" i="319"/>
  <c r="CR479" i="319" s="1"/>
  <c r="CS479" i="319" s="1"/>
  <c r="CU479" i="319" s="1"/>
  <c r="CQ566" i="319"/>
  <c r="CR567" i="319"/>
  <c r="CQ510" i="319"/>
  <c r="CR510" i="319" s="1"/>
  <c r="CS510" i="319" s="1"/>
  <c r="CU510" i="319" s="1"/>
  <c r="CQ583" i="319"/>
  <c r="CQ420" i="319"/>
  <c r="CR420" i="319" s="1"/>
  <c r="CS420" i="319" s="1"/>
  <c r="CU420" i="319" s="1"/>
  <c r="N575" i="319"/>
  <c r="N576" i="319" s="1"/>
  <c r="N577" i="319" s="1"/>
  <c r="N578" i="319" s="1"/>
  <c r="N579" i="319" s="1"/>
  <c r="N580" i="319" s="1"/>
  <c r="N581" i="319" s="1"/>
  <c r="N582" i="319" s="1"/>
  <c r="N583" i="319" s="1"/>
  <c r="N584" i="319" s="1"/>
  <c r="N585" i="319" s="1"/>
  <c r="N586" i="319" s="1"/>
  <c r="N587" i="319" s="1"/>
  <c r="N588" i="319" s="1"/>
  <c r="N589" i="319" s="1"/>
  <c r="N590" i="319" s="1"/>
  <c r="N591" i="319" s="1"/>
  <c r="N592" i="319" s="1"/>
  <c r="N593" i="319" s="1"/>
  <c r="N594" i="319" s="1"/>
  <c r="N595" i="319" s="1"/>
  <c r="N596" i="319" s="1"/>
  <c r="N597" i="319" s="1"/>
  <c r="N598" i="319" s="1"/>
  <c r="N599" i="319" s="1"/>
  <c r="N600" i="319" s="1"/>
  <c r="N601" i="319" s="1"/>
  <c r="N602" i="319" s="1"/>
  <c r="N603" i="319" s="1"/>
  <c r="N604" i="319" s="1"/>
  <c r="N605" i="319" s="1"/>
  <c r="N606" i="319" s="1"/>
  <c r="N607" i="319" s="1"/>
  <c r="N608" i="319" s="1"/>
  <c r="N609" i="319" s="1"/>
  <c r="N610" i="319" s="1"/>
  <c r="N611" i="319" s="1"/>
  <c r="N612" i="319" s="1"/>
  <c r="N613" i="319" s="1"/>
  <c r="N614" i="319" s="1"/>
  <c r="N615" i="319" s="1"/>
  <c r="N616" i="319" s="1"/>
  <c r="N617" i="319" s="1"/>
  <c r="N618" i="319" s="1"/>
  <c r="N619" i="319" s="1"/>
  <c r="N620" i="319" s="1"/>
  <c r="N621" i="319" s="1"/>
  <c r="N622" i="319" s="1"/>
  <c r="N623" i="319" s="1"/>
  <c r="N624" i="319" s="1"/>
  <c r="N625" i="319" s="1"/>
  <c r="N626" i="319" s="1"/>
  <c r="N627" i="319" s="1"/>
  <c r="N628" i="319" s="1"/>
  <c r="N629" i="319" s="1"/>
  <c r="N630" i="319" s="1"/>
  <c r="N631" i="319" s="1"/>
  <c r="N632" i="319" s="1"/>
  <c r="N633" i="319" s="1"/>
  <c r="N634" i="319" s="1"/>
  <c r="N635" i="319" s="1"/>
  <c r="N636" i="319" s="1"/>
  <c r="N637" i="319" s="1"/>
  <c r="N638" i="319" s="1"/>
  <c r="N639" i="319" s="1"/>
  <c r="N640" i="319" s="1"/>
  <c r="N641" i="319" s="1"/>
  <c r="N642" i="319" s="1"/>
  <c r="N643" i="319" s="1"/>
  <c r="N644" i="319" s="1"/>
  <c r="N645" i="319" s="1"/>
  <c r="N646" i="319" s="1"/>
  <c r="N647" i="319" s="1"/>
  <c r="N648" i="319" s="1"/>
  <c r="N649" i="319" s="1"/>
  <c r="N571" i="319"/>
  <c r="N572" i="319" s="1"/>
  <c r="N573" i="319" s="1"/>
  <c r="N574" i="319" s="1"/>
  <c r="CR819" i="319"/>
  <c r="CP841" i="319"/>
  <c r="CQ845" i="319" s="1"/>
  <c r="CV841" i="319"/>
  <c r="CV756" i="319"/>
  <c r="CP756" i="319"/>
  <c r="CQ760" i="319" s="1"/>
  <c r="CR708" i="319"/>
  <c r="CQ707" i="319"/>
  <c r="CR639" i="319"/>
  <c r="CQ638" i="319"/>
  <c r="CQ592" i="319"/>
  <c r="CQ425" i="319"/>
  <c r="CR425" i="319" s="1"/>
  <c r="CS425" i="319" s="1"/>
  <c r="CU425" i="319" s="1"/>
  <c r="CP788" i="319"/>
  <c r="CQ793" i="319" s="1"/>
  <c r="CV788" i="319"/>
  <c r="CP846" i="319"/>
  <c r="CQ850" i="319" s="1"/>
  <c r="CV846" i="319"/>
  <c r="CV740" i="319"/>
  <c r="CP740" i="319"/>
  <c r="CQ744" i="319" s="1"/>
  <c r="CQ718" i="319"/>
  <c r="CV730" i="319"/>
  <c r="CP730" i="319"/>
  <c r="CQ734" i="319" s="1"/>
  <c r="CV640" i="319"/>
  <c r="CP640" i="319"/>
  <c r="CQ645" i="319" s="1"/>
  <c r="CQ624" i="319"/>
  <c r="CS484" i="319"/>
  <c r="CU484" i="319" s="1"/>
  <c r="CQ578" i="319"/>
  <c r="CS473" i="319"/>
  <c r="CU473" i="319" s="1"/>
  <c r="CQ416" i="319"/>
  <c r="CR416" i="319" s="1"/>
  <c r="CS416" i="319" s="1"/>
  <c r="CU416" i="319" s="1"/>
  <c r="CQ467" i="319"/>
  <c r="CR467" i="319" s="1"/>
  <c r="CS467" i="319" s="1"/>
  <c r="CU467" i="319" s="1"/>
  <c r="CQ441" i="319"/>
  <c r="CQ436" i="319"/>
  <c r="CQ406" i="319"/>
  <c r="CW379" i="319"/>
  <c r="CQ390" i="319"/>
  <c r="CR390" i="319" s="1"/>
  <c r="CS390" i="319" s="1"/>
  <c r="CU390" i="319" s="1"/>
  <c r="CQ457" i="319"/>
  <c r="CR457" i="319" s="1"/>
  <c r="CS457" i="319" s="1"/>
  <c r="CU457" i="319" s="1"/>
  <c r="CQ452" i="319"/>
  <c r="CR452" i="319" s="1"/>
  <c r="CS452" i="319" s="1"/>
  <c r="CU452" i="319" s="1"/>
  <c r="CQ557" i="319" l="1"/>
  <c r="CQ681" i="319"/>
  <c r="CQ828" i="319"/>
  <c r="CR828" i="319" s="1"/>
  <c r="CQ512" i="319"/>
  <c r="CR512" i="319" s="1"/>
  <c r="CS515" i="319" s="1"/>
  <c r="CU515" i="319" s="1"/>
  <c r="CR808" i="319"/>
  <c r="CQ807" i="319"/>
  <c r="CR807" i="319" s="1"/>
  <c r="CR655" i="319"/>
  <c r="CR573" i="319"/>
  <c r="CQ754" i="319"/>
  <c r="CR754" i="319" s="1"/>
  <c r="CR599" i="319"/>
  <c r="CQ813" i="319"/>
  <c r="CR813" i="319" s="1"/>
  <c r="CR687" i="319"/>
  <c r="CQ728" i="319"/>
  <c r="CQ727" i="319" s="1"/>
  <c r="CR729" i="319"/>
  <c r="CQ551" i="319"/>
  <c r="CR551" i="319" s="1"/>
  <c r="CQ442" i="319"/>
  <c r="CR442" i="319" s="1"/>
  <c r="CS446" i="319" s="1"/>
  <c r="CU446" i="319" s="1"/>
  <c r="CQ608" i="319"/>
  <c r="CR608" i="319" s="1"/>
  <c r="CQ649" i="319"/>
  <c r="CR649" i="319" s="1"/>
  <c r="CQ444" i="319"/>
  <c r="CR444" i="319" s="1"/>
  <c r="CR834" i="319"/>
  <c r="CQ443" i="319"/>
  <c r="CR443" i="319" s="1"/>
  <c r="CR771" i="319"/>
  <c r="CQ770" i="319"/>
  <c r="CR770" i="319" s="1"/>
  <c r="CQ587" i="319"/>
  <c r="CQ586" i="319" s="1"/>
  <c r="CR750" i="319"/>
  <c r="CQ532" i="319"/>
  <c r="CR532" i="319" s="1"/>
  <c r="CQ838" i="319"/>
  <c r="CQ837" i="319" s="1"/>
  <c r="CQ712" i="319"/>
  <c r="CQ711" i="319" s="1"/>
  <c r="CQ633" i="319"/>
  <c r="CR633" i="319" s="1"/>
  <c r="CR634" i="319"/>
  <c r="CR671" i="319"/>
  <c r="CQ670" i="319"/>
  <c r="CQ669" i="319" s="1"/>
  <c r="CQ618" i="319"/>
  <c r="CR618" i="319" s="1"/>
  <c r="CR619" i="319"/>
  <c r="CQ562" i="319"/>
  <c r="CQ561" i="319" s="1"/>
  <c r="CQ533" i="319"/>
  <c r="CR533" i="319" s="1"/>
  <c r="CR604" i="319"/>
  <c r="CQ535" i="319"/>
  <c r="CR535" i="319" s="1"/>
  <c r="CS411" i="319"/>
  <c r="CU411" i="319" s="1"/>
  <c r="AG14" i="320"/>
  <c r="AB15" i="320"/>
  <c r="AF14" i="320"/>
  <c r="B38" i="320"/>
  <c r="H37" i="320"/>
  <c r="J37" i="320" s="1"/>
  <c r="D15" i="320"/>
  <c r="I14" i="320"/>
  <c r="H14" i="320"/>
  <c r="J14" i="320" s="1"/>
  <c r="N48" i="320"/>
  <c r="T47" i="320"/>
  <c r="V47" i="320" s="1"/>
  <c r="AN15" i="320"/>
  <c r="AS14" i="320"/>
  <c r="AR14" i="320"/>
  <c r="AT14" i="320" s="1"/>
  <c r="T14" i="320"/>
  <c r="P15" i="320"/>
  <c r="U14" i="320"/>
  <c r="Z50" i="320"/>
  <c r="AF49" i="320"/>
  <c r="AH49" i="320" s="1"/>
  <c r="CR436" i="319"/>
  <c r="CQ435" i="319"/>
  <c r="CR435" i="319" s="1"/>
  <c r="CQ431" i="319"/>
  <c r="CR431" i="319" s="1"/>
  <c r="CQ432" i="319"/>
  <c r="CR432" i="319" s="1"/>
  <c r="CQ433" i="319"/>
  <c r="CR433" i="319" s="1"/>
  <c r="CQ434" i="319"/>
  <c r="CR434" i="319" s="1"/>
  <c r="CR624" i="319"/>
  <c r="CQ623" i="319"/>
  <c r="CQ743" i="319"/>
  <c r="CR744" i="319"/>
  <c r="CQ753" i="319"/>
  <c r="CQ844" i="319"/>
  <c r="CR845" i="319"/>
  <c r="CQ854" i="319"/>
  <c r="CR855" i="319"/>
  <c r="CR603" i="319"/>
  <c r="CQ602" i="319"/>
  <c r="CR578" i="319"/>
  <c r="CQ577" i="319"/>
  <c r="CQ733" i="319"/>
  <c r="CR734" i="319"/>
  <c r="CR793" i="319"/>
  <c r="CQ792" i="319"/>
  <c r="CR638" i="319"/>
  <c r="CQ637" i="319"/>
  <c r="CR707" i="319"/>
  <c r="CQ706" i="319"/>
  <c r="CR760" i="319"/>
  <c r="CQ759" i="319"/>
  <c r="CR818" i="319"/>
  <c r="CQ817" i="319"/>
  <c r="CQ697" i="319"/>
  <c r="CR698" i="319"/>
  <c r="CQ738" i="319"/>
  <c r="CR739" i="319"/>
  <c r="CR838" i="319"/>
  <c r="CR613" i="319"/>
  <c r="CQ612" i="319"/>
  <c r="CR546" i="319"/>
  <c r="CQ545" i="319"/>
  <c r="CR557" i="319"/>
  <c r="CQ556" i="319"/>
  <c r="CR629" i="319"/>
  <c r="CQ628" i="319"/>
  <c r="CR587" i="319"/>
  <c r="CQ779" i="319"/>
  <c r="CR780" i="319"/>
  <c r="CQ659" i="319"/>
  <c r="CR660" i="319"/>
  <c r="CQ438" i="319"/>
  <c r="CR438" i="319" s="1"/>
  <c r="CQ439" i="319"/>
  <c r="CR439" i="319" s="1"/>
  <c r="CR441" i="319"/>
  <c r="CQ440" i="319"/>
  <c r="CR440" i="319" s="1"/>
  <c r="CQ437" i="319"/>
  <c r="CR437" i="319" s="1"/>
  <c r="CQ644" i="319"/>
  <c r="CR644" i="319" s="1"/>
  <c r="CQ643" i="319"/>
  <c r="CR645" i="319"/>
  <c r="CR765" i="319"/>
  <c r="CQ764" i="319"/>
  <c r="CR541" i="319"/>
  <c r="CQ540" i="319"/>
  <c r="CQ664" i="319"/>
  <c r="CR665" i="319"/>
  <c r="CR686" i="319"/>
  <c r="CQ685" i="319"/>
  <c r="CQ653" i="319"/>
  <c r="CR654" i="319"/>
  <c r="CQ823" i="319"/>
  <c r="CR824" i="319"/>
  <c r="CQ802" i="319"/>
  <c r="CR803" i="319"/>
  <c r="CR598" i="319"/>
  <c r="CQ597" i="319"/>
  <c r="CR677" i="319"/>
  <c r="CQ676" i="319"/>
  <c r="CQ571" i="319"/>
  <c r="CR572" i="319"/>
  <c r="CR702" i="319"/>
  <c r="CQ701" i="319"/>
  <c r="CR406" i="319"/>
  <c r="CQ403" i="319"/>
  <c r="CR403" i="319" s="1"/>
  <c r="CQ405" i="319"/>
  <c r="CR405" i="319" s="1"/>
  <c r="CQ401" i="319"/>
  <c r="CR401" i="319" s="1"/>
  <c r="CQ404" i="319"/>
  <c r="CR404" i="319" s="1"/>
  <c r="CQ402" i="319"/>
  <c r="CR402" i="319" s="1"/>
  <c r="CR718" i="319"/>
  <c r="CQ717" i="319"/>
  <c r="CQ849" i="319"/>
  <c r="CR850" i="319"/>
  <c r="CQ607" i="319"/>
  <c r="CR592" i="319"/>
  <c r="CQ591" i="319"/>
  <c r="CR749" i="319"/>
  <c r="CQ748" i="319"/>
  <c r="CR583" i="319"/>
  <c r="CQ582" i="319"/>
  <c r="CR566" i="319"/>
  <c r="CQ565" i="319"/>
  <c r="CQ775" i="319"/>
  <c r="CR776" i="319"/>
  <c r="CQ797" i="319"/>
  <c r="CR798" i="319"/>
  <c r="CR833" i="319"/>
  <c r="CQ832" i="319"/>
  <c r="CR787" i="319"/>
  <c r="CQ786" i="319"/>
  <c r="CQ517" i="319"/>
  <c r="CR517" i="319" s="1"/>
  <c r="CQ518" i="319"/>
  <c r="CR518" i="319" s="1"/>
  <c r="CR520" i="319"/>
  <c r="CQ519" i="319"/>
  <c r="CR519" i="319" s="1"/>
  <c r="CQ516" i="319"/>
  <c r="CR516" i="319" s="1"/>
  <c r="CQ769" i="319"/>
  <c r="CQ722" i="319"/>
  <c r="CR723" i="319"/>
  <c r="CQ691" i="319"/>
  <c r="CR692" i="319"/>
  <c r="CR681" i="319"/>
  <c r="CQ680" i="319"/>
  <c r="CQ827" i="319" l="1"/>
  <c r="CQ550" i="319"/>
  <c r="CR562" i="319"/>
  <c r="CQ812" i="319"/>
  <c r="CQ811" i="319" s="1"/>
  <c r="CR712" i="319"/>
  <c r="CR728" i="319"/>
  <c r="CQ617" i="319"/>
  <c r="CR617" i="319" s="1"/>
  <c r="CQ648" i="319"/>
  <c r="CQ647" i="319" s="1"/>
  <c r="CQ632" i="319"/>
  <c r="CR632" i="319" s="1"/>
  <c r="CS537" i="319"/>
  <c r="CU537" i="319" s="1"/>
  <c r="CR670" i="319"/>
  <c r="B39" i="320"/>
  <c r="H38" i="320"/>
  <c r="J38" i="320" s="1"/>
  <c r="Z51" i="320"/>
  <c r="AF50" i="320"/>
  <c r="AH50" i="320" s="1"/>
  <c r="V14" i="320"/>
  <c r="AH14" i="320"/>
  <c r="T15" i="320"/>
  <c r="V15" i="320" s="1"/>
  <c r="P16" i="320"/>
  <c r="U15" i="320"/>
  <c r="T48" i="320"/>
  <c r="V48" i="320" s="1"/>
  <c r="N49" i="320"/>
  <c r="AN16" i="320"/>
  <c r="AS15" i="320"/>
  <c r="AR15" i="320"/>
  <c r="AT15" i="320" s="1"/>
  <c r="D16" i="320"/>
  <c r="I15" i="320"/>
  <c r="H15" i="320"/>
  <c r="AG15" i="320"/>
  <c r="AB16" i="320"/>
  <c r="AF15" i="320"/>
  <c r="AH15" i="320" s="1"/>
  <c r="CQ796" i="319"/>
  <c r="CR797" i="319"/>
  <c r="CQ822" i="319"/>
  <c r="CR823" i="319"/>
  <c r="CR764" i="319"/>
  <c r="CQ763" i="319"/>
  <c r="CR722" i="319"/>
  <c r="CQ721" i="319"/>
  <c r="CQ768" i="319"/>
  <c r="CR769" i="319"/>
  <c r="CR827" i="319"/>
  <c r="CQ826" i="319"/>
  <c r="CR832" i="319"/>
  <c r="CQ831" i="319"/>
  <c r="CR582" i="319"/>
  <c r="CQ581" i="319"/>
  <c r="CR591" i="319"/>
  <c r="CQ590" i="319"/>
  <c r="CQ675" i="319"/>
  <c r="CR676" i="319"/>
  <c r="CQ560" i="319"/>
  <c r="CR561" i="319"/>
  <c r="CR685" i="319"/>
  <c r="CQ684" i="319"/>
  <c r="CQ642" i="319"/>
  <c r="CR643" i="319"/>
  <c r="CQ778" i="319"/>
  <c r="CR779" i="319"/>
  <c r="CQ696" i="319"/>
  <c r="CR697" i="319"/>
  <c r="CQ843" i="319"/>
  <c r="CR844" i="319"/>
  <c r="CQ742" i="319"/>
  <c r="CR743" i="319"/>
  <c r="CS436" i="319"/>
  <c r="CU436" i="319" s="1"/>
  <c r="CS520" i="319"/>
  <c r="CU520" i="319" s="1"/>
  <c r="CQ663" i="319"/>
  <c r="CR664" i="319"/>
  <c r="CR556" i="319"/>
  <c r="CQ555" i="319"/>
  <c r="CR637" i="319"/>
  <c r="CQ636" i="319"/>
  <c r="CR577" i="319"/>
  <c r="CQ576" i="319"/>
  <c r="CR623" i="319"/>
  <c r="CQ622" i="319"/>
  <c r="CQ774" i="319"/>
  <c r="CR775" i="319"/>
  <c r="CQ848" i="319"/>
  <c r="CR849" i="319"/>
  <c r="CR571" i="319"/>
  <c r="CQ570" i="319"/>
  <c r="CQ801" i="319"/>
  <c r="CR802" i="319"/>
  <c r="CQ539" i="319"/>
  <c r="CR540" i="319"/>
  <c r="CR648" i="319"/>
  <c r="CQ627" i="319"/>
  <c r="CR628" i="319"/>
  <c r="CR545" i="319"/>
  <c r="CQ544" i="319"/>
  <c r="CR817" i="319"/>
  <c r="CQ816" i="319"/>
  <c r="CQ705" i="319"/>
  <c r="CR706" i="319"/>
  <c r="CR602" i="319"/>
  <c r="CQ601" i="319"/>
  <c r="CR753" i="319"/>
  <c r="CQ752" i="319"/>
  <c r="CR680" i="319"/>
  <c r="CQ679" i="319"/>
  <c r="CQ806" i="319"/>
  <c r="CQ652" i="319"/>
  <c r="CR653" i="319"/>
  <c r="CR812" i="319"/>
  <c r="CR586" i="319"/>
  <c r="CQ585" i="319"/>
  <c r="CR612" i="319"/>
  <c r="CQ611" i="319"/>
  <c r="CQ836" i="319"/>
  <c r="CR837" i="319"/>
  <c r="CR759" i="319"/>
  <c r="CQ758" i="319"/>
  <c r="CR792" i="319"/>
  <c r="CQ791" i="319"/>
  <c r="CR711" i="319"/>
  <c r="CQ710" i="319"/>
  <c r="CR691" i="319"/>
  <c r="CQ690" i="319"/>
  <c r="CR786" i="319"/>
  <c r="CQ785" i="319"/>
  <c r="CQ564" i="319"/>
  <c r="CR564" i="319" s="1"/>
  <c r="CR565" i="319"/>
  <c r="CQ747" i="319"/>
  <c r="CR748" i="319"/>
  <c r="CR607" i="319"/>
  <c r="CQ606" i="319"/>
  <c r="CR717" i="319"/>
  <c r="CQ716" i="319"/>
  <c r="CS406" i="319"/>
  <c r="CU406" i="319" s="1"/>
  <c r="CR701" i="319"/>
  <c r="CQ700" i="319"/>
  <c r="CR597" i="319"/>
  <c r="CQ596" i="319"/>
  <c r="CS441" i="319"/>
  <c r="CU441" i="319" s="1"/>
  <c r="CQ658" i="319"/>
  <c r="CR659" i="319"/>
  <c r="CQ668" i="319"/>
  <c r="CR669" i="319"/>
  <c r="CQ737" i="319"/>
  <c r="CR738" i="319"/>
  <c r="CR550" i="319"/>
  <c r="CQ549" i="319"/>
  <c r="CQ732" i="319"/>
  <c r="CR733" i="319"/>
  <c r="CQ853" i="319"/>
  <c r="CR854" i="319"/>
  <c r="CR727" i="319"/>
  <c r="CQ726" i="319"/>
  <c r="CQ616" i="319" l="1"/>
  <c r="CQ631" i="319"/>
  <c r="CS567" i="319"/>
  <c r="CU567" i="319" s="1"/>
  <c r="AN17" i="320"/>
  <c r="AS16" i="320"/>
  <c r="AR16" i="320"/>
  <c r="AT16" i="320" s="1"/>
  <c r="T16" i="320"/>
  <c r="V16" i="320" s="1"/>
  <c r="P17" i="320"/>
  <c r="U16" i="320"/>
  <c r="D17" i="320"/>
  <c r="I16" i="320"/>
  <c r="H16" i="320"/>
  <c r="N50" i="320"/>
  <c r="T49" i="320"/>
  <c r="V49" i="320" s="1"/>
  <c r="Z52" i="320"/>
  <c r="AF51" i="320"/>
  <c r="AH51" i="320" s="1"/>
  <c r="AB17" i="320"/>
  <c r="AG16" i="320"/>
  <c r="AF16" i="320"/>
  <c r="AH16" i="320" s="1"/>
  <c r="J15" i="320"/>
  <c r="B40" i="320"/>
  <c r="H39" i="320"/>
  <c r="J39" i="320" s="1"/>
  <c r="CQ852" i="319"/>
  <c r="CR853" i="319"/>
  <c r="CR668" i="319"/>
  <c r="CQ667" i="319"/>
  <c r="CR667" i="319" s="1"/>
  <c r="CR549" i="319"/>
  <c r="CQ548" i="319"/>
  <c r="CR548" i="319" s="1"/>
  <c r="CR606" i="319"/>
  <c r="CQ605" i="319"/>
  <c r="CR605" i="319" s="1"/>
  <c r="CR690" i="319"/>
  <c r="CQ689" i="319"/>
  <c r="CQ790" i="319"/>
  <c r="CR791" i="319"/>
  <c r="CR585" i="319"/>
  <c r="CQ584" i="319"/>
  <c r="CR584" i="319" s="1"/>
  <c r="CQ678" i="319"/>
  <c r="CR678" i="319" s="1"/>
  <c r="CR679" i="319"/>
  <c r="CR601" i="319"/>
  <c r="CQ600" i="319"/>
  <c r="CR600" i="319" s="1"/>
  <c r="CR816" i="319"/>
  <c r="CQ815" i="319"/>
  <c r="CR815" i="319" s="1"/>
  <c r="CR647" i="319"/>
  <c r="CQ646" i="319"/>
  <c r="CR646" i="319" s="1"/>
  <c r="CR631" i="319"/>
  <c r="CQ630" i="319"/>
  <c r="CR630" i="319" s="1"/>
  <c r="CR576" i="319"/>
  <c r="CQ575" i="319"/>
  <c r="CQ554" i="319"/>
  <c r="CR555" i="319"/>
  <c r="CQ683" i="319"/>
  <c r="CR683" i="319" s="1"/>
  <c r="CR684" i="319"/>
  <c r="CQ580" i="319"/>
  <c r="CR581" i="319"/>
  <c r="CR826" i="319"/>
  <c r="CQ825" i="319"/>
  <c r="CR825" i="319" s="1"/>
  <c r="CR721" i="319"/>
  <c r="CQ720" i="319"/>
  <c r="CQ651" i="319"/>
  <c r="CR651" i="319" s="1"/>
  <c r="CR652" i="319"/>
  <c r="CQ800" i="319"/>
  <c r="CR801" i="319"/>
  <c r="CQ847" i="319"/>
  <c r="CR848" i="319"/>
  <c r="CQ842" i="319"/>
  <c r="CR843" i="319"/>
  <c r="CQ777" i="319"/>
  <c r="CR777" i="319" s="1"/>
  <c r="CR778" i="319"/>
  <c r="CQ674" i="319"/>
  <c r="CR675" i="319"/>
  <c r="CQ821" i="319"/>
  <c r="CR822" i="319"/>
  <c r="CR726" i="319"/>
  <c r="CQ725" i="319"/>
  <c r="CR725" i="319" s="1"/>
  <c r="CQ715" i="319"/>
  <c r="CR716" i="319"/>
  <c r="CR785" i="319"/>
  <c r="CQ784" i="319"/>
  <c r="CQ709" i="319"/>
  <c r="CR709" i="319" s="1"/>
  <c r="CR710" i="319"/>
  <c r="CR758" i="319"/>
  <c r="CQ757" i="319"/>
  <c r="CR611" i="319"/>
  <c r="CQ610" i="319"/>
  <c r="CR610" i="319" s="1"/>
  <c r="CR811" i="319"/>
  <c r="CQ810" i="319"/>
  <c r="CQ751" i="319"/>
  <c r="CR751" i="319" s="1"/>
  <c r="CR752" i="319"/>
  <c r="CQ543" i="319"/>
  <c r="CR543" i="319" s="1"/>
  <c r="CR544" i="319"/>
  <c r="CR616" i="319"/>
  <c r="CQ615" i="319"/>
  <c r="CR615" i="319" s="1"/>
  <c r="CR570" i="319"/>
  <c r="CQ569" i="319"/>
  <c r="CR622" i="319"/>
  <c r="CQ621" i="319"/>
  <c r="CR636" i="319"/>
  <c r="CQ635" i="319"/>
  <c r="CR635" i="319" s="1"/>
  <c r="CR590" i="319"/>
  <c r="CQ589" i="319"/>
  <c r="CR589" i="319" s="1"/>
  <c r="CR831" i="319"/>
  <c r="CQ830" i="319"/>
  <c r="CR830" i="319" s="1"/>
  <c r="CR763" i="319"/>
  <c r="CQ762" i="319"/>
  <c r="CR596" i="319"/>
  <c r="CQ595" i="319"/>
  <c r="CQ835" i="319"/>
  <c r="CR835" i="319" s="1"/>
  <c r="CR836" i="319"/>
  <c r="CR627" i="319"/>
  <c r="CQ626" i="319"/>
  <c r="CR732" i="319"/>
  <c r="CQ731" i="319"/>
  <c r="CR737" i="319"/>
  <c r="CQ736" i="319"/>
  <c r="CR658" i="319"/>
  <c r="CQ657" i="319"/>
  <c r="CR700" i="319"/>
  <c r="CQ699" i="319"/>
  <c r="CR699" i="319" s="1"/>
  <c r="CQ746" i="319"/>
  <c r="CR747" i="319"/>
  <c r="CQ805" i="319"/>
  <c r="CR806" i="319"/>
  <c r="CQ704" i="319"/>
  <c r="CR704" i="319" s="1"/>
  <c r="CR705" i="319"/>
  <c r="CR539" i="319"/>
  <c r="CQ538" i="319"/>
  <c r="CR538" i="319" s="1"/>
  <c r="CQ773" i="319"/>
  <c r="CR774" i="319"/>
  <c r="CR663" i="319"/>
  <c r="CQ662" i="319"/>
  <c r="CR662" i="319" s="1"/>
  <c r="CR742" i="319"/>
  <c r="CQ741" i="319"/>
  <c r="CR696" i="319"/>
  <c r="CQ695" i="319"/>
  <c r="CQ641" i="319"/>
  <c r="CR642" i="319"/>
  <c r="CQ559" i="319"/>
  <c r="CR559" i="319" s="1"/>
  <c r="CR560" i="319"/>
  <c r="CQ767" i="319"/>
  <c r="CR767" i="319" s="1"/>
  <c r="CR768" i="319"/>
  <c r="CQ795" i="319"/>
  <c r="CR796" i="319"/>
  <c r="CS593" i="319" l="1"/>
  <c r="CU593" i="319" s="1"/>
  <c r="CS619" i="319"/>
  <c r="CU619" i="319" s="1"/>
  <c r="CS614" i="319"/>
  <c r="CU614" i="319" s="1"/>
  <c r="CS650" i="319"/>
  <c r="CU650" i="319" s="1"/>
  <c r="CS604" i="319"/>
  <c r="CU604" i="319" s="1"/>
  <c r="CS588" i="319"/>
  <c r="CU588" i="319" s="1"/>
  <c r="CS552" i="319"/>
  <c r="CU552" i="319" s="1"/>
  <c r="CS666" i="319"/>
  <c r="CU666" i="319" s="1"/>
  <c r="CS542" i="319"/>
  <c r="CU542" i="319" s="1"/>
  <c r="CS703" i="319"/>
  <c r="CU703" i="319" s="1"/>
  <c r="CS834" i="319"/>
  <c r="CU834" i="319" s="1"/>
  <c r="CS639" i="319"/>
  <c r="CU639" i="319" s="1"/>
  <c r="CS729" i="319"/>
  <c r="CU729" i="319" s="1"/>
  <c r="CS634" i="319"/>
  <c r="CU634" i="319" s="1"/>
  <c r="CS819" i="319"/>
  <c r="CU819" i="319" s="1"/>
  <c r="CS609" i="319"/>
  <c r="CU609" i="319" s="1"/>
  <c r="CS671" i="319"/>
  <c r="CU671" i="319" s="1"/>
  <c r="CS829" i="319"/>
  <c r="CU829" i="319" s="1"/>
  <c r="Z53" i="320"/>
  <c r="AF52" i="320"/>
  <c r="AH52" i="320" s="1"/>
  <c r="B41" i="320"/>
  <c r="H40" i="320"/>
  <c r="J40" i="320" s="1"/>
  <c r="AB18" i="320"/>
  <c r="AG17" i="320"/>
  <c r="AF17" i="320"/>
  <c r="AH17" i="320" s="1"/>
  <c r="N51" i="320"/>
  <c r="T50" i="320"/>
  <c r="V50" i="320" s="1"/>
  <c r="D18" i="320"/>
  <c r="I17" i="320"/>
  <c r="H17" i="320"/>
  <c r="J17" i="320" s="1"/>
  <c r="J16" i="320"/>
  <c r="T17" i="320"/>
  <c r="P18" i="320"/>
  <c r="U17" i="320"/>
  <c r="AN18" i="320"/>
  <c r="AS17" i="320"/>
  <c r="AR17" i="320"/>
  <c r="AT17" i="320" s="1"/>
  <c r="CR569" i="319"/>
  <c r="CQ568" i="319"/>
  <c r="CR568" i="319" s="1"/>
  <c r="CR757" i="319"/>
  <c r="CQ756" i="319"/>
  <c r="CR756" i="319" s="1"/>
  <c r="CS563" i="319"/>
  <c r="CU563" i="319" s="1"/>
  <c r="CQ804" i="319"/>
  <c r="CR804" i="319" s="1"/>
  <c r="CR805" i="319"/>
  <c r="CS547" i="319"/>
  <c r="CU547" i="319" s="1"/>
  <c r="CQ673" i="319"/>
  <c r="CR674" i="319"/>
  <c r="CQ841" i="319"/>
  <c r="CR841" i="319" s="1"/>
  <c r="CR842" i="319"/>
  <c r="CQ799" i="319"/>
  <c r="CR799" i="319" s="1"/>
  <c r="CR800" i="319"/>
  <c r="CQ579" i="319"/>
  <c r="CR579" i="319" s="1"/>
  <c r="CR580" i="319"/>
  <c r="CR554" i="319"/>
  <c r="CQ553" i="319"/>
  <c r="CR553" i="319" s="1"/>
  <c r="CS558" i="319" s="1"/>
  <c r="CU558" i="319" s="1"/>
  <c r="CS682" i="319"/>
  <c r="CU682" i="319" s="1"/>
  <c r="CR790" i="319"/>
  <c r="CQ789" i="319"/>
  <c r="CR736" i="319"/>
  <c r="CQ735" i="319"/>
  <c r="CR735" i="319" s="1"/>
  <c r="CR626" i="319"/>
  <c r="CQ625" i="319"/>
  <c r="CR625" i="319" s="1"/>
  <c r="CR595" i="319"/>
  <c r="CQ594" i="319"/>
  <c r="CR594" i="319" s="1"/>
  <c r="CQ656" i="319"/>
  <c r="CR656" i="319" s="1"/>
  <c r="CR657" i="319"/>
  <c r="CQ574" i="319"/>
  <c r="CR574" i="319" s="1"/>
  <c r="CR575" i="319"/>
  <c r="CQ688" i="319"/>
  <c r="CR688" i="319" s="1"/>
  <c r="CR689" i="319"/>
  <c r="CR695" i="319"/>
  <c r="CQ694" i="319"/>
  <c r="CR694" i="319" s="1"/>
  <c r="CR810" i="319"/>
  <c r="CQ809" i="319"/>
  <c r="CR809" i="319" s="1"/>
  <c r="CR784" i="319"/>
  <c r="CQ783" i="319"/>
  <c r="CQ719" i="319"/>
  <c r="CR719" i="319" s="1"/>
  <c r="CR720" i="319"/>
  <c r="CQ794" i="319"/>
  <c r="CR794" i="319" s="1"/>
  <c r="CR795" i="319"/>
  <c r="CR741" i="319"/>
  <c r="CQ740" i="319"/>
  <c r="CR740" i="319" s="1"/>
  <c r="CR731" i="319"/>
  <c r="CQ730" i="319"/>
  <c r="CR730" i="319" s="1"/>
  <c r="CR762" i="319"/>
  <c r="CQ761" i="319"/>
  <c r="CR761" i="319" s="1"/>
  <c r="CR621" i="319"/>
  <c r="CQ620" i="319"/>
  <c r="CR620" i="319" s="1"/>
  <c r="CS771" i="319"/>
  <c r="CU771" i="319" s="1"/>
  <c r="CQ640" i="319"/>
  <c r="CR640" i="319" s="1"/>
  <c r="CR641" i="319"/>
  <c r="CQ772" i="319"/>
  <c r="CR772" i="319" s="1"/>
  <c r="CR773" i="319"/>
  <c r="CS708" i="319"/>
  <c r="CU708" i="319" s="1"/>
  <c r="CR746" i="319"/>
  <c r="CQ745" i="319"/>
  <c r="CR745" i="319" s="1"/>
  <c r="CS840" i="319"/>
  <c r="CU840" i="319" s="1"/>
  <c r="CS755" i="319"/>
  <c r="CU755" i="319" s="1"/>
  <c r="CS713" i="319"/>
  <c r="CU713" i="319" s="1"/>
  <c r="CQ714" i="319"/>
  <c r="CR714" i="319" s="1"/>
  <c r="CR715" i="319"/>
  <c r="CQ820" i="319"/>
  <c r="CR820" i="319" s="1"/>
  <c r="CR821" i="319"/>
  <c r="CS781" i="319"/>
  <c r="CU781" i="319" s="1"/>
  <c r="CQ846" i="319"/>
  <c r="CR846" i="319" s="1"/>
  <c r="CR847" i="319"/>
  <c r="CS655" i="319"/>
  <c r="CU655" i="319" s="1"/>
  <c r="CS687" i="319"/>
  <c r="CU687" i="319" s="1"/>
  <c r="CQ851" i="319"/>
  <c r="CR851" i="319" s="1"/>
  <c r="CR852" i="319"/>
  <c r="CS808" i="319" l="1"/>
  <c r="CU808" i="319" s="1"/>
  <c r="CS573" i="319"/>
  <c r="CU573" i="319" s="1"/>
  <c r="CS798" i="319"/>
  <c r="CU798" i="319" s="1"/>
  <c r="CS578" i="319"/>
  <c r="CU578" i="319" s="1"/>
  <c r="CS766" i="319"/>
  <c r="CU766" i="319" s="1"/>
  <c r="CS744" i="319"/>
  <c r="CU744" i="319" s="1"/>
  <c r="CS814" i="319"/>
  <c r="CU814" i="319" s="1"/>
  <c r="CX819" i="319" s="1"/>
  <c r="CS629" i="319"/>
  <c r="CU629" i="319" s="1"/>
  <c r="N52" i="320"/>
  <c r="T51" i="320"/>
  <c r="V51" i="320" s="1"/>
  <c r="B42" i="320"/>
  <c r="H41" i="320"/>
  <c r="J41" i="320" s="1"/>
  <c r="V17" i="320"/>
  <c r="D19" i="320"/>
  <c r="I18" i="320"/>
  <c r="H18" i="320"/>
  <c r="J18" i="320" s="1"/>
  <c r="P19" i="320"/>
  <c r="U18" i="320"/>
  <c r="T18" i="320"/>
  <c r="V18" i="320" s="1"/>
  <c r="AN19" i="320"/>
  <c r="AS18" i="320"/>
  <c r="AR18" i="320"/>
  <c r="AT18" i="320" s="1"/>
  <c r="AG18" i="320"/>
  <c r="AB19" i="320"/>
  <c r="AF18" i="320"/>
  <c r="Z54" i="320"/>
  <c r="AF53" i="320"/>
  <c r="AH53" i="320" s="1"/>
  <c r="CS855" i="319"/>
  <c r="CU855" i="319" s="1"/>
  <c r="CS850" i="319"/>
  <c r="CU850" i="319" s="1"/>
  <c r="CX850" i="319" s="1"/>
  <c r="CX781" i="319"/>
  <c r="CS718" i="319"/>
  <c r="CU718" i="319" s="1"/>
  <c r="CS750" i="319"/>
  <c r="CU750" i="319" s="1"/>
  <c r="CS776" i="319"/>
  <c r="CU776" i="319" s="1"/>
  <c r="CS624" i="319"/>
  <c r="CU624" i="319" s="1"/>
  <c r="CS734" i="319"/>
  <c r="CU734" i="319" s="1"/>
  <c r="CQ782" i="319"/>
  <c r="CR782" i="319" s="1"/>
  <c r="CR783" i="319"/>
  <c r="CS698" i="319"/>
  <c r="CU698" i="319" s="1"/>
  <c r="CS599" i="319"/>
  <c r="CU599" i="319" s="1"/>
  <c r="CS739" i="319"/>
  <c r="CU739" i="319" s="1"/>
  <c r="CS583" i="319"/>
  <c r="CU583" i="319" s="1"/>
  <c r="CS845" i="319"/>
  <c r="CU845" i="319" s="1"/>
  <c r="CX845" i="319" s="1"/>
  <c r="CS760" i="319"/>
  <c r="CU760" i="319" s="1"/>
  <c r="CS824" i="319"/>
  <c r="CU824" i="319" s="1"/>
  <c r="CX840" i="319" s="1"/>
  <c r="H38" i="324" s="1"/>
  <c r="CR789" i="319"/>
  <c r="CQ788" i="319"/>
  <c r="CR788" i="319" s="1"/>
  <c r="CS803" i="319"/>
  <c r="CU803" i="319" s="1"/>
  <c r="CR673" i="319"/>
  <c r="CQ672" i="319"/>
  <c r="CR672" i="319" s="1"/>
  <c r="CS645" i="319"/>
  <c r="CU645" i="319" s="1"/>
  <c r="CS723" i="319"/>
  <c r="CU723" i="319" s="1"/>
  <c r="CS693" i="319"/>
  <c r="CU693" i="319" s="1"/>
  <c r="CS661" i="319"/>
  <c r="CU661" i="319" s="1"/>
  <c r="CX834" i="319" l="1"/>
  <c r="CX814" i="319"/>
  <c r="CX824" i="319"/>
  <c r="CX744" i="319"/>
  <c r="CX855" i="319"/>
  <c r="AB20" i="320"/>
  <c r="AG19" i="320"/>
  <c r="AF19" i="320"/>
  <c r="AH19" i="320" s="1"/>
  <c r="B43" i="320"/>
  <c r="H42" i="320"/>
  <c r="J42" i="320" s="1"/>
  <c r="Z55" i="320"/>
  <c r="AF54" i="320"/>
  <c r="AH54" i="320" s="1"/>
  <c r="D20" i="320"/>
  <c r="I19" i="320"/>
  <c r="H19" i="320"/>
  <c r="AN20" i="320"/>
  <c r="AS19" i="320"/>
  <c r="AR19" i="320"/>
  <c r="AH18" i="320"/>
  <c r="U19" i="320"/>
  <c r="T19" i="320"/>
  <c r="V19" i="320" s="1"/>
  <c r="P20" i="320"/>
  <c r="N53" i="320"/>
  <c r="T52" i="320"/>
  <c r="V52" i="320" s="1"/>
  <c r="CS677" i="319"/>
  <c r="CU677" i="319" s="1"/>
  <c r="CX829" i="319"/>
  <c r="CS787" i="319"/>
  <c r="CU787" i="319" s="1"/>
  <c r="CX776" i="319"/>
  <c r="CX771" i="319"/>
  <c r="CX766" i="319"/>
  <c r="CX760" i="319"/>
  <c r="CX750" i="319"/>
  <c r="CX755" i="319"/>
  <c r="CS793" i="319"/>
  <c r="CU793" i="319" s="1"/>
  <c r="CX808" i="319" l="1"/>
  <c r="Q38" i="324"/>
  <c r="AN21" i="320"/>
  <c r="AS20" i="320"/>
  <c r="AR20" i="320"/>
  <c r="AT20" i="320" s="1"/>
  <c r="N54" i="320"/>
  <c r="T53" i="320"/>
  <c r="V53" i="320" s="1"/>
  <c r="J19" i="320"/>
  <c r="Z56" i="320"/>
  <c r="AF55" i="320"/>
  <c r="AH55" i="320" s="1"/>
  <c r="D21" i="320"/>
  <c r="I20" i="320"/>
  <c r="H20" i="320"/>
  <c r="J20" i="320" s="1"/>
  <c r="B44" i="320"/>
  <c r="H43" i="320"/>
  <c r="J43" i="320" s="1"/>
  <c r="T20" i="320"/>
  <c r="P21" i="320"/>
  <c r="U20" i="320"/>
  <c r="AT19" i="320"/>
  <c r="AG20" i="320"/>
  <c r="AB21" i="320"/>
  <c r="AF20" i="320"/>
  <c r="AH20" i="320" s="1"/>
  <c r="CX803" i="319"/>
  <c r="CX793" i="319"/>
  <c r="CX798" i="319"/>
  <c r="CX787" i="319"/>
  <c r="AB22" i="320" l="1"/>
  <c r="AG21" i="320"/>
  <c r="AF21" i="320"/>
  <c r="AH21" i="320" s="1"/>
  <c r="T21" i="320"/>
  <c r="V21" i="320" s="1"/>
  <c r="P22" i="320"/>
  <c r="U21" i="320"/>
  <c r="V20" i="320"/>
  <c r="B45" i="320"/>
  <c r="H44" i="320"/>
  <c r="J44" i="320" s="1"/>
  <c r="N55" i="320"/>
  <c r="T54" i="320"/>
  <c r="V54" i="320" s="1"/>
  <c r="Z57" i="320"/>
  <c r="AF56" i="320"/>
  <c r="AH56" i="320" s="1"/>
  <c r="D22" i="320"/>
  <c r="I21" i="320"/>
  <c r="H21" i="320"/>
  <c r="J21" i="320" s="1"/>
  <c r="AN22" i="320"/>
  <c r="AS21" i="320"/>
  <c r="AR21" i="320"/>
  <c r="AT21" i="320" s="1"/>
  <c r="Z58" i="320" l="1"/>
  <c r="AF57" i="320"/>
  <c r="AH57" i="320" s="1"/>
  <c r="B46" i="320"/>
  <c r="H45" i="320"/>
  <c r="J45" i="320" s="1"/>
  <c r="D23" i="320"/>
  <c r="I22" i="320"/>
  <c r="H22" i="320"/>
  <c r="J22" i="320" s="1"/>
  <c r="N56" i="320"/>
  <c r="T55" i="320"/>
  <c r="V55" i="320" s="1"/>
  <c r="AN23" i="320"/>
  <c r="AS22" i="320"/>
  <c r="AR22" i="320"/>
  <c r="AT22" i="320" s="1"/>
  <c r="P23" i="320"/>
  <c r="U22" i="320"/>
  <c r="T22" i="320"/>
  <c r="V22" i="320" s="1"/>
  <c r="AG22" i="320"/>
  <c r="AB23" i="320"/>
  <c r="AF22" i="320"/>
  <c r="AH22" i="320" l="1"/>
  <c r="AN24" i="320"/>
  <c r="AS23" i="320"/>
  <c r="AR23" i="320"/>
  <c r="AT23" i="320" s="1"/>
  <c r="N57" i="320"/>
  <c r="T56" i="320"/>
  <c r="V56" i="320" s="1"/>
  <c r="B47" i="320"/>
  <c r="H46" i="320"/>
  <c r="J46" i="320" s="1"/>
  <c r="AB24" i="320"/>
  <c r="AG23" i="320"/>
  <c r="AF23" i="320"/>
  <c r="AH23" i="320" s="1"/>
  <c r="U23" i="320"/>
  <c r="P24" i="320"/>
  <c r="T23" i="320"/>
  <c r="D24" i="320"/>
  <c r="I23" i="320"/>
  <c r="H23" i="320"/>
  <c r="Z59" i="320"/>
  <c r="AF58" i="320"/>
  <c r="AH58" i="320" s="1"/>
  <c r="B48" i="320" l="1"/>
  <c r="H47" i="320"/>
  <c r="J47" i="320" s="1"/>
  <c r="Z60" i="320"/>
  <c r="AF59" i="320"/>
  <c r="AH59" i="320" s="1"/>
  <c r="V23" i="320"/>
  <c r="AN25" i="320"/>
  <c r="AS24" i="320"/>
  <c r="AR24" i="320"/>
  <c r="AT24" i="320" s="1"/>
  <c r="D25" i="320"/>
  <c r="I24" i="320"/>
  <c r="H24" i="320"/>
  <c r="J24" i="320" s="1"/>
  <c r="J23" i="320"/>
  <c r="T24" i="320"/>
  <c r="P25" i="320"/>
  <c r="U24" i="320"/>
  <c r="AG24" i="320"/>
  <c r="AB25" i="320"/>
  <c r="AF24" i="320"/>
  <c r="N58" i="320"/>
  <c r="T57" i="320"/>
  <c r="V57" i="320" s="1"/>
  <c r="Z61" i="320" l="1"/>
  <c r="AF60" i="320"/>
  <c r="AH60" i="320" s="1"/>
  <c r="AH24" i="320"/>
  <c r="T25" i="320"/>
  <c r="V25" i="320" s="1"/>
  <c r="P26" i="320"/>
  <c r="U25" i="320"/>
  <c r="AN26" i="320"/>
  <c r="AS25" i="320"/>
  <c r="AR25" i="320"/>
  <c r="N59" i="320"/>
  <c r="T58" i="320"/>
  <c r="V58" i="320" s="1"/>
  <c r="AB26" i="320"/>
  <c r="AG25" i="320"/>
  <c r="AF25" i="320"/>
  <c r="AH25" i="320" s="1"/>
  <c r="V24" i="320"/>
  <c r="D26" i="320"/>
  <c r="I25" i="320"/>
  <c r="H25" i="320"/>
  <c r="J25" i="320" s="1"/>
  <c r="B49" i="320"/>
  <c r="H48" i="320"/>
  <c r="J48" i="320" s="1"/>
  <c r="D27" i="320" l="1"/>
  <c r="I26" i="320"/>
  <c r="H26" i="320"/>
  <c r="J26" i="320" s="1"/>
  <c r="B50" i="320"/>
  <c r="H49" i="320"/>
  <c r="J49" i="320" s="1"/>
  <c r="AN27" i="320"/>
  <c r="AS26" i="320"/>
  <c r="AR26" i="320"/>
  <c r="AT26" i="320" s="1"/>
  <c r="N60" i="320"/>
  <c r="T59" i="320"/>
  <c r="V59" i="320" s="1"/>
  <c r="AG26" i="320"/>
  <c r="AB27" i="320"/>
  <c r="AF26" i="320"/>
  <c r="AT25" i="320"/>
  <c r="P27" i="320"/>
  <c r="U26" i="320"/>
  <c r="T26" i="320"/>
  <c r="Z62" i="320"/>
  <c r="AF61" i="320"/>
  <c r="AH61" i="320" s="1"/>
  <c r="U27" i="320" l="1"/>
  <c r="P28" i="320"/>
  <c r="T27" i="320"/>
  <c r="V27" i="320" s="1"/>
  <c r="Z63" i="320"/>
  <c r="AF62" i="320"/>
  <c r="AH62" i="320" s="1"/>
  <c r="AN28" i="320"/>
  <c r="AS27" i="320"/>
  <c r="AR27" i="320"/>
  <c r="AT27" i="320" s="1"/>
  <c r="AB28" i="320"/>
  <c r="AG27" i="320"/>
  <c r="AF27" i="320"/>
  <c r="AH27" i="320" s="1"/>
  <c r="B51" i="320"/>
  <c r="H50" i="320"/>
  <c r="J50" i="320" s="1"/>
  <c r="V26" i="320"/>
  <c r="AH26" i="320"/>
  <c r="N61" i="320"/>
  <c r="T60" i="320"/>
  <c r="V60" i="320" s="1"/>
  <c r="D28" i="320"/>
  <c r="I27" i="320"/>
  <c r="H27" i="320"/>
  <c r="J27" i="320" s="1"/>
  <c r="N62" i="320" l="1"/>
  <c r="T61" i="320"/>
  <c r="V61" i="320" s="1"/>
  <c r="B52" i="320"/>
  <c r="H51" i="320"/>
  <c r="J51" i="320" s="1"/>
  <c r="Z64" i="320"/>
  <c r="AF63" i="320"/>
  <c r="AH63" i="320" s="1"/>
  <c r="D29" i="320"/>
  <c r="I28" i="320"/>
  <c r="H28" i="320"/>
  <c r="AN29" i="320"/>
  <c r="AS28" i="320"/>
  <c r="AR28" i="320"/>
  <c r="AT28" i="320" s="1"/>
  <c r="T28" i="320"/>
  <c r="P29" i="320"/>
  <c r="U28" i="320"/>
  <c r="AG28" i="320"/>
  <c r="AB29" i="320"/>
  <c r="AF28" i="320"/>
  <c r="K190" i="313"/>
  <c r="D18" i="324" s="1"/>
  <c r="J190" i="313"/>
  <c r="I190" i="313"/>
  <c r="F190" i="313"/>
  <c r="F189" i="313"/>
  <c r="F188" i="313"/>
  <c r="F187" i="313"/>
  <c r="F186" i="313"/>
  <c r="F185" i="313"/>
  <c r="F184" i="313"/>
  <c r="F183" i="313"/>
  <c r="F182" i="313"/>
  <c r="F181" i="313"/>
  <c r="F180" i="313"/>
  <c r="F179" i="313"/>
  <c r="F178" i="313"/>
  <c r="F177" i="313"/>
  <c r="F176" i="313"/>
  <c r="F175" i="313"/>
  <c r="F174" i="313"/>
  <c r="F173" i="313"/>
  <c r="F172" i="313"/>
  <c r="F171" i="313"/>
  <c r="F170" i="313"/>
  <c r="F169" i="313"/>
  <c r="F168" i="313"/>
  <c r="F167" i="313"/>
  <c r="F166" i="313"/>
  <c r="F165" i="313"/>
  <c r="F164" i="313"/>
  <c r="F163" i="313"/>
  <c r="F162" i="313"/>
  <c r="F161" i="313"/>
  <c r="F160" i="313"/>
  <c r="K159" i="313"/>
  <c r="J159" i="313"/>
  <c r="I159" i="313"/>
  <c r="F159" i="313"/>
  <c r="F158" i="313"/>
  <c r="F157" i="313"/>
  <c r="F156" i="313"/>
  <c r="F155" i="313"/>
  <c r="F154" i="313"/>
  <c r="F153" i="313"/>
  <c r="F152" i="313"/>
  <c r="F151" i="313"/>
  <c r="F150" i="313"/>
  <c r="F149" i="313"/>
  <c r="F148" i="313"/>
  <c r="F147" i="313"/>
  <c r="F146" i="313"/>
  <c r="F145" i="313"/>
  <c r="F144" i="313"/>
  <c r="F143" i="313"/>
  <c r="F142" i="313"/>
  <c r="F141" i="313"/>
  <c r="F140" i="313"/>
  <c r="F139" i="313"/>
  <c r="F138" i="313"/>
  <c r="F137" i="313"/>
  <c r="F136" i="313"/>
  <c r="F135" i="313"/>
  <c r="F134" i="313"/>
  <c r="F133" i="313"/>
  <c r="F132" i="313"/>
  <c r="F131" i="313"/>
  <c r="F130" i="313"/>
  <c r="K129" i="313"/>
  <c r="J129" i="313"/>
  <c r="I129" i="313"/>
  <c r="F129" i="313"/>
  <c r="F128" i="313"/>
  <c r="F127" i="313"/>
  <c r="F126" i="313"/>
  <c r="F125" i="313"/>
  <c r="F124" i="313"/>
  <c r="F123" i="313"/>
  <c r="F122" i="313"/>
  <c r="F121" i="313"/>
  <c r="F120" i="313"/>
  <c r="F119" i="313"/>
  <c r="F118" i="313"/>
  <c r="F117" i="313"/>
  <c r="F116" i="313"/>
  <c r="F115" i="313"/>
  <c r="F114" i="313"/>
  <c r="F113" i="313"/>
  <c r="F112" i="313"/>
  <c r="F111" i="313"/>
  <c r="F110" i="313"/>
  <c r="F109" i="313"/>
  <c r="F108" i="313"/>
  <c r="F107" i="313"/>
  <c r="F106" i="313"/>
  <c r="F105" i="313"/>
  <c r="F104" i="313"/>
  <c r="F103" i="313"/>
  <c r="F102" i="313"/>
  <c r="F101" i="313"/>
  <c r="F100" i="313"/>
  <c r="F99" i="313"/>
  <c r="K98" i="313"/>
  <c r="J98" i="313"/>
  <c r="I98" i="313"/>
  <c r="F98" i="313"/>
  <c r="F97" i="313"/>
  <c r="F96" i="313"/>
  <c r="F95" i="313"/>
  <c r="F94" i="313"/>
  <c r="F93" i="313"/>
  <c r="F92" i="313"/>
  <c r="F91" i="313"/>
  <c r="F90" i="313"/>
  <c r="F89" i="313"/>
  <c r="F88" i="313"/>
  <c r="F87" i="313"/>
  <c r="F86" i="313"/>
  <c r="F85" i="313"/>
  <c r="F84" i="313"/>
  <c r="F83" i="313"/>
  <c r="F82" i="313"/>
  <c r="F81" i="313"/>
  <c r="F80" i="313"/>
  <c r="F79" i="313"/>
  <c r="F78" i="313"/>
  <c r="F77" i="313"/>
  <c r="F76" i="313"/>
  <c r="F75" i="313"/>
  <c r="F74" i="313"/>
  <c r="F73" i="313"/>
  <c r="F72" i="313"/>
  <c r="F71" i="313"/>
  <c r="F70" i="313"/>
  <c r="F69" i="313"/>
  <c r="F68" i="313"/>
  <c r="K67" i="313"/>
  <c r="J67" i="313"/>
  <c r="I67" i="313"/>
  <c r="F67" i="313"/>
  <c r="F66" i="313"/>
  <c r="F65" i="313"/>
  <c r="F64" i="313"/>
  <c r="F63" i="313"/>
  <c r="F62" i="313"/>
  <c r="F61" i="313"/>
  <c r="F60" i="313"/>
  <c r="F59" i="313"/>
  <c r="F58" i="313"/>
  <c r="F57" i="313"/>
  <c r="F56" i="313"/>
  <c r="F55" i="313"/>
  <c r="F54" i="313"/>
  <c r="F53" i="313"/>
  <c r="F52" i="313"/>
  <c r="F51" i="313"/>
  <c r="F50" i="313"/>
  <c r="F49" i="313"/>
  <c r="F48" i="313"/>
  <c r="F47" i="313"/>
  <c r="F46" i="313"/>
  <c r="F45" i="313"/>
  <c r="F44" i="313"/>
  <c r="F43" i="313"/>
  <c r="F42" i="313"/>
  <c r="F41" i="313"/>
  <c r="F40" i="313"/>
  <c r="F39" i="313"/>
  <c r="F38" i="313"/>
  <c r="K37" i="313"/>
  <c r="J37" i="313"/>
  <c r="I37" i="313"/>
  <c r="F37" i="313"/>
  <c r="F36" i="313"/>
  <c r="F35" i="313"/>
  <c r="F34" i="313"/>
  <c r="F33" i="313"/>
  <c r="F32" i="313"/>
  <c r="F31" i="313"/>
  <c r="F30" i="313"/>
  <c r="F29" i="313"/>
  <c r="F28" i="313"/>
  <c r="F27" i="313"/>
  <c r="F26" i="313"/>
  <c r="F25" i="313"/>
  <c r="F24" i="313"/>
  <c r="F23" i="313"/>
  <c r="F22" i="313"/>
  <c r="F21" i="313"/>
  <c r="F20" i="313"/>
  <c r="F19" i="313"/>
  <c r="F18" i="313"/>
  <c r="F17" i="313"/>
  <c r="F16" i="313"/>
  <c r="F15" i="313"/>
  <c r="F14" i="313"/>
  <c r="F13" i="313"/>
  <c r="F12" i="313"/>
  <c r="F11" i="313"/>
  <c r="F10" i="313"/>
  <c r="F9" i="313"/>
  <c r="F8" i="313"/>
  <c r="F7" i="313"/>
  <c r="B8" i="313"/>
  <c r="B9" i="313" s="1"/>
  <c r="B10" i="313" s="1"/>
  <c r="B11" i="313" s="1"/>
  <c r="B12" i="313" s="1"/>
  <c r="B13" i="313" s="1"/>
  <c r="B14" i="313" s="1"/>
  <c r="B15" i="313" s="1"/>
  <c r="B16" i="313" s="1"/>
  <c r="B17" i="313" s="1"/>
  <c r="B18" i="313" s="1"/>
  <c r="B19" i="313" s="1"/>
  <c r="B20" i="313" s="1"/>
  <c r="B21" i="313" s="1"/>
  <c r="B22" i="313" s="1"/>
  <c r="B23" i="313" s="1"/>
  <c r="B24" i="313" s="1"/>
  <c r="B25" i="313" s="1"/>
  <c r="B26" i="313" s="1"/>
  <c r="B27" i="313" s="1"/>
  <c r="B28" i="313" s="1"/>
  <c r="B29" i="313" s="1"/>
  <c r="B30" i="313" s="1"/>
  <c r="B31" i="313" s="1"/>
  <c r="B32" i="313" s="1"/>
  <c r="B33" i="313" s="1"/>
  <c r="B34" i="313" s="1"/>
  <c r="B35" i="313" s="1"/>
  <c r="B36" i="313" s="1"/>
  <c r="B37" i="313" s="1"/>
  <c r="B38" i="313" s="1"/>
  <c r="B39" i="313" s="1"/>
  <c r="B40" i="313" s="1"/>
  <c r="B41" i="313" s="1"/>
  <c r="B42" i="313" s="1"/>
  <c r="B43" i="313" s="1"/>
  <c r="B44" i="313" s="1"/>
  <c r="B45" i="313" s="1"/>
  <c r="B46" i="313" s="1"/>
  <c r="B47" i="313" s="1"/>
  <c r="B48" i="313" s="1"/>
  <c r="B49" i="313" s="1"/>
  <c r="B50" i="313" s="1"/>
  <c r="B51" i="313" s="1"/>
  <c r="B52" i="313" s="1"/>
  <c r="B53" i="313" s="1"/>
  <c r="B54" i="313" s="1"/>
  <c r="B55" i="313" s="1"/>
  <c r="B56" i="313" s="1"/>
  <c r="B57" i="313" s="1"/>
  <c r="B58" i="313" s="1"/>
  <c r="B59" i="313" s="1"/>
  <c r="B60" i="313" s="1"/>
  <c r="B61" i="313" s="1"/>
  <c r="B62" i="313" s="1"/>
  <c r="B63" i="313" s="1"/>
  <c r="B64" i="313" s="1"/>
  <c r="B65" i="313" s="1"/>
  <c r="B66" i="313" s="1"/>
  <c r="B67" i="313" s="1"/>
  <c r="B68" i="313" s="1"/>
  <c r="B69" i="313" s="1"/>
  <c r="B70" i="313" s="1"/>
  <c r="B71" i="313" s="1"/>
  <c r="B72" i="313" s="1"/>
  <c r="B73" i="313" s="1"/>
  <c r="B74" i="313" s="1"/>
  <c r="B75" i="313" s="1"/>
  <c r="B76" i="313" s="1"/>
  <c r="B77" i="313" s="1"/>
  <c r="B78" i="313" s="1"/>
  <c r="B79" i="313" s="1"/>
  <c r="B80" i="313" s="1"/>
  <c r="B81" i="313" s="1"/>
  <c r="B82" i="313" s="1"/>
  <c r="B83" i="313" s="1"/>
  <c r="B84" i="313" s="1"/>
  <c r="B85" i="313" s="1"/>
  <c r="B86" i="313" s="1"/>
  <c r="B87" i="313" s="1"/>
  <c r="B88" i="313" s="1"/>
  <c r="B89" i="313" s="1"/>
  <c r="B90" i="313" s="1"/>
  <c r="B91" i="313" s="1"/>
  <c r="B92" i="313" s="1"/>
  <c r="B93" i="313" s="1"/>
  <c r="B94" i="313" s="1"/>
  <c r="B95" i="313" s="1"/>
  <c r="B96" i="313" s="1"/>
  <c r="B97" i="313" s="1"/>
  <c r="B98" i="313" s="1"/>
  <c r="B99" i="313" s="1"/>
  <c r="B100" i="313" s="1"/>
  <c r="B101" i="313" s="1"/>
  <c r="B102" i="313" s="1"/>
  <c r="B103" i="313" s="1"/>
  <c r="B104" i="313" s="1"/>
  <c r="B105" i="313" s="1"/>
  <c r="B106" i="313" s="1"/>
  <c r="B107" i="313" s="1"/>
  <c r="B108" i="313" s="1"/>
  <c r="B109" i="313" s="1"/>
  <c r="B110" i="313" s="1"/>
  <c r="B111" i="313" s="1"/>
  <c r="B112" i="313" s="1"/>
  <c r="B113" i="313" s="1"/>
  <c r="B114" i="313" s="1"/>
  <c r="B115" i="313" s="1"/>
  <c r="B116" i="313" s="1"/>
  <c r="B117" i="313" s="1"/>
  <c r="B118" i="313" s="1"/>
  <c r="B119" i="313" s="1"/>
  <c r="B120" i="313" s="1"/>
  <c r="B121" i="313" s="1"/>
  <c r="B122" i="313" s="1"/>
  <c r="B123" i="313" s="1"/>
  <c r="B124" i="313" s="1"/>
  <c r="B125" i="313" s="1"/>
  <c r="B126" i="313" s="1"/>
  <c r="B127" i="313" s="1"/>
  <c r="B128" i="313" s="1"/>
  <c r="B129" i="313" s="1"/>
  <c r="B130" i="313" s="1"/>
  <c r="B131" i="313" s="1"/>
  <c r="B132" i="313" s="1"/>
  <c r="B133" i="313" s="1"/>
  <c r="B134" i="313" s="1"/>
  <c r="B135" i="313" s="1"/>
  <c r="B136" i="313" s="1"/>
  <c r="B137" i="313" s="1"/>
  <c r="B138" i="313" s="1"/>
  <c r="B139" i="313" s="1"/>
  <c r="B140" i="313" s="1"/>
  <c r="B141" i="313" s="1"/>
  <c r="B142" i="313" s="1"/>
  <c r="B143" i="313" s="1"/>
  <c r="B144" i="313" s="1"/>
  <c r="B145" i="313" s="1"/>
  <c r="B146" i="313" s="1"/>
  <c r="B147" i="313" s="1"/>
  <c r="B148" i="313" s="1"/>
  <c r="B149" i="313" s="1"/>
  <c r="B150" i="313" s="1"/>
  <c r="B151" i="313" s="1"/>
  <c r="B152" i="313" s="1"/>
  <c r="B153" i="313" s="1"/>
  <c r="B154" i="313" s="1"/>
  <c r="B155" i="313" s="1"/>
  <c r="B156" i="313" s="1"/>
  <c r="B157" i="313" s="1"/>
  <c r="B158" i="313" s="1"/>
  <c r="B159" i="313" s="1"/>
  <c r="B160" i="313" s="1"/>
  <c r="B161" i="313" s="1"/>
  <c r="B162" i="313" s="1"/>
  <c r="B163" i="313" s="1"/>
  <c r="B164" i="313" s="1"/>
  <c r="B165" i="313" s="1"/>
  <c r="B166" i="313" s="1"/>
  <c r="B167" i="313" s="1"/>
  <c r="B168" i="313" s="1"/>
  <c r="B169" i="313" s="1"/>
  <c r="B170" i="313" s="1"/>
  <c r="B171" i="313" s="1"/>
  <c r="B172" i="313" s="1"/>
  <c r="B173" i="313" s="1"/>
  <c r="B174" i="313" s="1"/>
  <c r="B175" i="313" s="1"/>
  <c r="B176" i="313" s="1"/>
  <c r="B177" i="313" s="1"/>
  <c r="B178" i="313" s="1"/>
  <c r="B179" i="313" s="1"/>
  <c r="B180" i="313" s="1"/>
  <c r="B181" i="313" s="1"/>
  <c r="B182" i="313" s="1"/>
  <c r="B183" i="313" s="1"/>
  <c r="B184" i="313" s="1"/>
  <c r="B185" i="313" s="1"/>
  <c r="B186" i="313" s="1"/>
  <c r="B187" i="313" s="1"/>
  <c r="B188" i="313" s="1"/>
  <c r="B189" i="313" s="1"/>
  <c r="B190" i="313" s="1"/>
  <c r="K190" i="312"/>
  <c r="D17" i="324" s="1"/>
  <c r="J190" i="312"/>
  <c r="I190" i="312"/>
  <c r="F190" i="312"/>
  <c r="F189" i="312"/>
  <c r="F188" i="312"/>
  <c r="F187" i="312"/>
  <c r="F186" i="312"/>
  <c r="F185" i="312"/>
  <c r="F184" i="312"/>
  <c r="F183" i="312"/>
  <c r="F182" i="312"/>
  <c r="F181" i="312"/>
  <c r="F180" i="312"/>
  <c r="F179" i="312"/>
  <c r="F178" i="312"/>
  <c r="F177" i="312"/>
  <c r="F176" i="312"/>
  <c r="F175" i="312"/>
  <c r="F174" i="312"/>
  <c r="F173" i="312"/>
  <c r="F172" i="312"/>
  <c r="F171" i="312"/>
  <c r="F170" i="312"/>
  <c r="F169" i="312"/>
  <c r="F168" i="312"/>
  <c r="F167" i="312"/>
  <c r="F166" i="312"/>
  <c r="F165" i="312"/>
  <c r="F164" i="312"/>
  <c r="F163" i="312"/>
  <c r="F162" i="312"/>
  <c r="F161" i="312"/>
  <c r="F160" i="312"/>
  <c r="K159" i="312"/>
  <c r="J159" i="312"/>
  <c r="I159" i="312"/>
  <c r="F159" i="312"/>
  <c r="F158" i="312"/>
  <c r="F157" i="312"/>
  <c r="F156" i="312"/>
  <c r="F155" i="312"/>
  <c r="F154" i="312"/>
  <c r="F153" i="312"/>
  <c r="F152" i="312"/>
  <c r="F151" i="312"/>
  <c r="F150" i="312"/>
  <c r="F149" i="312"/>
  <c r="F148" i="312"/>
  <c r="F147" i="312"/>
  <c r="F146" i="312"/>
  <c r="F145" i="312"/>
  <c r="F144" i="312"/>
  <c r="F143" i="312"/>
  <c r="F142" i="312"/>
  <c r="F141" i="312"/>
  <c r="F140" i="312"/>
  <c r="F139" i="312"/>
  <c r="F138" i="312"/>
  <c r="F137" i="312"/>
  <c r="F136" i="312"/>
  <c r="F135" i="312"/>
  <c r="F134" i="312"/>
  <c r="F133" i="312"/>
  <c r="F132" i="312"/>
  <c r="F131" i="312"/>
  <c r="F130" i="312"/>
  <c r="K129" i="312"/>
  <c r="J129" i="312"/>
  <c r="I129" i="312"/>
  <c r="F129" i="312"/>
  <c r="F128" i="312"/>
  <c r="F127" i="312"/>
  <c r="F126" i="312"/>
  <c r="F125" i="312"/>
  <c r="F124" i="312"/>
  <c r="F123" i="312"/>
  <c r="F122" i="312"/>
  <c r="F121" i="312"/>
  <c r="F120" i="312"/>
  <c r="F119" i="312"/>
  <c r="F118" i="312"/>
  <c r="F117" i="312"/>
  <c r="F116" i="312"/>
  <c r="F115" i="312"/>
  <c r="F114" i="312"/>
  <c r="F113" i="312"/>
  <c r="F112" i="312"/>
  <c r="F111" i="312"/>
  <c r="F110" i="312"/>
  <c r="F109" i="312"/>
  <c r="F108" i="312"/>
  <c r="F107" i="312"/>
  <c r="F106" i="312"/>
  <c r="F105" i="312"/>
  <c r="F104" i="312"/>
  <c r="F103" i="312"/>
  <c r="F102" i="312"/>
  <c r="F101" i="312"/>
  <c r="F100" i="312"/>
  <c r="F99" i="312"/>
  <c r="K98" i="312"/>
  <c r="J98" i="312"/>
  <c r="I98" i="312"/>
  <c r="F98" i="312"/>
  <c r="F97" i="312"/>
  <c r="F96" i="312"/>
  <c r="F95" i="312"/>
  <c r="F94" i="312"/>
  <c r="F93" i="312"/>
  <c r="F92" i="312"/>
  <c r="F91" i="312"/>
  <c r="F90" i="312"/>
  <c r="F89" i="312"/>
  <c r="F88" i="312"/>
  <c r="F87" i="312"/>
  <c r="F86" i="312"/>
  <c r="F85" i="312"/>
  <c r="F84" i="312"/>
  <c r="F83" i="312"/>
  <c r="F82" i="312"/>
  <c r="F81" i="312"/>
  <c r="F80" i="312"/>
  <c r="F79" i="312"/>
  <c r="F78" i="312"/>
  <c r="F77" i="312"/>
  <c r="F76" i="312"/>
  <c r="F75" i="312"/>
  <c r="F74" i="312"/>
  <c r="F73" i="312"/>
  <c r="F72" i="312"/>
  <c r="F71" i="312"/>
  <c r="F70" i="312"/>
  <c r="F69" i="312"/>
  <c r="F68" i="312"/>
  <c r="K67" i="312"/>
  <c r="J67" i="312"/>
  <c r="I67" i="312"/>
  <c r="F67" i="312"/>
  <c r="F66" i="312"/>
  <c r="F65" i="312"/>
  <c r="F64" i="312"/>
  <c r="F63" i="312"/>
  <c r="F62" i="312"/>
  <c r="F61" i="312"/>
  <c r="F60" i="312"/>
  <c r="F59" i="312"/>
  <c r="F58" i="312"/>
  <c r="F57" i="312"/>
  <c r="F56" i="312"/>
  <c r="F55" i="312"/>
  <c r="F54" i="312"/>
  <c r="F53" i="312"/>
  <c r="F52" i="312"/>
  <c r="F51" i="312"/>
  <c r="F50" i="312"/>
  <c r="F49" i="312"/>
  <c r="F48" i="312"/>
  <c r="F47" i="312"/>
  <c r="F46" i="312"/>
  <c r="F45" i="312"/>
  <c r="F44" i="312"/>
  <c r="F43" i="312"/>
  <c r="F42" i="312"/>
  <c r="F41" i="312"/>
  <c r="F40" i="312"/>
  <c r="F39" i="312"/>
  <c r="F38" i="312"/>
  <c r="K37" i="312"/>
  <c r="J37" i="312"/>
  <c r="I37" i="312"/>
  <c r="F37" i="312"/>
  <c r="F36" i="312"/>
  <c r="F35" i="312"/>
  <c r="F34" i="312"/>
  <c r="F33" i="312"/>
  <c r="F32" i="312"/>
  <c r="F31" i="312"/>
  <c r="F30" i="312"/>
  <c r="F29" i="312"/>
  <c r="F28" i="312"/>
  <c r="F27" i="312"/>
  <c r="F26" i="312"/>
  <c r="F25" i="312"/>
  <c r="F24" i="312"/>
  <c r="F23" i="312"/>
  <c r="F22" i="312"/>
  <c r="F21" i="312"/>
  <c r="F20" i="312"/>
  <c r="F19" i="312"/>
  <c r="F18" i="312"/>
  <c r="F17" i="312"/>
  <c r="F16" i="312"/>
  <c r="F15" i="312"/>
  <c r="F14" i="312"/>
  <c r="F13" i="312"/>
  <c r="F12" i="312"/>
  <c r="F11" i="312"/>
  <c r="F10" i="312"/>
  <c r="F9" i="312"/>
  <c r="F8" i="312"/>
  <c r="F7" i="312"/>
  <c r="B8" i="312"/>
  <c r="B9" i="312" s="1"/>
  <c r="B10" i="312" s="1"/>
  <c r="B11" i="312" s="1"/>
  <c r="B12" i="312" s="1"/>
  <c r="B13" i="312" s="1"/>
  <c r="B14" i="312" s="1"/>
  <c r="B15" i="312" s="1"/>
  <c r="B16" i="312" s="1"/>
  <c r="B17" i="312" s="1"/>
  <c r="B18" i="312" s="1"/>
  <c r="B19" i="312" s="1"/>
  <c r="B20" i="312" s="1"/>
  <c r="B21" i="312" s="1"/>
  <c r="B22" i="312" s="1"/>
  <c r="B23" i="312" s="1"/>
  <c r="B24" i="312" s="1"/>
  <c r="B25" i="312" s="1"/>
  <c r="B26" i="312" s="1"/>
  <c r="B27" i="312" s="1"/>
  <c r="B28" i="312" s="1"/>
  <c r="B29" i="312" s="1"/>
  <c r="B30" i="312" s="1"/>
  <c r="B31" i="312" s="1"/>
  <c r="B32" i="312" s="1"/>
  <c r="B33" i="312" s="1"/>
  <c r="B34" i="312" s="1"/>
  <c r="B35" i="312" s="1"/>
  <c r="B36" i="312" s="1"/>
  <c r="B37" i="312" s="1"/>
  <c r="B38" i="312" s="1"/>
  <c r="B39" i="312" s="1"/>
  <c r="B40" i="312" s="1"/>
  <c r="B41" i="312" s="1"/>
  <c r="B42" i="312" s="1"/>
  <c r="B43" i="312" s="1"/>
  <c r="B44" i="312" s="1"/>
  <c r="B45" i="312" s="1"/>
  <c r="B46" i="312" s="1"/>
  <c r="B47" i="312" s="1"/>
  <c r="B48" i="312" s="1"/>
  <c r="B49" i="312" s="1"/>
  <c r="B50" i="312" s="1"/>
  <c r="B51" i="312" s="1"/>
  <c r="B52" i="312" s="1"/>
  <c r="B53" i="312" s="1"/>
  <c r="B54" i="312" s="1"/>
  <c r="B55" i="312" s="1"/>
  <c r="B56" i="312" s="1"/>
  <c r="B57" i="312" s="1"/>
  <c r="B58" i="312" s="1"/>
  <c r="B59" i="312" s="1"/>
  <c r="B60" i="312" s="1"/>
  <c r="B61" i="312" s="1"/>
  <c r="B62" i="312" s="1"/>
  <c r="B63" i="312" s="1"/>
  <c r="B64" i="312" s="1"/>
  <c r="B65" i="312" s="1"/>
  <c r="B66" i="312" s="1"/>
  <c r="B67" i="312" s="1"/>
  <c r="B68" i="312" s="1"/>
  <c r="B69" i="312" s="1"/>
  <c r="B70" i="312" s="1"/>
  <c r="B71" i="312" s="1"/>
  <c r="B72" i="312" s="1"/>
  <c r="B73" i="312" s="1"/>
  <c r="B74" i="312" s="1"/>
  <c r="B75" i="312" s="1"/>
  <c r="B76" i="312" s="1"/>
  <c r="B77" i="312" s="1"/>
  <c r="B78" i="312" s="1"/>
  <c r="B79" i="312" s="1"/>
  <c r="B80" i="312" s="1"/>
  <c r="B81" i="312" s="1"/>
  <c r="B82" i="312" s="1"/>
  <c r="B83" i="312" s="1"/>
  <c r="B84" i="312" s="1"/>
  <c r="B85" i="312" s="1"/>
  <c r="B86" i="312" s="1"/>
  <c r="B87" i="312" s="1"/>
  <c r="B88" i="312" s="1"/>
  <c r="B89" i="312" s="1"/>
  <c r="B90" i="312" s="1"/>
  <c r="B91" i="312" s="1"/>
  <c r="B92" i="312" s="1"/>
  <c r="B93" i="312" s="1"/>
  <c r="B94" i="312" s="1"/>
  <c r="B95" i="312" s="1"/>
  <c r="B96" i="312" s="1"/>
  <c r="B97" i="312" s="1"/>
  <c r="B98" i="312" s="1"/>
  <c r="B99" i="312" s="1"/>
  <c r="B100" i="312" s="1"/>
  <c r="B101" i="312" s="1"/>
  <c r="B102" i="312" s="1"/>
  <c r="B103" i="312" s="1"/>
  <c r="B104" i="312" s="1"/>
  <c r="B105" i="312" s="1"/>
  <c r="B106" i="312" s="1"/>
  <c r="B107" i="312" s="1"/>
  <c r="B108" i="312" s="1"/>
  <c r="B109" i="312" s="1"/>
  <c r="B110" i="312" s="1"/>
  <c r="B111" i="312" s="1"/>
  <c r="B112" i="312" s="1"/>
  <c r="B113" i="312" s="1"/>
  <c r="B114" i="312" s="1"/>
  <c r="B115" i="312" s="1"/>
  <c r="B116" i="312" s="1"/>
  <c r="B117" i="312" s="1"/>
  <c r="B118" i="312" s="1"/>
  <c r="B119" i="312" s="1"/>
  <c r="B120" i="312" s="1"/>
  <c r="B121" i="312" s="1"/>
  <c r="B122" i="312" s="1"/>
  <c r="B123" i="312" s="1"/>
  <c r="B124" i="312" s="1"/>
  <c r="B125" i="312" s="1"/>
  <c r="B126" i="312" s="1"/>
  <c r="B127" i="312" s="1"/>
  <c r="B128" i="312" s="1"/>
  <c r="B129" i="312" s="1"/>
  <c r="B130" i="312" s="1"/>
  <c r="B131" i="312" s="1"/>
  <c r="B132" i="312" s="1"/>
  <c r="B133" i="312" s="1"/>
  <c r="B134" i="312" s="1"/>
  <c r="B135" i="312" s="1"/>
  <c r="B136" i="312" s="1"/>
  <c r="B137" i="312" s="1"/>
  <c r="B138" i="312" s="1"/>
  <c r="B139" i="312" s="1"/>
  <c r="B140" i="312" s="1"/>
  <c r="B141" i="312" s="1"/>
  <c r="B142" i="312" s="1"/>
  <c r="B143" i="312" s="1"/>
  <c r="B144" i="312" s="1"/>
  <c r="B145" i="312" s="1"/>
  <c r="B146" i="312" s="1"/>
  <c r="B147" i="312" s="1"/>
  <c r="B148" i="312" s="1"/>
  <c r="B149" i="312" s="1"/>
  <c r="B150" i="312" s="1"/>
  <c r="B151" i="312" s="1"/>
  <c r="B152" i="312" s="1"/>
  <c r="B153" i="312" s="1"/>
  <c r="B154" i="312" s="1"/>
  <c r="B155" i="312" s="1"/>
  <c r="B156" i="312" s="1"/>
  <c r="B157" i="312" s="1"/>
  <c r="B158" i="312" s="1"/>
  <c r="B159" i="312" s="1"/>
  <c r="B160" i="312" s="1"/>
  <c r="B161" i="312" s="1"/>
  <c r="B162" i="312" s="1"/>
  <c r="B163" i="312" s="1"/>
  <c r="B164" i="312" s="1"/>
  <c r="B165" i="312" s="1"/>
  <c r="B166" i="312" s="1"/>
  <c r="B167" i="312" s="1"/>
  <c r="B168" i="312" s="1"/>
  <c r="B169" i="312" s="1"/>
  <c r="B170" i="312" s="1"/>
  <c r="B171" i="312" s="1"/>
  <c r="B172" i="312" s="1"/>
  <c r="B173" i="312" s="1"/>
  <c r="B174" i="312" s="1"/>
  <c r="B175" i="312" s="1"/>
  <c r="B176" i="312" s="1"/>
  <c r="B177" i="312" s="1"/>
  <c r="B178" i="312" s="1"/>
  <c r="B179" i="312" s="1"/>
  <c r="B180" i="312" s="1"/>
  <c r="B181" i="312" s="1"/>
  <c r="B182" i="312" s="1"/>
  <c r="B183" i="312" s="1"/>
  <c r="B184" i="312" s="1"/>
  <c r="B185" i="312" s="1"/>
  <c r="B186" i="312" s="1"/>
  <c r="B187" i="312" s="1"/>
  <c r="B188" i="312" s="1"/>
  <c r="B189" i="312" s="1"/>
  <c r="B190" i="312" s="1"/>
  <c r="K190" i="311"/>
  <c r="D16" i="324" s="1"/>
  <c r="H16" i="324" s="1"/>
  <c r="Q16" i="324" s="1"/>
  <c r="S16" i="324" s="1"/>
  <c r="J190" i="311"/>
  <c r="I190" i="311"/>
  <c r="F190" i="311"/>
  <c r="F189" i="311"/>
  <c r="F188" i="311"/>
  <c r="F187" i="311"/>
  <c r="F186" i="311"/>
  <c r="F185" i="311"/>
  <c r="F184" i="311"/>
  <c r="F183" i="311"/>
  <c r="F182" i="311"/>
  <c r="F181" i="311"/>
  <c r="F180" i="311"/>
  <c r="F179" i="311"/>
  <c r="F178" i="311"/>
  <c r="F177" i="311"/>
  <c r="F176" i="311"/>
  <c r="F175" i="311"/>
  <c r="F174" i="311"/>
  <c r="F173" i="311"/>
  <c r="F172" i="311"/>
  <c r="F171" i="311"/>
  <c r="F170" i="311"/>
  <c r="F169" i="311"/>
  <c r="F168" i="311"/>
  <c r="F167" i="311"/>
  <c r="F166" i="311"/>
  <c r="F165" i="311"/>
  <c r="F164" i="311"/>
  <c r="F163" i="311"/>
  <c r="F162" i="311"/>
  <c r="F161" i="311"/>
  <c r="F160" i="311"/>
  <c r="K159" i="311"/>
  <c r="J159" i="311"/>
  <c r="I159" i="311"/>
  <c r="F159" i="311"/>
  <c r="F158" i="311"/>
  <c r="F157" i="311"/>
  <c r="F156" i="311"/>
  <c r="F155" i="311"/>
  <c r="F154" i="311"/>
  <c r="F153" i="311"/>
  <c r="F152" i="311"/>
  <c r="F151" i="311"/>
  <c r="F150" i="311"/>
  <c r="F149" i="311"/>
  <c r="F148" i="311"/>
  <c r="F147" i="311"/>
  <c r="F146" i="311"/>
  <c r="F145" i="311"/>
  <c r="F144" i="311"/>
  <c r="F143" i="311"/>
  <c r="F142" i="311"/>
  <c r="F141" i="311"/>
  <c r="F140" i="311"/>
  <c r="F139" i="311"/>
  <c r="F138" i="311"/>
  <c r="F137" i="311"/>
  <c r="F136" i="311"/>
  <c r="F135" i="311"/>
  <c r="F134" i="311"/>
  <c r="F133" i="311"/>
  <c r="F132" i="311"/>
  <c r="F131" i="311"/>
  <c r="F130" i="311"/>
  <c r="K129" i="311"/>
  <c r="J129" i="311"/>
  <c r="I129" i="311"/>
  <c r="F129" i="311"/>
  <c r="F128" i="311"/>
  <c r="F127" i="311"/>
  <c r="F126" i="311"/>
  <c r="F125" i="311"/>
  <c r="F124" i="311"/>
  <c r="F123" i="311"/>
  <c r="F122" i="311"/>
  <c r="F121" i="311"/>
  <c r="F120" i="311"/>
  <c r="F119" i="311"/>
  <c r="F118" i="311"/>
  <c r="F117" i="311"/>
  <c r="F116" i="311"/>
  <c r="F115" i="311"/>
  <c r="F114" i="311"/>
  <c r="F113" i="311"/>
  <c r="F112" i="311"/>
  <c r="F111" i="311"/>
  <c r="F110" i="311"/>
  <c r="F109" i="311"/>
  <c r="F108" i="311"/>
  <c r="F107" i="311"/>
  <c r="F106" i="311"/>
  <c r="F105" i="311"/>
  <c r="F104" i="311"/>
  <c r="F103" i="311"/>
  <c r="F102" i="311"/>
  <c r="F101" i="311"/>
  <c r="F100" i="311"/>
  <c r="F99" i="311"/>
  <c r="K98" i="311"/>
  <c r="J98" i="311"/>
  <c r="I98" i="311"/>
  <c r="F98" i="311"/>
  <c r="F97" i="311"/>
  <c r="F96" i="311"/>
  <c r="F95" i="311"/>
  <c r="F94" i="311"/>
  <c r="F93" i="311"/>
  <c r="F92" i="311"/>
  <c r="F91" i="311"/>
  <c r="F90" i="311"/>
  <c r="F89" i="311"/>
  <c r="F88" i="311"/>
  <c r="F87" i="311"/>
  <c r="F86" i="311"/>
  <c r="F85" i="311"/>
  <c r="F84" i="311"/>
  <c r="F83" i="311"/>
  <c r="F82" i="311"/>
  <c r="F81" i="311"/>
  <c r="F80" i="311"/>
  <c r="F79" i="311"/>
  <c r="F78" i="311"/>
  <c r="F77" i="311"/>
  <c r="F76" i="311"/>
  <c r="F75" i="311"/>
  <c r="F74" i="311"/>
  <c r="F73" i="311"/>
  <c r="F72" i="311"/>
  <c r="F71" i="311"/>
  <c r="F70" i="311"/>
  <c r="F69" i="311"/>
  <c r="F68" i="311"/>
  <c r="K67" i="311"/>
  <c r="J67" i="311"/>
  <c r="I67" i="311"/>
  <c r="F67" i="311"/>
  <c r="F66" i="311"/>
  <c r="F65" i="311"/>
  <c r="F64" i="311"/>
  <c r="F63" i="311"/>
  <c r="F62" i="311"/>
  <c r="F61" i="311"/>
  <c r="F60" i="311"/>
  <c r="F59" i="311"/>
  <c r="F58" i="311"/>
  <c r="F57" i="311"/>
  <c r="F56" i="311"/>
  <c r="F55" i="311"/>
  <c r="F54" i="311"/>
  <c r="F53" i="311"/>
  <c r="F52" i="311"/>
  <c r="F51" i="311"/>
  <c r="F50" i="311"/>
  <c r="F49" i="311"/>
  <c r="F48" i="311"/>
  <c r="F47" i="311"/>
  <c r="F46" i="311"/>
  <c r="F45" i="311"/>
  <c r="F44" i="311"/>
  <c r="F43" i="311"/>
  <c r="F42" i="311"/>
  <c r="F41" i="311"/>
  <c r="F40" i="311"/>
  <c r="F39" i="311"/>
  <c r="F38" i="311"/>
  <c r="K37" i="311"/>
  <c r="J37" i="311"/>
  <c r="I37" i="311"/>
  <c r="F37" i="311"/>
  <c r="F36" i="311"/>
  <c r="F35" i="311"/>
  <c r="F34" i="311"/>
  <c r="F33" i="311"/>
  <c r="F32" i="311"/>
  <c r="F31" i="311"/>
  <c r="F30" i="311"/>
  <c r="F29" i="311"/>
  <c r="F28" i="311"/>
  <c r="F27" i="311"/>
  <c r="F26" i="311"/>
  <c r="F25" i="311"/>
  <c r="F24" i="311"/>
  <c r="F23" i="311"/>
  <c r="F22" i="311"/>
  <c r="F21" i="311"/>
  <c r="F20" i="311"/>
  <c r="F19" i="311"/>
  <c r="F18" i="311"/>
  <c r="F17" i="311"/>
  <c r="F16" i="311"/>
  <c r="F15" i="311"/>
  <c r="F14" i="311"/>
  <c r="F13" i="311"/>
  <c r="F12" i="311"/>
  <c r="F11" i="311"/>
  <c r="F10" i="311"/>
  <c r="F9" i="311"/>
  <c r="F8" i="311"/>
  <c r="F7" i="311"/>
  <c r="B8" i="311"/>
  <c r="B9" i="311" s="1"/>
  <c r="B10" i="311" s="1"/>
  <c r="B11" i="311" s="1"/>
  <c r="B12" i="311" s="1"/>
  <c r="B13" i="311" s="1"/>
  <c r="B14" i="311" s="1"/>
  <c r="B15" i="311" s="1"/>
  <c r="B16" i="311" s="1"/>
  <c r="B17" i="311" s="1"/>
  <c r="B18" i="311" s="1"/>
  <c r="B19" i="311" s="1"/>
  <c r="B20" i="311" s="1"/>
  <c r="B21" i="311" s="1"/>
  <c r="B22" i="311" s="1"/>
  <c r="B23" i="311" s="1"/>
  <c r="B24" i="311" s="1"/>
  <c r="B25" i="311" s="1"/>
  <c r="B26" i="311" s="1"/>
  <c r="B27" i="311" s="1"/>
  <c r="B28" i="311" s="1"/>
  <c r="B29" i="311" s="1"/>
  <c r="B30" i="311" s="1"/>
  <c r="B31" i="311" s="1"/>
  <c r="B32" i="311" s="1"/>
  <c r="B33" i="311" s="1"/>
  <c r="B34" i="311" s="1"/>
  <c r="B35" i="311" s="1"/>
  <c r="B36" i="311" s="1"/>
  <c r="B37" i="311" s="1"/>
  <c r="B38" i="311" s="1"/>
  <c r="B39" i="311" s="1"/>
  <c r="B40" i="311" s="1"/>
  <c r="B41" i="311" s="1"/>
  <c r="B42" i="311" s="1"/>
  <c r="B43" i="311" s="1"/>
  <c r="B44" i="311" s="1"/>
  <c r="B45" i="311" s="1"/>
  <c r="B46" i="311" s="1"/>
  <c r="B47" i="311" s="1"/>
  <c r="B48" i="311" s="1"/>
  <c r="B49" i="311" s="1"/>
  <c r="B50" i="311" s="1"/>
  <c r="B51" i="311" s="1"/>
  <c r="B52" i="311" s="1"/>
  <c r="B53" i="311" s="1"/>
  <c r="B54" i="311" s="1"/>
  <c r="B55" i="311" s="1"/>
  <c r="B56" i="311" s="1"/>
  <c r="B57" i="311" s="1"/>
  <c r="B58" i="311" s="1"/>
  <c r="B59" i="311" s="1"/>
  <c r="B60" i="311" s="1"/>
  <c r="B61" i="311" s="1"/>
  <c r="B62" i="311" s="1"/>
  <c r="B63" i="311" s="1"/>
  <c r="B64" i="311" s="1"/>
  <c r="B65" i="311" s="1"/>
  <c r="B66" i="311" s="1"/>
  <c r="B67" i="311" s="1"/>
  <c r="B68" i="311" s="1"/>
  <c r="B69" i="311" s="1"/>
  <c r="B70" i="311" s="1"/>
  <c r="B71" i="311" s="1"/>
  <c r="B72" i="311" s="1"/>
  <c r="B73" i="311" s="1"/>
  <c r="B74" i="311" s="1"/>
  <c r="B75" i="311" s="1"/>
  <c r="B76" i="311" s="1"/>
  <c r="B77" i="311" s="1"/>
  <c r="B78" i="311" s="1"/>
  <c r="B79" i="311" s="1"/>
  <c r="B80" i="311" s="1"/>
  <c r="B81" i="311" s="1"/>
  <c r="B82" i="311" s="1"/>
  <c r="B83" i="311" s="1"/>
  <c r="B84" i="311" s="1"/>
  <c r="B85" i="311" s="1"/>
  <c r="B86" i="311" s="1"/>
  <c r="B87" i="311" s="1"/>
  <c r="B88" i="311" s="1"/>
  <c r="B89" i="311" s="1"/>
  <c r="B90" i="311" s="1"/>
  <c r="B91" i="311" s="1"/>
  <c r="B92" i="311" s="1"/>
  <c r="B93" i="311" s="1"/>
  <c r="B94" i="311" s="1"/>
  <c r="B95" i="311" s="1"/>
  <c r="B96" i="311" s="1"/>
  <c r="B97" i="311" s="1"/>
  <c r="B98" i="311" s="1"/>
  <c r="B99" i="311" s="1"/>
  <c r="B100" i="311" s="1"/>
  <c r="B101" i="311" s="1"/>
  <c r="B102" i="311" s="1"/>
  <c r="B103" i="311" s="1"/>
  <c r="B104" i="311" s="1"/>
  <c r="B105" i="311" s="1"/>
  <c r="B106" i="311" s="1"/>
  <c r="B107" i="311" s="1"/>
  <c r="B108" i="311" s="1"/>
  <c r="B109" i="311" s="1"/>
  <c r="B110" i="311" s="1"/>
  <c r="B111" i="311" s="1"/>
  <c r="B112" i="311" s="1"/>
  <c r="B113" i="311" s="1"/>
  <c r="B114" i="311" s="1"/>
  <c r="B115" i="311" s="1"/>
  <c r="B116" i="311" s="1"/>
  <c r="B117" i="311" s="1"/>
  <c r="B118" i="311" s="1"/>
  <c r="B119" i="311" s="1"/>
  <c r="B120" i="311" s="1"/>
  <c r="B121" i="311" s="1"/>
  <c r="B122" i="311" s="1"/>
  <c r="B123" i="311" s="1"/>
  <c r="B124" i="311" s="1"/>
  <c r="B125" i="311" s="1"/>
  <c r="B126" i="311" s="1"/>
  <c r="B127" i="311" s="1"/>
  <c r="B128" i="311" s="1"/>
  <c r="B129" i="311" s="1"/>
  <c r="B130" i="311" s="1"/>
  <c r="B131" i="311" s="1"/>
  <c r="B132" i="311" s="1"/>
  <c r="B133" i="311" s="1"/>
  <c r="B134" i="311" s="1"/>
  <c r="B135" i="311" s="1"/>
  <c r="B136" i="311" s="1"/>
  <c r="B137" i="311" s="1"/>
  <c r="B138" i="311" s="1"/>
  <c r="B139" i="311" s="1"/>
  <c r="B140" i="311" s="1"/>
  <c r="B141" i="311" s="1"/>
  <c r="B142" i="311" s="1"/>
  <c r="B143" i="311" s="1"/>
  <c r="B144" i="311" s="1"/>
  <c r="B145" i="311" s="1"/>
  <c r="B146" i="311" s="1"/>
  <c r="B147" i="311" s="1"/>
  <c r="B148" i="311" s="1"/>
  <c r="B149" i="311" s="1"/>
  <c r="B150" i="311" s="1"/>
  <c r="B151" i="311" s="1"/>
  <c r="B152" i="311" s="1"/>
  <c r="B153" i="311" s="1"/>
  <c r="B154" i="311" s="1"/>
  <c r="B155" i="311" s="1"/>
  <c r="B156" i="311" s="1"/>
  <c r="B157" i="311" s="1"/>
  <c r="B158" i="311" s="1"/>
  <c r="B159" i="311" s="1"/>
  <c r="B160" i="311" s="1"/>
  <c r="B161" i="311" s="1"/>
  <c r="B162" i="311" s="1"/>
  <c r="B163" i="311" s="1"/>
  <c r="B164" i="311" s="1"/>
  <c r="B165" i="311" s="1"/>
  <c r="B166" i="311" s="1"/>
  <c r="B167" i="311" s="1"/>
  <c r="B168" i="311" s="1"/>
  <c r="B169" i="311" s="1"/>
  <c r="B170" i="311" s="1"/>
  <c r="B171" i="311" s="1"/>
  <c r="B172" i="311" s="1"/>
  <c r="B173" i="311" s="1"/>
  <c r="B174" i="311" s="1"/>
  <c r="B175" i="311" s="1"/>
  <c r="B176" i="311" s="1"/>
  <c r="B177" i="311" s="1"/>
  <c r="B178" i="311" s="1"/>
  <c r="B179" i="311" s="1"/>
  <c r="B180" i="311" s="1"/>
  <c r="B181" i="311" s="1"/>
  <c r="B182" i="311" s="1"/>
  <c r="B183" i="311" s="1"/>
  <c r="B184" i="311" s="1"/>
  <c r="B185" i="311" s="1"/>
  <c r="B186" i="311" s="1"/>
  <c r="B187" i="311" s="1"/>
  <c r="B188" i="311" s="1"/>
  <c r="B189" i="311" s="1"/>
  <c r="B190" i="311" s="1"/>
  <c r="K190" i="310"/>
  <c r="D15" i="324" s="1"/>
  <c r="J190" i="310"/>
  <c r="I190" i="310"/>
  <c r="F190" i="310"/>
  <c r="F189" i="310"/>
  <c r="F188" i="310"/>
  <c r="F187" i="310"/>
  <c r="F186" i="310"/>
  <c r="F185" i="310"/>
  <c r="F184" i="310"/>
  <c r="F183" i="310"/>
  <c r="F182" i="310"/>
  <c r="F181" i="310"/>
  <c r="F180" i="310"/>
  <c r="F179" i="310"/>
  <c r="F178" i="310"/>
  <c r="F177" i="310"/>
  <c r="F176" i="310"/>
  <c r="F175" i="310"/>
  <c r="F174" i="310"/>
  <c r="F173" i="310"/>
  <c r="F172" i="310"/>
  <c r="F171" i="310"/>
  <c r="F170" i="310"/>
  <c r="F169" i="310"/>
  <c r="F168" i="310"/>
  <c r="F167" i="310"/>
  <c r="F166" i="310"/>
  <c r="F165" i="310"/>
  <c r="F164" i="310"/>
  <c r="F163" i="310"/>
  <c r="F162" i="310"/>
  <c r="F161" i="310"/>
  <c r="F160" i="310"/>
  <c r="K159" i="310"/>
  <c r="J159" i="310"/>
  <c r="I159" i="310"/>
  <c r="F159" i="310"/>
  <c r="F158" i="310"/>
  <c r="F157" i="310"/>
  <c r="F156" i="310"/>
  <c r="F155" i="310"/>
  <c r="F154" i="310"/>
  <c r="F153" i="310"/>
  <c r="F152" i="310"/>
  <c r="F151" i="310"/>
  <c r="F150" i="310"/>
  <c r="F149" i="310"/>
  <c r="F148" i="310"/>
  <c r="F147" i="310"/>
  <c r="F146" i="310"/>
  <c r="F145" i="310"/>
  <c r="F144" i="310"/>
  <c r="F143" i="310"/>
  <c r="F142" i="310"/>
  <c r="F141" i="310"/>
  <c r="F140" i="310"/>
  <c r="F139" i="310"/>
  <c r="F138" i="310"/>
  <c r="F137" i="310"/>
  <c r="F136" i="310"/>
  <c r="F135" i="310"/>
  <c r="F134" i="310"/>
  <c r="F133" i="310"/>
  <c r="F132" i="310"/>
  <c r="F131" i="310"/>
  <c r="F130" i="310"/>
  <c r="K129" i="310"/>
  <c r="J129" i="310"/>
  <c r="I129" i="310"/>
  <c r="F129" i="310"/>
  <c r="F128" i="310"/>
  <c r="F127" i="310"/>
  <c r="F126" i="310"/>
  <c r="F125" i="310"/>
  <c r="F124" i="310"/>
  <c r="F123" i="310"/>
  <c r="F122" i="310"/>
  <c r="F121" i="310"/>
  <c r="F120" i="310"/>
  <c r="F119" i="310"/>
  <c r="F118" i="310"/>
  <c r="F117" i="310"/>
  <c r="F116" i="310"/>
  <c r="F115" i="310"/>
  <c r="F114" i="310"/>
  <c r="F113" i="310"/>
  <c r="F112" i="310"/>
  <c r="F111" i="310"/>
  <c r="F110" i="310"/>
  <c r="F109" i="310"/>
  <c r="F108" i="310"/>
  <c r="F107" i="310"/>
  <c r="F106" i="310"/>
  <c r="F105" i="310"/>
  <c r="F104" i="310"/>
  <c r="F103" i="310"/>
  <c r="F102" i="310"/>
  <c r="F101" i="310"/>
  <c r="F100" i="310"/>
  <c r="F99" i="310"/>
  <c r="K98" i="310"/>
  <c r="J98" i="310"/>
  <c r="I98" i="310"/>
  <c r="F98" i="310"/>
  <c r="F97" i="310"/>
  <c r="F96" i="310"/>
  <c r="F95" i="310"/>
  <c r="F94" i="310"/>
  <c r="F93" i="310"/>
  <c r="F92" i="310"/>
  <c r="F91" i="310"/>
  <c r="F90" i="310"/>
  <c r="F89" i="310"/>
  <c r="F88" i="310"/>
  <c r="F87" i="310"/>
  <c r="F86" i="310"/>
  <c r="F85" i="310"/>
  <c r="F84" i="310"/>
  <c r="F83" i="310"/>
  <c r="F82" i="310"/>
  <c r="F81" i="310"/>
  <c r="F80" i="310"/>
  <c r="F79" i="310"/>
  <c r="F78" i="310"/>
  <c r="F77" i="310"/>
  <c r="F76" i="310"/>
  <c r="F75" i="310"/>
  <c r="F74" i="310"/>
  <c r="F73" i="310"/>
  <c r="F72" i="310"/>
  <c r="F71" i="310"/>
  <c r="F70" i="310"/>
  <c r="F69" i="310"/>
  <c r="F68" i="310"/>
  <c r="K67" i="310"/>
  <c r="J67" i="310"/>
  <c r="I67" i="310"/>
  <c r="F67" i="310"/>
  <c r="F66" i="310"/>
  <c r="F65" i="310"/>
  <c r="F64" i="310"/>
  <c r="F63" i="310"/>
  <c r="F62" i="310"/>
  <c r="F61" i="310"/>
  <c r="F60" i="310"/>
  <c r="F59" i="310"/>
  <c r="F58" i="310"/>
  <c r="F57" i="310"/>
  <c r="F56" i="310"/>
  <c r="F55" i="310"/>
  <c r="F54" i="310"/>
  <c r="F53" i="310"/>
  <c r="F52" i="310"/>
  <c r="F51" i="310"/>
  <c r="F50" i="310"/>
  <c r="F49" i="310"/>
  <c r="F48" i="310"/>
  <c r="F47" i="310"/>
  <c r="F46" i="310"/>
  <c r="F45" i="310"/>
  <c r="F44" i="310"/>
  <c r="F43" i="310"/>
  <c r="F42" i="310"/>
  <c r="F41" i="310"/>
  <c r="F40" i="310"/>
  <c r="F39" i="310"/>
  <c r="F38" i="310"/>
  <c r="K37" i="310"/>
  <c r="J37" i="310"/>
  <c r="I37" i="310"/>
  <c r="F37" i="310"/>
  <c r="F36" i="310"/>
  <c r="F35" i="310"/>
  <c r="F34" i="310"/>
  <c r="F33" i="310"/>
  <c r="F32" i="310"/>
  <c r="F31" i="310"/>
  <c r="F30" i="310"/>
  <c r="F29" i="310"/>
  <c r="F28" i="310"/>
  <c r="F27" i="310"/>
  <c r="F26" i="310"/>
  <c r="F25" i="310"/>
  <c r="F24" i="310"/>
  <c r="F23" i="310"/>
  <c r="F22" i="310"/>
  <c r="F21" i="310"/>
  <c r="F20" i="310"/>
  <c r="F19" i="310"/>
  <c r="F18" i="310"/>
  <c r="F17" i="310"/>
  <c r="F16" i="310"/>
  <c r="F15" i="310"/>
  <c r="F14" i="310"/>
  <c r="F13" i="310"/>
  <c r="F12" i="310"/>
  <c r="F11" i="310"/>
  <c r="F10" i="310"/>
  <c r="F9" i="310"/>
  <c r="F8" i="310"/>
  <c r="F7" i="310"/>
  <c r="B8" i="310"/>
  <c r="B9" i="310" s="1"/>
  <c r="B10" i="310" s="1"/>
  <c r="B11" i="310" s="1"/>
  <c r="B12" i="310" s="1"/>
  <c r="B13" i="310" s="1"/>
  <c r="B14" i="310" s="1"/>
  <c r="B15" i="310" s="1"/>
  <c r="B16" i="310" s="1"/>
  <c r="B17" i="310" s="1"/>
  <c r="B18" i="310" s="1"/>
  <c r="B19" i="310" s="1"/>
  <c r="B20" i="310" s="1"/>
  <c r="B21" i="310" s="1"/>
  <c r="B22" i="310" s="1"/>
  <c r="B23" i="310" s="1"/>
  <c r="B24" i="310" s="1"/>
  <c r="B25" i="310" s="1"/>
  <c r="B26" i="310" s="1"/>
  <c r="B27" i="310" s="1"/>
  <c r="B28" i="310" s="1"/>
  <c r="B29" i="310" s="1"/>
  <c r="B30" i="310" s="1"/>
  <c r="B31" i="310" s="1"/>
  <c r="B32" i="310" s="1"/>
  <c r="B33" i="310" s="1"/>
  <c r="B34" i="310" s="1"/>
  <c r="B35" i="310" s="1"/>
  <c r="B36" i="310" s="1"/>
  <c r="B37" i="310" s="1"/>
  <c r="B38" i="310" s="1"/>
  <c r="B39" i="310" s="1"/>
  <c r="B40" i="310" s="1"/>
  <c r="B41" i="310" s="1"/>
  <c r="B42" i="310" s="1"/>
  <c r="B43" i="310" s="1"/>
  <c r="B44" i="310" s="1"/>
  <c r="B45" i="310" s="1"/>
  <c r="B46" i="310" s="1"/>
  <c r="B47" i="310" s="1"/>
  <c r="B48" i="310" s="1"/>
  <c r="B49" i="310" s="1"/>
  <c r="B50" i="310" s="1"/>
  <c r="B51" i="310" s="1"/>
  <c r="B52" i="310" s="1"/>
  <c r="B53" i="310" s="1"/>
  <c r="B54" i="310" s="1"/>
  <c r="B55" i="310" s="1"/>
  <c r="B56" i="310" s="1"/>
  <c r="B57" i="310" s="1"/>
  <c r="B58" i="310" s="1"/>
  <c r="B59" i="310" s="1"/>
  <c r="B60" i="310" s="1"/>
  <c r="B61" i="310" s="1"/>
  <c r="B62" i="310" s="1"/>
  <c r="B63" i="310" s="1"/>
  <c r="B64" i="310" s="1"/>
  <c r="B65" i="310" s="1"/>
  <c r="B66" i="310" s="1"/>
  <c r="B67" i="310" s="1"/>
  <c r="B68" i="310" s="1"/>
  <c r="B69" i="310" s="1"/>
  <c r="B70" i="310" s="1"/>
  <c r="B71" i="310" s="1"/>
  <c r="B72" i="310" s="1"/>
  <c r="B73" i="310" s="1"/>
  <c r="B74" i="310" s="1"/>
  <c r="B75" i="310" s="1"/>
  <c r="B76" i="310" s="1"/>
  <c r="B77" i="310" s="1"/>
  <c r="B78" i="310" s="1"/>
  <c r="B79" i="310" s="1"/>
  <c r="B80" i="310" s="1"/>
  <c r="B81" i="310" s="1"/>
  <c r="B82" i="310" s="1"/>
  <c r="B83" i="310" s="1"/>
  <c r="B84" i="310" s="1"/>
  <c r="B85" i="310" s="1"/>
  <c r="B86" i="310" s="1"/>
  <c r="B87" i="310" s="1"/>
  <c r="B88" i="310" s="1"/>
  <c r="B89" i="310" s="1"/>
  <c r="B90" i="310" s="1"/>
  <c r="B91" i="310" s="1"/>
  <c r="B92" i="310" s="1"/>
  <c r="B93" i="310" s="1"/>
  <c r="B94" i="310" s="1"/>
  <c r="B95" i="310" s="1"/>
  <c r="B96" i="310" s="1"/>
  <c r="B97" i="310" s="1"/>
  <c r="B98" i="310" s="1"/>
  <c r="B99" i="310" s="1"/>
  <c r="B100" i="310" s="1"/>
  <c r="B101" i="310" s="1"/>
  <c r="B102" i="310" s="1"/>
  <c r="B103" i="310" s="1"/>
  <c r="B104" i="310" s="1"/>
  <c r="B105" i="310" s="1"/>
  <c r="B106" i="310" s="1"/>
  <c r="B107" i="310" s="1"/>
  <c r="B108" i="310" s="1"/>
  <c r="B109" i="310" s="1"/>
  <c r="B110" i="310" s="1"/>
  <c r="B111" i="310" s="1"/>
  <c r="B112" i="310" s="1"/>
  <c r="B113" i="310" s="1"/>
  <c r="B114" i="310" s="1"/>
  <c r="B115" i="310" s="1"/>
  <c r="B116" i="310" s="1"/>
  <c r="B117" i="310" s="1"/>
  <c r="B118" i="310" s="1"/>
  <c r="B119" i="310" s="1"/>
  <c r="B120" i="310" s="1"/>
  <c r="B121" i="310" s="1"/>
  <c r="B122" i="310" s="1"/>
  <c r="B123" i="310" s="1"/>
  <c r="B124" i="310" s="1"/>
  <c r="B125" i="310" s="1"/>
  <c r="B126" i="310" s="1"/>
  <c r="B127" i="310" s="1"/>
  <c r="B128" i="310" s="1"/>
  <c r="B129" i="310" s="1"/>
  <c r="B130" i="310" s="1"/>
  <c r="B131" i="310" s="1"/>
  <c r="B132" i="310" s="1"/>
  <c r="B133" i="310" s="1"/>
  <c r="B134" i="310" s="1"/>
  <c r="B135" i="310" s="1"/>
  <c r="B136" i="310" s="1"/>
  <c r="B137" i="310" s="1"/>
  <c r="B138" i="310" s="1"/>
  <c r="B139" i="310" s="1"/>
  <c r="B140" i="310" s="1"/>
  <c r="B141" i="310" s="1"/>
  <c r="B142" i="310" s="1"/>
  <c r="B143" i="310" s="1"/>
  <c r="B144" i="310" s="1"/>
  <c r="B145" i="310" s="1"/>
  <c r="B146" i="310" s="1"/>
  <c r="B147" i="310" s="1"/>
  <c r="B148" i="310" s="1"/>
  <c r="B149" i="310" s="1"/>
  <c r="B150" i="310" s="1"/>
  <c r="B151" i="310" s="1"/>
  <c r="B152" i="310" s="1"/>
  <c r="B153" i="310" s="1"/>
  <c r="B154" i="310" s="1"/>
  <c r="B155" i="310" s="1"/>
  <c r="B156" i="310" s="1"/>
  <c r="B157" i="310" s="1"/>
  <c r="B158" i="310" s="1"/>
  <c r="B159" i="310" s="1"/>
  <c r="B160" i="310" s="1"/>
  <c r="B161" i="310" s="1"/>
  <c r="B162" i="310" s="1"/>
  <c r="B163" i="310" s="1"/>
  <c r="B164" i="310" s="1"/>
  <c r="B165" i="310" s="1"/>
  <c r="B166" i="310" s="1"/>
  <c r="B167" i="310" s="1"/>
  <c r="B168" i="310" s="1"/>
  <c r="B169" i="310" s="1"/>
  <c r="B170" i="310" s="1"/>
  <c r="B171" i="310" s="1"/>
  <c r="B172" i="310" s="1"/>
  <c r="B173" i="310" s="1"/>
  <c r="B174" i="310" s="1"/>
  <c r="B175" i="310" s="1"/>
  <c r="B176" i="310" s="1"/>
  <c r="B177" i="310" s="1"/>
  <c r="B178" i="310" s="1"/>
  <c r="B179" i="310" s="1"/>
  <c r="B180" i="310" s="1"/>
  <c r="B181" i="310" s="1"/>
  <c r="B182" i="310" s="1"/>
  <c r="B183" i="310" s="1"/>
  <c r="B184" i="310" s="1"/>
  <c r="B185" i="310" s="1"/>
  <c r="B186" i="310" s="1"/>
  <c r="B187" i="310" s="1"/>
  <c r="B188" i="310" s="1"/>
  <c r="B189" i="310" s="1"/>
  <c r="B190" i="310" s="1"/>
  <c r="K190" i="309"/>
  <c r="D14" i="324" s="1"/>
  <c r="J190" i="309"/>
  <c r="I190" i="309"/>
  <c r="F190" i="309"/>
  <c r="F189" i="309"/>
  <c r="F188" i="309"/>
  <c r="F187" i="309"/>
  <c r="F186" i="309"/>
  <c r="F185" i="309"/>
  <c r="F184" i="309"/>
  <c r="F183" i="309"/>
  <c r="F182" i="309"/>
  <c r="F181" i="309"/>
  <c r="F180" i="309"/>
  <c r="F179" i="309"/>
  <c r="F178" i="309"/>
  <c r="F177" i="309"/>
  <c r="F176" i="309"/>
  <c r="F175" i="309"/>
  <c r="F174" i="309"/>
  <c r="F173" i="309"/>
  <c r="F172" i="309"/>
  <c r="F171" i="309"/>
  <c r="F170" i="309"/>
  <c r="F169" i="309"/>
  <c r="F168" i="309"/>
  <c r="F167" i="309"/>
  <c r="F166" i="309"/>
  <c r="F165" i="309"/>
  <c r="F164" i="309"/>
  <c r="F163" i="309"/>
  <c r="F162" i="309"/>
  <c r="F161" i="309"/>
  <c r="F160" i="309"/>
  <c r="K159" i="309"/>
  <c r="J159" i="309"/>
  <c r="I159" i="309"/>
  <c r="F159" i="309"/>
  <c r="F158" i="309"/>
  <c r="F157" i="309"/>
  <c r="F156" i="309"/>
  <c r="F155" i="309"/>
  <c r="F154" i="309"/>
  <c r="F153" i="309"/>
  <c r="F152" i="309"/>
  <c r="F151" i="309"/>
  <c r="F150" i="309"/>
  <c r="F149" i="309"/>
  <c r="F148" i="309"/>
  <c r="F147" i="309"/>
  <c r="F146" i="309"/>
  <c r="F145" i="309"/>
  <c r="F144" i="309"/>
  <c r="F143" i="309"/>
  <c r="F142" i="309"/>
  <c r="F141" i="309"/>
  <c r="F140" i="309"/>
  <c r="F139" i="309"/>
  <c r="F138" i="309"/>
  <c r="F137" i="309"/>
  <c r="F136" i="309"/>
  <c r="F135" i="309"/>
  <c r="F134" i="309"/>
  <c r="F133" i="309"/>
  <c r="F132" i="309"/>
  <c r="F131" i="309"/>
  <c r="F130" i="309"/>
  <c r="K129" i="309"/>
  <c r="J129" i="309"/>
  <c r="I129" i="309"/>
  <c r="F129" i="309"/>
  <c r="F128" i="309"/>
  <c r="F127" i="309"/>
  <c r="F126" i="309"/>
  <c r="F125" i="309"/>
  <c r="F124" i="309"/>
  <c r="F123" i="309"/>
  <c r="F122" i="309"/>
  <c r="F121" i="309"/>
  <c r="F120" i="309"/>
  <c r="F119" i="309"/>
  <c r="F118" i="309"/>
  <c r="F117" i="309"/>
  <c r="F116" i="309"/>
  <c r="F115" i="309"/>
  <c r="F114" i="309"/>
  <c r="F113" i="309"/>
  <c r="F112" i="309"/>
  <c r="F111" i="309"/>
  <c r="F110" i="309"/>
  <c r="F109" i="309"/>
  <c r="F108" i="309"/>
  <c r="F107" i="309"/>
  <c r="F106" i="309"/>
  <c r="F105" i="309"/>
  <c r="F104" i="309"/>
  <c r="F103" i="309"/>
  <c r="F102" i="309"/>
  <c r="F101" i="309"/>
  <c r="F100" i="309"/>
  <c r="F99" i="309"/>
  <c r="K98" i="309"/>
  <c r="J98" i="309"/>
  <c r="I98" i="309"/>
  <c r="F98" i="309"/>
  <c r="F97" i="309"/>
  <c r="F96" i="309"/>
  <c r="F95" i="309"/>
  <c r="F94" i="309"/>
  <c r="F93" i="309"/>
  <c r="F92" i="309"/>
  <c r="F91" i="309"/>
  <c r="F90" i="309"/>
  <c r="F89" i="309"/>
  <c r="F88" i="309"/>
  <c r="F87" i="309"/>
  <c r="F86" i="309"/>
  <c r="F85" i="309"/>
  <c r="F84" i="309"/>
  <c r="F83" i="309"/>
  <c r="F82" i="309"/>
  <c r="F81" i="309"/>
  <c r="F80" i="309"/>
  <c r="F79" i="309"/>
  <c r="F78" i="309"/>
  <c r="F77" i="309"/>
  <c r="F76" i="309"/>
  <c r="F75" i="309"/>
  <c r="F74" i="309"/>
  <c r="F73" i="309"/>
  <c r="F72" i="309"/>
  <c r="F71" i="309"/>
  <c r="F70" i="309"/>
  <c r="F69" i="309"/>
  <c r="F68" i="309"/>
  <c r="K67" i="309"/>
  <c r="J67" i="309"/>
  <c r="I67" i="309"/>
  <c r="F67" i="309"/>
  <c r="F66" i="309"/>
  <c r="F65" i="309"/>
  <c r="F64" i="309"/>
  <c r="F63" i="309"/>
  <c r="F62" i="309"/>
  <c r="F61" i="309"/>
  <c r="F60" i="309"/>
  <c r="F59" i="309"/>
  <c r="F58" i="309"/>
  <c r="F57" i="309"/>
  <c r="F56" i="309"/>
  <c r="F55" i="309"/>
  <c r="F54" i="309"/>
  <c r="F53" i="309"/>
  <c r="F52" i="309"/>
  <c r="F51" i="309"/>
  <c r="F50" i="309"/>
  <c r="F49" i="309"/>
  <c r="F48" i="309"/>
  <c r="F47" i="309"/>
  <c r="F46" i="309"/>
  <c r="F45" i="309"/>
  <c r="F44" i="309"/>
  <c r="F43" i="309"/>
  <c r="F42" i="309"/>
  <c r="F41" i="309"/>
  <c r="F40" i="309"/>
  <c r="F39" i="309"/>
  <c r="F38" i="309"/>
  <c r="K37" i="309"/>
  <c r="J37" i="309"/>
  <c r="I37" i="309"/>
  <c r="F37" i="309"/>
  <c r="F36" i="309"/>
  <c r="F35" i="309"/>
  <c r="F34" i="309"/>
  <c r="F33" i="309"/>
  <c r="F32" i="309"/>
  <c r="F31" i="309"/>
  <c r="F30" i="309"/>
  <c r="F29" i="309"/>
  <c r="F28" i="309"/>
  <c r="F27" i="309"/>
  <c r="F26" i="309"/>
  <c r="F25" i="309"/>
  <c r="F24" i="309"/>
  <c r="F23" i="309"/>
  <c r="F22" i="309"/>
  <c r="F21" i="309"/>
  <c r="F20" i="309"/>
  <c r="F19" i="309"/>
  <c r="F18" i="309"/>
  <c r="F17" i="309"/>
  <c r="F16" i="309"/>
  <c r="F15" i="309"/>
  <c r="F14" i="309"/>
  <c r="F13" i="309"/>
  <c r="F12" i="309"/>
  <c r="F11" i="309"/>
  <c r="F10" i="309"/>
  <c r="F9" i="309"/>
  <c r="F8" i="309"/>
  <c r="F7" i="309"/>
  <c r="B8" i="309"/>
  <c r="B9" i="309" s="1"/>
  <c r="B10" i="309" s="1"/>
  <c r="B11" i="309" s="1"/>
  <c r="B12" i="309" s="1"/>
  <c r="B13" i="309" s="1"/>
  <c r="B14" i="309" s="1"/>
  <c r="B15" i="309" s="1"/>
  <c r="B16" i="309" s="1"/>
  <c r="B17" i="309" s="1"/>
  <c r="B18" i="309" s="1"/>
  <c r="B19" i="309" s="1"/>
  <c r="B20" i="309" s="1"/>
  <c r="B21" i="309" s="1"/>
  <c r="B22" i="309" s="1"/>
  <c r="B23" i="309" s="1"/>
  <c r="B24" i="309" s="1"/>
  <c r="B25" i="309" s="1"/>
  <c r="B26" i="309" s="1"/>
  <c r="B27" i="309" s="1"/>
  <c r="B28" i="309" s="1"/>
  <c r="B29" i="309" s="1"/>
  <c r="B30" i="309" s="1"/>
  <c r="B31" i="309" s="1"/>
  <c r="B32" i="309" s="1"/>
  <c r="B33" i="309" s="1"/>
  <c r="B34" i="309" s="1"/>
  <c r="B35" i="309" s="1"/>
  <c r="B36" i="309" s="1"/>
  <c r="B37" i="309" s="1"/>
  <c r="B38" i="309" s="1"/>
  <c r="B39" i="309" s="1"/>
  <c r="B40" i="309" s="1"/>
  <c r="B41" i="309" s="1"/>
  <c r="B42" i="309" s="1"/>
  <c r="B43" i="309" s="1"/>
  <c r="B44" i="309" s="1"/>
  <c r="B45" i="309" s="1"/>
  <c r="B46" i="309" s="1"/>
  <c r="B47" i="309" s="1"/>
  <c r="B48" i="309" s="1"/>
  <c r="B49" i="309" s="1"/>
  <c r="B50" i="309" s="1"/>
  <c r="B51" i="309" s="1"/>
  <c r="B52" i="309" s="1"/>
  <c r="B53" i="309" s="1"/>
  <c r="B54" i="309" s="1"/>
  <c r="B55" i="309" s="1"/>
  <c r="B56" i="309" s="1"/>
  <c r="B57" i="309" s="1"/>
  <c r="B58" i="309" s="1"/>
  <c r="B59" i="309" s="1"/>
  <c r="B60" i="309" s="1"/>
  <c r="B61" i="309" s="1"/>
  <c r="B62" i="309" s="1"/>
  <c r="B63" i="309" s="1"/>
  <c r="B64" i="309" s="1"/>
  <c r="B65" i="309" s="1"/>
  <c r="B66" i="309" s="1"/>
  <c r="B67" i="309" s="1"/>
  <c r="B68" i="309" s="1"/>
  <c r="B69" i="309" s="1"/>
  <c r="B70" i="309" s="1"/>
  <c r="B71" i="309" s="1"/>
  <c r="B72" i="309" s="1"/>
  <c r="B73" i="309" s="1"/>
  <c r="B74" i="309" s="1"/>
  <c r="B75" i="309" s="1"/>
  <c r="B76" i="309" s="1"/>
  <c r="B77" i="309" s="1"/>
  <c r="B78" i="309" s="1"/>
  <c r="B79" i="309" s="1"/>
  <c r="B80" i="309" s="1"/>
  <c r="B81" i="309" s="1"/>
  <c r="B82" i="309" s="1"/>
  <c r="B83" i="309" s="1"/>
  <c r="B84" i="309" s="1"/>
  <c r="B85" i="309" s="1"/>
  <c r="B86" i="309" s="1"/>
  <c r="B87" i="309" s="1"/>
  <c r="B88" i="309" s="1"/>
  <c r="B89" i="309" s="1"/>
  <c r="B90" i="309" s="1"/>
  <c r="B91" i="309" s="1"/>
  <c r="B92" i="309" s="1"/>
  <c r="B93" i="309" s="1"/>
  <c r="B94" i="309" s="1"/>
  <c r="B95" i="309" s="1"/>
  <c r="B96" i="309" s="1"/>
  <c r="B97" i="309" s="1"/>
  <c r="B98" i="309" s="1"/>
  <c r="B99" i="309" s="1"/>
  <c r="B100" i="309" s="1"/>
  <c r="B101" i="309" s="1"/>
  <c r="B102" i="309" s="1"/>
  <c r="B103" i="309" s="1"/>
  <c r="B104" i="309" s="1"/>
  <c r="B105" i="309" s="1"/>
  <c r="B106" i="309" s="1"/>
  <c r="B107" i="309" s="1"/>
  <c r="B108" i="309" s="1"/>
  <c r="B109" i="309" s="1"/>
  <c r="B110" i="309" s="1"/>
  <c r="B111" i="309" s="1"/>
  <c r="B112" i="309" s="1"/>
  <c r="B113" i="309" s="1"/>
  <c r="B114" i="309" s="1"/>
  <c r="B115" i="309" s="1"/>
  <c r="B116" i="309" s="1"/>
  <c r="B117" i="309" s="1"/>
  <c r="B118" i="309" s="1"/>
  <c r="B119" i="309" s="1"/>
  <c r="B120" i="309" s="1"/>
  <c r="B121" i="309" s="1"/>
  <c r="B122" i="309" s="1"/>
  <c r="B123" i="309" s="1"/>
  <c r="B124" i="309" s="1"/>
  <c r="B125" i="309" s="1"/>
  <c r="B126" i="309" s="1"/>
  <c r="B127" i="309" s="1"/>
  <c r="B128" i="309" s="1"/>
  <c r="B129" i="309" s="1"/>
  <c r="B130" i="309" s="1"/>
  <c r="B131" i="309" s="1"/>
  <c r="B132" i="309" s="1"/>
  <c r="B133" i="309" s="1"/>
  <c r="B134" i="309" s="1"/>
  <c r="B135" i="309" s="1"/>
  <c r="B136" i="309" s="1"/>
  <c r="B137" i="309" s="1"/>
  <c r="B138" i="309" s="1"/>
  <c r="B139" i="309" s="1"/>
  <c r="B140" i="309" s="1"/>
  <c r="B141" i="309" s="1"/>
  <c r="B142" i="309" s="1"/>
  <c r="B143" i="309" s="1"/>
  <c r="B144" i="309" s="1"/>
  <c r="B145" i="309" s="1"/>
  <c r="B146" i="309" s="1"/>
  <c r="B147" i="309" s="1"/>
  <c r="B148" i="309" s="1"/>
  <c r="B149" i="309" s="1"/>
  <c r="B150" i="309" s="1"/>
  <c r="B151" i="309" s="1"/>
  <c r="B152" i="309" s="1"/>
  <c r="B153" i="309" s="1"/>
  <c r="B154" i="309" s="1"/>
  <c r="B155" i="309" s="1"/>
  <c r="B156" i="309" s="1"/>
  <c r="B157" i="309" s="1"/>
  <c r="B158" i="309" s="1"/>
  <c r="B159" i="309" s="1"/>
  <c r="B160" i="309" s="1"/>
  <c r="B161" i="309" s="1"/>
  <c r="B162" i="309" s="1"/>
  <c r="B163" i="309" s="1"/>
  <c r="B164" i="309" s="1"/>
  <c r="B165" i="309" s="1"/>
  <c r="B166" i="309" s="1"/>
  <c r="B167" i="309" s="1"/>
  <c r="B168" i="309" s="1"/>
  <c r="B169" i="309" s="1"/>
  <c r="B170" i="309" s="1"/>
  <c r="B171" i="309" s="1"/>
  <c r="B172" i="309" s="1"/>
  <c r="B173" i="309" s="1"/>
  <c r="B174" i="309" s="1"/>
  <c r="B175" i="309" s="1"/>
  <c r="B176" i="309" s="1"/>
  <c r="B177" i="309" s="1"/>
  <c r="B178" i="309" s="1"/>
  <c r="B179" i="309" s="1"/>
  <c r="B180" i="309" s="1"/>
  <c r="B181" i="309" s="1"/>
  <c r="B182" i="309" s="1"/>
  <c r="B183" i="309" s="1"/>
  <c r="B184" i="309" s="1"/>
  <c r="B185" i="309" s="1"/>
  <c r="B186" i="309" s="1"/>
  <c r="B187" i="309" s="1"/>
  <c r="B188" i="309" s="1"/>
  <c r="B189" i="309" s="1"/>
  <c r="B190" i="309" s="1"/>
  <c r="K190" i="308"/>
  <c r="D13" i="324" s="1"/>
  <c r="J190" i="308"/>
  <c r="I190" i="308"/>
  <c r="F190" i="308"/>
  <c r="F189" i="308"/>
  <c r="F188" i="308"/>
  <c r="F187" i="308"/>
  <c r="F186" i="308"/>
  <c r="F185" i="308"/>
  <c r="F184" i="308"/>
  <c r="F183" i="308"/>
  <c r="F182" i="308"/>
  <c r="F181" i="308"/>
  <c r="F180" i="308"/>
  <c r="F179" i="308"/>
  <c r="F178" i="308"/>
  <c r="F177" i="308"/>
  <c r="F176" i="308"/>
  <c r="F175" i="308"/>
  <c r="F174" i="308"/>
  <c r="F173" i="308"/>
  <c r="F172" i="308"/>
  <c r="F171" i="308"/>
  <c r="F170" i="308"/>
  <c r="F169" i="308"/>
  <c r="F168" i="308"/>
  <c r="F167" i="308"/>
  <c r="F166" i="308"/>
  <c r="F165" i="308"/>
  <c r="F164" i="308"/>
  <c r="F163" i="308"/>
  <c r="F162" i="308"/>
  <c r="F161" i="308"/>
  <c r="F160" i="308"/>
  <c r="K159" i="308"/>
  <c r="J159" i="308"/>
  <c r="I159" i="308"/>
  <c r="F159" i="308"/>
  <c r="F158" i="308"/>
  <c r="F157" i="308"/>
  <c r="F156" i="308"/>
  <c r="F155" i="308"/>
  <c r="F154" i="308"/>
  <c r="F153" i="308"/>
  <c r="F152" i="308"/>
  <c r="F151" i="308"/>
  <c r="F150" i="308"/>
  <c r="F149" i="308"/>
  <c r="F148" i="308"/>
  <c r="F147" i="308"/>
  <c r="F146" i="308"/>
  <c r="F145" i="308"/>
  <c r="F144" i="308"/>
  <c r="F143" i="308"/>
  <c r="F142" i="308"/>
  <c r="F141" i="308"/>
  <c r="F140" i="308"/>
  <c r="F139" i="308"/>
  <c r="F138" i="308"/>
  <c r="F137" i="308"/>
  <c r="F136" i="308"/>
  <c r="F135" i="308"/>
  <c r="F134" i="308"/>
  <c r="F133" i="308"/>
  <c r="F132" i="308"/>
  <c r="F131" i="308"/>
  <c r="F130" i="308"/>
  <c r="K129" i="308"/>
  <c r="J129" i="308"/>
  <c r="I129" i="308"/>
  <c r="F129" i="308"/>
  <c r="F128" i="308"/>
  <c r="F127" i="308"/>
  <c r="F126" i="308"/>
  <c r="F125" i="308"/>
  <c r="F124" i="308"/>
  <c r="F123" i="308"/>
  <c r="F122" i="308"/>
  <c r="F121" i="308"/>
  <c r="F120" i="308"/>
  <c r="F119" i="308"/>
  <c r="F118" i="308"/>
  <c r="F117" i="308"/>
  <c r="F116" i="308"/>
  <c r="F115" i="308"/>
  <c r="F114" i="308"/>
  <c r="F113" i="308"/>
  <c r="F112" i="308"/>
  <c r="F111" i="308"/>
  <c r="F110" i="308"/>
  <c r="F109" i="308"/>
  <c r="F108" i="308"/>
  <c r="F107" i="308"/>
  <c r="F106" i="308"/>
  <c r="F105" i="308"/>
  <c r="F104" i="308"/>
  <c r="F103" i="308"/>
  <c r="F102" i="308"/>
  <c r="F101" i="308"/>
  <c r="F100" i="308"/>
  <c r="F99" i="308"/>
  <c r="K98" i="308"/>
  <c r="J98" i="308"/>
  <c r="I98" i="308"/>
  <c r="F98" i="308"/>
  <c r="F97" i="308"/>
  <c r="F96" i="308"/>
  <c r="F95" i="308"/>
  <c r="F94" i="308"/>
  <c r="F93" i="308"/>
  <c r="F92" i="308"/>
  <c r="F91" i="308"/>
  <c r="F90" i="308"/>
  <c r="F89" i="308"/>
  <c r="F88" i="308"/>
  <c r="F87" i="308"/>
  <c r="F86" i="308"/>
  <c r="F85" i="308"/>
  <c r="F84" i="308"/>
  <c r="F83" i="308"/>
  <c r="F82" i="308"/>
  <c r="F81" i="308"/>
  <c r="F80" i="308"/>
  <c r="F79" i="308"/>
  <c r="F78" i="308"/>
  <c r="F77" i="308"/>
  <c r="F76" i="308"/>
  <c r="F75" i="308"/>
  <c r="F74" i="308"/>
  <c r="F73" i="308"/>
  <c r="F72" i="308"/>
  <c r="F71" i="308"/>
  <c r="F70" i="308"/>
  <c r="F69" i="308"/>
  <c r="F68" i="308"/>
  <c r="K67" i="308"/>
  <c r="J67" i="308"/>
  <c r="I67" i="308"/>
  <c r="F67" i="308"/>
  <c r="F66" i="308"/>
  <c r="F65" i="308"/>
  <c r="F64" i="308"/>
  <c r="F63" i="308"/>
  <c r="F62" i="308"/>
  <c r="F61" i="308"/>
  <c r="F60" i="308"/>
  <c r="F59" i="308"/>
  <c r="F58" i="308"/>
  <c r="F57" i="308"/>
  <c r="F56" i="308"/>
  <c r="F55" i="308"/>
  <c r="F54" i="308"/>
  <c r="F53" i="308"/>
  <c r="F52" i="308"/>
  <c r="F51" i="308"/>
  <c r="F50" i="308"/>
  <c r="F49" i="308"/>
  <c r="F48" i="308"/>
  <c r="F47" i="308"/>
  <c r="F46" i="308"/>
  <c r="F45" i="308"/>
  <c r="F44" i="308"/>
  <c r="F43" i="308"/>
  <c r="F42" i="308"/>
  <c r="F41" i="308"/>
  <c r="F40" i="308"/>
  <c r="F39" i="308"/>
  <c r="F38" i="308"/>
  <c r="K37" i="308"/>
  <c r="J37" i="308"/>
  <c r="I37" i="308"/>
  <c r="F37" i="308"/>
  <c r="F36" i="308"/>
  <c r="F35" i="308"/>
  <c r="F34" i="308"/>
  <c r="F33" i="308"/>
  <c r="F32" i="308"/>
  <c r="F31" i="308"/>
  <c r="F30" i="308"/>
  <c r="F29" i="308"/>
  <c r="F28" i="308"/>
  <c r="F27" i="308"/>
  <c r="F26" i="308"/>
  <c r="F25" i="308"/>
  <c r="F24" i="308"/>
  <c r="F23" i="308"/>
  <c r="F22" i="308"/>
  <c r="F21" i="308"/>
  <c r="F20" i="308"/>
  <c r="F19" i="308"/>
  <c r="F18" i="308"/>
  <c r="F17" i="308"/>
  <c r="F16" i="308"/>
  <c r="F15" i="308"/>
  <c r="F14" i="308"/>
  <c r="F13" i="308"/>
  <c r="F12" i="308"/>
  <c r="F11" i="308"/>
  <c r="F10" i="308"/>
  <c r="F9" i="308"/>
  <c r="F8" i="308"/>
  <c r="F7" i="308"/>
  <c r="B8" i="308"/>
  <c r="B9" i="308" s="1"/>
  <c r="B10" i="308" s="1"/>
  <c r="B11" i="308" s="1"/>
  <c r="B12" i="308" s="1"/>
  <c r="B13" i="308" s="1"/>
  <c r="B14" i="308" s="1"/>
  <c r="B15" i="308" s="1"/>
  <c r="B16" i="308" s="1"/>
  <c r="B17" i="308" s="1"/>
  <c r="B18" i="308" s="1"/>
  <c r="B19" i="308" s="1"/>
  <c r="B20" i="308" s="1"/>
  <c r="B21" i="308" s="1"/>
  <c r="B22" i="308" s="1"/>
  <c r="B23" i="308" s="1"/>
  <c r="B24" i="308" s="1"/>
  <c r="B25" i="308" s="1"/>
  <c r="B26" i="308" s="1"/>
  <c r="B27" i="308" s="1"/>
  <c r="B28" i="308" s="1"/>
  <c r="B29" i="308" s="1"/>
  <c r="B30" i="308" s="1"/>
  <c r="B31" i="308" s="1"/>
  <c r="B32" i="308" s="1"/>
  <c r="B33" i="308" s="1"/>
  <c r="B34" i="308" s="1"/>
  <c r="B35" i="308" s="1"/>
  <c r="B36" i="308" s="1"/>
  <c r="B37" i="308" s="1"/>
  <c r="B38" i="308" s="1"/>
  <c r="B39" i="308" s="1"/>
  <c r="B40" i="308" s="1"/>
  <c r="B41" i="308" s="1"/>
  <c r="B42" i="308" s="1"/>
  <c r="B43" i="308" s="1"/>
  <c r="B44" i="308" s="1"/>
  <c r="B45" i="308" s="1"/>
  <c r="B46" i="308" s="1"/>
  <c r="B47" i="308" s="1"/>
  <c r="B48" i="308" s="1"/>
  <c r="B49" i="308" s="1"/>
  <c r="B50" i="308" s="1"/>
  <c r="B51" i="308" s="1"/>
  <c r="B52" i="308" s="1"/>
  <c r="B53" i="308" s="1"/>
  <c r="B54" i="308" s="1"/>
  <c r="B55" i="308" s="1"/>
  <c r="B56" i="308" s="1"/>
  <c r="B57" i="308" s="1"/>
  <c r="B58" i="308" s="1"/>
  <c r="B59" i="308" s="1"/>
  <c r="B60" i="308" s="1"/>
  <c r="B61" i="308" s="1"/>
  <c r="B62" i="308" s="1"/>
  <c r="B63" i="308" s="1"/>
  <c r="B64" i="308" s="1"/>
  <c r="B65" i="308" s="1"/>
  <c r="B66" i="308" s="1"/>
  <c r="B67" i="308" s="1"/>
  <c r="B68" i="308" s="1"/>
  <c r="B69" i="308" s="1"/>
  <c r="B70" i="308" s="1"/>
  <c r="B71" i="308" s="1"/>
  <c r="B72" i="308" s="1"/>
  <c r="B73" i="308" s="1"/>
  <c r="B74" i="308" s="1"/>
  <c r="B75" i="308" s="1"/>
  <c r="B76" i="308" s="1"/>
  <c r="B77" i="308" s="1"/>
  <c r="B78" i="308" s="1"/>
  <c r="B79" i="308" s="1"/>
  <c r="B80" i="308" s="1"/>
  <c r="B81" i="308" s="1"/>
  <c r="B82" i="308" s="1"/>
  <c r="B83" i="308" s="1"/>
  <c r="B84" i="308" s="1"/>
  <c r="B85" i="308" s="1"/>
  <c r="B86" i="308" s="1"/>
  <c r="B87" i="308" s="1"/>
  <c r="B88" i="308" s="1"/>
  <c r="B89" i="308" s="1"/>
  <c r="B90" i="308" s="1"/>
  <c r="B91" i="308" s="1"/>
  <c r="B92" i="308" s="1"/>
  <c r="B93" i="308" s="1"/>
  <c r="B94" i="308" s="1"/>
  <c r="B95" i="308" s="1"/>
  <c r="B96" i="308" s="1"/>
  <c r="B97" i="308" s="1"/>
  <c r="B98" i="308" s="1"/>
  <c r="B99" i="308" s="1"/>
  <c r="B100" i="308" s="1"/>
  <c r="B101" i="308" s="1"/>
  <c r="B102" i="308" s="1"/>
  <c r="B103" i="308" s="1"/>
  <c r="B104" i="308" s="1"/>
  <c r="B105" i="308" s="1"/>
  <c r="B106" i="308" s="1"/>
  <c r="B107" i="308" s="1"/>
  <c r="B108" i="308" s="1"/>
  <c r="B109" i="308" s="1"/>
  <c r="B110" i="308" s="1"/>
  <c r="B111" i="308" s="1"/>
  <c r="B112" i="308" s="1"/>
  <c r="B113" i="308" s="1"/>
  <c r="B114" i="308" s="1"/>
  <c r="B115" i="308" s="1"/>
  <c r="B116" i="308" s="1"/>
  <c r="B117" i="308" s="1"/>
  <c r="B118" i="308" s="1"/>
  <c r="B119" i="308" s="1"/>
  <c r="B120" i="308" s="1"/>
  <c r="B121" i="308" s="1"/>
  <c r="B122" i="308" s="1"/>
  <c r="B123" i="308" s="1"/>
  <c r="B124" i="308" s="1"/>
  <c r="B125" i="308" s="1"/>
  <c r="B126" i="308" s="1"/>
  <c r="B127" i="308" s="1"/>
  <c r="B128" i="308" s="1"/>
  <c r="B129" i="308" s="1"/>
  <c r="B130" i="308" s="1"/>
  <c r="B131" i="308" s="1"/>
  <c r="B132" i="308" s="1"/>
  <c r="B133" i="308" s="1"/>
  <c r="B134" i="308" s="1"/>
  <c r="B135" i="308" s="1"/>
  <c r="B136" i="308" s="1"/>
  <c r="B137" i="308" s="1"/>
  <c r="B138" i="308" s="1"/>
  <c r="B139" i="308" s="1"/>
  <c r="B140" i="308" s="1"/>
  <c r="B141" i="308" s="1"/>
  <c r="B142" i="308" s="1"/>
  <c r="B143" i="308" s="1"/>
  <c r="B144" i="308" s="1"/>
  <c r="B145" i="308" s="1"/>
  <c r="B146" i="308" s="1"/>
  <c r="B147" i="308" s="1"/>
  <c r="B148" i="308" s="1"/>
  <c r="B149" i="308" s="1"/>
  <c r="B150" i="308" s="1"/>
  <c r="B151" i="308" s="1"/>
  <c r="B152" i="308" s="1"/>
  <c r="B153" i="308" s="1"/>
  <c r="B154" i="308" s="1"/>
  <c r="B155" i="308" s="1"/>
  <c r="B156" i="308" s="1"/>
  <c r="B157" i="308" s="1"/>
  <c r="B158" i="308" s="1"/>
  <c r="B159" i="308" s="1"/>
  <c r="B160" i="308" s="1"/>
  <c r="B161" i="308" s="1"/>
  <c r="B162" i="308" s="1"/>
  <c r="B163" i="308" s="1"/>
  <c r="B164" i="308" s="1"/>
  <c r="B165" i="308" s="1"/>
  <c r="B166" i="308" s="1"/>
  <c r="B167" i="308" s="1"/>
  <c r="B168" i="308" s="1"/>
  <c r="B169" i="308" s="1"/>
  <c r="B170" i="308" s="1"/>
  <c r="B171" i="308" s="1"/>
  <c r="B172" i="308" s="1"/>
  <c r="B173" i="308" s="1"/>
  <c r="B174" i="308" s="1"/>
  <c r="B175" i="308" s="1"/>
  <c r="B176" i="308" s="1"/>
  <c r="B177" i="308" s="1"/>
  <c r="B178" i="308" s="1"/>
  <c r="B179" i="308" s="1"/>
  <c r="B180" i="308" s="1"/>
  <c r="B181" i="308" s="1"/>
  <c r="B182" i="308" s="1"/>
  <c r="B183" i="308" s="1"/>
  <c r="B184" i="308" s="1"/>
  <c r="B185" i="308" s="1"/>
  <c r="B186" i="308" s="1"/>
  <c r="B187" i="308" s="1"/>
  <c r="B188" i="308" s="1"/>
  <c r="B189" i="308" s="1"/>
  <c r="B190" i="308" s="1"/>
  <c r="K190" i="307"/>
  <c r="D12" i="324" s="1"/>
  <c r="J190" i="307"/>
  <c r="I190" i="307"/>
  <c r="F190" i="307"/>
  <c r="F189" i="307"/>
  <c r="F188" i="307"/>
  <c r="F187" i="307"/>
  <c r="F186" i="307"/>
  <c r="F185" i="307"/>
  <c r="F184" i="307"/>
  <c r="F183" i="307"/>
  <c r="F182" i="307"/>
  <c r="F181" i="307"/>
  <c r="F180" i="307"/>
  <c r="F179" i="307"/>
  <c r="F178" i="307"/>
  <c r="F177" i="307"/>
  <c r="F176" i="307"/>
  <c r="F175" i="307"/>
  <c r="F174" i="307"/>
  <c r="F173" i="307"/>
  <c r="F172" i="307"/>
  <c r="F171" i="307"/>
  <c r="F170" i="307"/>
  <c r="F169" i="307"/>
  <c r="F168" i="307"/>
  <c r="F167" i="307"/>
  <c r="F166" i="307"/>
  <c r="F165" i="307"/>
  <c r="F164" i="307"/>
  <c r="F163" i="307"/>
  <c r="F162" i="307"/>
  <c r="F161" i="307"/>
  <c r="F160" i="307"/>
  <c r="K159" i="307"/>
  <c r="J159" i="307"/>
  <c r="I159" i="307"/>
  <c r="F159" i="307"/>
  <c r="F158" i="307"/>
  <c r="F157" i="307"/>
  <c r="F156" i="307"/>
  <c r="F155" i="307"/>
  <c r="F154" i="307"/>
  <c r="F153" i="307"/>
  <c r="F152" i="307"/>
  <c r="F151" i="307"/>
  <c r="F150" i="307"/>
  <c r="F149" i="307"/>
  <c r="F148" i="307"/>
  <c r="F147" i="307"/>
  <c r="F146" i="307"/>
  <c r="F145" i="307"/>
  <c r="F144" i="307"/>
  <c r="F143" i="307"/>
  <c r="F142" i="307"/>
  <c r="F141" i="307"/>
  <c r="F140" i="307"/>
  <c r="F139" i="307"/>
  <c r="F138" i="307"/>
  <c r="F137" i="307"/>
  <c r="F136" i="307"/>
  <c r="F135" i="307"/>
  <c r="F134" i="307"/>
  <c r="F133" i="307"/>
  <c r="F132" i="307"/>
  <c r="F131" i="307"/>
  <c r="F130" i="307"/>
  <c r="K129" i="307"/>
  <c r="J129" i="307"/>
  <c r="I129" i="307"/>
  <c r="F129" i="307"/>
  <c r="F128" i="307"/>
  <c r="F127" i="307"/>
  <c r="F126" i="307"/>
  <c r="F125" i="307"/>
  <c r="F124" i="307"/>
  <c r="F123" i="307"/>
  <c r="F122" i="307"/>
  <c r="F121" i="307"/>
  <c r="F120" i="307"/>
  <c r="F119" i="307"/>
  <c r="F118" i="307"/>
  <c r="F117" i="307"/>
  <c r="F116" i="307"/>
  <c r="F115" i="307"/>
  <c r="F114" i="307"/>
  <c r="F113" i="307"/>
  <c r="F112" i="307"/>
  <c r="F111" i="307"/>
  <c r="F110" i="307"/>
  <c r="F109" i="307"/>
  <c r="F108" i="307"/>
  <c r="F107" i="307"/>
  <c r="F106" i="307"/>
  <c r="F105" i="307"/>
  <c r="F104" i="307"/>
  <c r="F103" i="307"/>
  <c r="F102" i="307"/>
  <c r="F101" i="307"/>
  <c r="F100" i="307"/>
  <c r="F99" i="307"/>
  <c r="K98" i="307"/>
  <c r="J98" i="307"/>
  <c r="I98" i="307"/>
  <c r="F98" i="307"/>
  <c r="F97" i="307"/>
  <c r="F96" i="307"/>
  <c r="F95" i="307"/>
  <c r="F94" i="307"/>
  <c r="F93" i="307"/>
  <c r="F92" i="307"/>
  <c r="F91" i="307"/>
  <c r="F90" i="307"/>
  <c r="F89" i="307"/>
  <c r="F88" i="307"/>
  <c r="F87" i="307"/>
  <c r="F86" i="307"/>
  <c r="F85" i="307"/>
  <c r="F84" i="307"/>
  <c r="F83" i="307"/>
  <c r="F82" i="307"/>
  <c r="F81" i="307"/>
  <c r="F80" i="307"/>
  <c r="F79" i="307"/>
  <c r="F78" i="307"/>
  <c r="F77" i="307"/>
  <c r="F76" i="307"/>
  <c r="F75" i="307"/>
  <c r="F74" i="307"/>
  <c r="F73" i="307"/>
  <c r="F72" i="307"/>
  <c r="F71" i="307"/>
  <c r="F70" i="307"/>
  <c r="F69" i="307"/>
  <c r="F68" i="307"/>
  <c r="K67" i="307"/>
  <c r="J67" i="307"/>
  <c r="I67" i="307"/>
  <c r="F67" i="307"/>
  <c r="F66" i="307"/>
  <c r="F65" i="307"/>
  <c r="F64" i="307"/>
  <c r="F63" i="307"/>
  <c r="F62" i="307"/>
  <c r="F61" i="307"/>
  <c r="F60" i="307"/>
  <c r="F59" i="307"/>
  <c r="F58" i="307"/>
  <c r="F57" i="307"/>
  <c r="F56" i="307"/>
  <c r="F55" i="307"/>
  <c r="F54" i="307"/>
  <c r="F53" i="307"/>
  <c r="F52" i="307"/>
  <c r="F51" i="307"/>
  <c r="F50" i="307"/>
  <c r="F49" i="307"/>
  <c r="F48" i="307"/>
  <c r="F47" i="307"/>
  <c r="F46" i="307"/>
  <c r="F45" i="307"/>
  <c r="F44" i="307"/>
  <c r="F43" i="307"/>
  <c r="F42" i="307"/>
  <c r="F41" i="307"/>
  <c r="F40" i="307"/>
  <c r="F39" i="307"/>
  <c r="F38" i="307"/>
  <c r="K37" i="307"/>
  <c r="J37" i="307"/>
  <c r="I37" i="307"/>
  <c r="F37" i="307"/>
  <c r="F36" i="307"/>
  <c r="F35" i="307"/>
  <c r="F34" i="307"/>
  <c r="F33" i="307"/>
  <c r="F32" i="307"/>
  <c r="F31" i="307"/>
  <c r="F30" i="307"/>
  <c r="F29" i="307"/>
  <c r="F28" i="307"/>
  <c r="F27" i="307"/>
  <c r="F26" i="307"/>
  <c r="F25" i="307"/>
  <c r="F24" i="307"/>
  <c r="F23" i="307"/>
  <c r="F22" i="307"/>
  <c r="F21" i="307"/>
  <c r="F20" i="307"/>
  <c r="F19" i="307"/>
  <c r="F18" i="307"/>
  <c r="F17" i="307"/>
  <c r="F16" i="307"/>
  <c r="F15" i="307"/>
  <c r="F14" i="307"/>
  <c r="F13" i="307"/>
  <c r="F12" i="307"/>
  <c r="F11" i="307"/>
  <c r="F10" i="307"/>
  <c r="F9" i="307"/>
  <c r="F8" i="307"/>
  <c r="F7" i="307"/>
  <c r="B8" i="307"/>
  <c r="B9" i="307" s="1"/>
  <c r="B10" i="307" s="1"/>
  <c r="B11" i="307" s="1"/>
  <c r="B12" i="307" s="1"/>
  <c r="B13" i="307" s="1"/>
  <c r="B14" i="307" s="1"/>
  <c r="B15" i="307" s="1"/>
  <c r="B16" i="307" s="1"/>
  <c r="B17" i="307" s="1"/>
  <c r="B18" i="307" s="1"/>
  <c r="B19" i="307" s="1"/>
  <c r="B20" i="307" s="1"/>
  <c r="B21" i="307" s="1"/>
  <c r="B22" i="307" s="1"/>
  <c r="B23" i="307" s="1"/>
  <c r="B24" i="307" s="1"/>
  <c r="B25" i="307" s="1"/>
  <c r="B26" i="307" s="1"/>
  <c r="B27" i="307" s="1"/>
  <c r="B28" i="307" s="1"/>
  <c r="B29" i="307" s="1"/>
  <c r="B30" i="307" s="1"/>
  <c r="B31" i="307" s="1"/>
  <c r="B32" i="307" s="1"/>
  <c r="B33" i="307" s="1"/>
  <c r="B34" i="307" s="1"/>
  <c r="B35" i="307" s="1"/>
  <c r="B36" i="307" s="1"/>
  <c r="B37" i="307" s="1"/>
  <c r="B38" i="307" s="1"/>
  <c r="B39" i="307" s="1"/>
  <c r="B40" i="307" s="1"/>
  <c r="B41" i="307" s="1"/>
  <c r="B42" i="307" s="1"/>
  <c r="B43" i="307" s="1"/>
  <c r="B44" i="307" s="1"/>
  <c r="B45" i="307" s="1"/>
  <c r="B46" i="307" s="1"/>
  <c r="B47" i="307" s="1"/>
  <c r="B48" i="307" s="1"/>
  <c r="B49" i="307" s="1"/>
  <c r="B50" i="307" s="1"/>
  <c r="B51" i="307" s="1"/>
  <c r="B52" i="307" s="1"/>
  <c r="B53" i="307" s="1"/>
  <c r="B54" i="307" s="1"/>
  <c r="B55" i="307" s="1"/>
  <c r="B56" i="307" s="1"/>
  <c r="B57" i="307" s="1"/>
  <c r="B58" i="307" s="1"/>
  <c r="B59" i="307" s="1"/>
  <c r="B60" i="307" s="1"/>
  <c r="B61" i="307" s="1"/>
  <c r="B62" i="307" s="1"/>
  <c r="B63" i="307" s="1"/>
  <c r="B64" i="307" s="1"/>
  <c r="B65" i="307" s="1"/>
  <c r="B66" i="307" s="1"/>
  <c r="B67" i="307" s="1"/>
  <c r="B68" i="307" s="1"/>
  <c r="B69" i="307" s="1"/>
  <c r="B70" i="307" s="1"/>
  <c r="B71" i="307" s="1"/>
  <c r="B72" i="307" s="1"/>
  <c r="B73" i="307" s="1"/>
  <c r="B74" i="307" s="1"/>
  <c r="B75" i="307" s="1"/>
  <c r="B76" i="307" s="1"/>
  <c r="B77" i="307" s="1"/>
  <c r="B78" i="307" s="1"/>
  <c r="B79" i="307" s="1"/>
  <c r="B80" i="307" s="1"/>
  <c r="B81" i="307" s="1"/>
  <c r="B82" i="307" s="1"/>
  <c r="B83" i="307" s="1"/>
  <c r="B84" i="307" s="1"/>
  <c r="B85" i="307" s="1"/>
  <c r="B86" i="307" s="1"/>
  <c r="B87" i="307" s="1"/>
  <c r="B88" i="307" s="1"/>
  <c r="B89" i="307" s="1"/>
  <c r="B90" i="307" s="1"/>
  <c r="B91" i="307" s="1"/>
  <c r="B92" i="307" s="1"/>
  <c r="B93" i="307" s="1"/>
  <c r="B94" i="307" s="1"/>
  <c r="B95" i="307" s="1"/>
  <c r="B96" i="307" s="1"/>
  <c r="B97" i="307" s="1"/>
  <c r="B98" i="307" s="1"/>
  <c r="B99" i="307" s="1"/>
  <c r="B100" i="307" s="1"/>
  <c r="B101" i="307" s="1"/>
  <c r="B102" i="307" s="1"/>
  <c r="B103" i="307" s="1"/>
  <c r="B104" i="307" s="1"/>
  <c r="B105" i="307" s="1"/>
  <c r="B106" i="307" s="1"/>
  <c r="B107" i="307" s="1"/>
  <c r="B108" i="307" s="1"/>
  <c r="B109" i="307" s="1"/>
  <c r="B110" i="307" s="1"/>
  <c r="B111" i="307" s="1"/>
  <c r="B112" i="307" s="1"/>
  <c r="B113" i="307" s="1"/>
  <c r="B114" i="307" s="1"/>
  <c r="B115" i="307" s="1"/>
  <c r="B116" i="307" s="1"/>
  <c r="B117" i="307" s="1"/>
  <c r="B118" i="307" s="1"/>
  <c r="B119" i="307" s="1"/>
  <c r="B120" i="307" s="1"/>
  <c r="B121" i="307" s="1"/>
  <c r="B122" i="307" s="1"/>
  <c r="B123" i="307" s="1"/>
  <c r="B124" i="307" s="1"/>
  <c r="B125" i="307" s="1"/>
  <c r="B126" i="307" s="1"/>
  <c r="B127" i="307" s="1"/>
  <c r="B128" i="307" s="1"/>
  <c r="B129" i="307" s="1"/>
  <c r="B130" i="307" s="1"/>
  <c r="B131" i="307" s="1"/>
  <c r="B132" i="307" s="1"/>
  <c r="B133" i="307" s="1"/>
  <c r="B134" i="307" s="1"/>
  <c r="B135" i="307" s="1"/>
  <c r="B136" i="307" s="1"/>
  <c r="B137" i="307" s="1"/>
  <c r="B138" i="307" s="1"/>
  <c r="B139" i="307" s="1"/>
  <c r="B140" i="307" s="1"/>
  <c r="B141" i="307" s="1"/>
  <c r="B142" i="307" s="1"/>
  <c r="B143" i="307" s="1"/>
  <c r="B144" i="307" s="1"/>
  <c r="B145" i="307" s="1"/>
  <c r="B146" i="307" s="1"/>
  <c r="B147" i="307" s="1"/>
  <c r="B148" i="307" s="1"/>
  <c r="B149" i="307" s="1"/>
  <c r="B150" i="307" s="1"/>
  <c r="B151" i="307" s="1"/>
  <c r="B152" i="307" s="1"/>
  <c r="B153" i="307" s="1"/>
  <c r="B154" i="307" s="1"/>
  <c r="B155" i="307" s="1"/>
  <c r="B156" i="307" s="1"/>
  <c r="B157" i="307" s="1"/>
  <c r="B158" i="307" s="1"/>
  <c r="B159" i="307" s="1"/>
  <c r="B160" i="307" s="1"/>
  <c r="B161" i="307" s="1"/>
  <c r="B162" i="307" s="1"/>
  <c r="B163" i="307" s="1"/>
  <c r="B164" i="307" s="1"/>
  <c r="B165" i="307" s="1"/>
  <c r="B166" i="307" s="1"/>
  <c r="B167" i="307" s="1"/>
  <c r="B168" i="307" s="1"/>
  <c r="B169" i="307" s="1"/>
  <c r="B170" i="307" s="1"/>
  <c r="B171" i="307" s="1"/>
  <c r="B172" i="307" s="1"/>
  <c r="B173" i="307" s="1"/>
  <c r="B174" i="307" s="1"/>
  <c r="B175" i="307" s="1"/>
  <c r="B176" i="307" s="1"/>
  <c r="B177" i="307" s="1"/>
  <c r="B178" i="307" s="1"/>
  <c r="B179" i="307" s="1"/>
  <c r="B180" i="307" s="1"/>
  <c r="B181" i="307" s="1"/>
  <c r="B182" i="307" s="1"/>
  <c r="B183" i="307" s="1"/>
  <c r="B184" i="307" s="1"/>
  <c r="B185" i="307" s="1"/>
  <c r="B186" i="307" s="1"/>
  <c r="B187" i="307" s="1"/>
  <c r="B188" i="307" s="1"/>
  <c r="B189" i="307" s="1"/>
  <c r="B190" i="307" s="1"/>
  <c r="I189" i="306"/>
  <c r="F189" i="306"/>
  <c r="F188" i="306"/>
  <c r="F187" i="306"/>
  <c r="F186" i="306"/>
  <c r="F185" i="306"/>
  <c r="F184" i="306"/>
  <c r="F183" i="306"/>
  <c r="F182" i="306"/>
  <c r="F181" i="306"/>
  <c r="F180" i="306"/>
  <c r="F179" i="306"/>
  <c r="F178" i="306"/>
  <c r="F177" i="306"/>
  <c r="F176" i="306"/>
  <c r="F175" i="306"/>
  <c r="F174" i="306"/>
  <c r="F173" i="306"/>
  <c r="F172" i="306"/>
  <c r="F171" i="306"/>
  <c r="F170" i="306"/>
  <c r="F169" i="306"/>
  <c r="F168" i="306"/>
  <c r="F167" i="306"/>
  <c r="F166" i="306"/>
  <c r="F165" i="306"/>
  <c r="F164" i="306"/>
  <c r="F163" i="306"/>
  <c r="F162" i="306"/>
  <c r="F161" i="306"/>
  <c r="F160" i="306"/>
  <c r="D131" i="306"/>
  <c r="D132" i="306" s="1"/>
  <c r="F132" i="306" s="1"/>
  <c r="F130" i="306"/>
  <c r="K128" i="306"/>
  <c r="J128" i="306"/>
  <c r="I128" i="306"/>
  <c r="F128" i="306"/>
  <c r="F127" i="306"/>
  <c r="F126" i="306"/>
  <c r="F125" i="306"/>
  <c r="F124" i="306"/>
  <c r="F123" i="306"/>
  <c r="F122" i="306"/>
  <c r="F121" i="306"/>
  <c r="F120" i="306"/>
  <c r="F119" i="306"/>
  <c r="F118" i="306"/>
  <c r="F117" i="306"/>
  <c r="F116" i="306"/>
  <c r="F115" i="306"/>
  <c r="F114" i="306"/>
  <c r="F113" i="306"/>
  <c r="F112" i="306"/>
  <c r="F111" i="306"/>
  <c r="F110" i="306"/>
  <c r="F109" i="306"/>
  <c r="F108" i="306"/>
  <c r="F107" i="306"/>
  <c r="F106" i="306"/>
  <c r="F105" i="306"/>
  <c r="F104" i="306"/>
  <c r="F103" i="306"/>
  <c r="F102" i="306"/>
  <c r="F101" i="306"/>
  <c r="F100" i="306"/>
  <c r="F99" i="306"/>
  <c r="K97" i="306"/>
  <c r="J97" i="306"/>
  <c r="I97" i="306"/>
  <c r="F97" i="306"/>
  <c r="F96" i="306"/>
  <c r="F95" i="306"/>
  <c r="F94" i="306"/>
  <c r="F93" i="306"/>
  <c r="F92" i="306"/>
  <c r="F91" i="306"/>
  <c r="F90" i="306"/>
  <c r="F89" i="306"/>
  <c r="F88" i="306"/>
  <c r="F87" i="306"/>
  <c r="F86" i="306"/>
  <c r="F85" i="306"/>
  <c r="F84" i="306"/>
  <c r="F83" i="306"/>
  <c r="F82" i="306"/>
  <c r="F81" i="306"/>
  <c r="F80" i="306"/>
  <c r="F79" i="306"/>
  <c r="F78" i="306"/>
  <c r="F77" i="306"/>
  <c r="F76" i="306"/>
  <c r="F75" i="306"/>
  <c r="F74" i="306"/>
  <c r="F73" i="306"/>
  <c r="F72" i="306"/>
  <c r="F71" i="306"/>
  <c r="F70" i="306"/>
  <c r="F69" i="306"/>
  <c r="F68" i="306"/>
  <c r="K67" i="306"/>
  <c r="J67" i="306"/>
  <c r="I67" i="306"/>
  <c r="F67" i="306"/>
  <c r="F66" i="306"/>
  <c r="F65" i="306"/>
  <c r="F64" i="306"/>
  <c r="F63" i="306"/>
  <c r="F62" i="306"/>
  <c r="F61" i="306"/>
  <c r="F60" i="306"/>
  <c r="F59" i="306"/>
  <c r="F58" i="306"/>
  <c r="F57" i="306"/>
  <c r="F56" i="306"/>
  <c r="F55" i="306"/>
  <c r="F54" i="306"/>
  <c r="F53" i="306"/>
  <c r="F52" i="306"/>
  <c r="F51" i="306"/>
  <c r="F50" i="306"/>
  <c r="F49" i="306"/>
  <c r="F48" i="306"/>
  <c r="F47" i="306"/>
  <c r="F46" i="306"/>
  <c r="F45" i="306"/>
  <c r="F44" i="306"/>
  <c r="F43" i="306"/>
  <c r="F42" i="306"/>
  <c r="F41" i="306"/>
  <c r="F40" i="306"/>
  <c r="F39" i="306"/>
  <c r="F38" i="306"/>
  <c r="K36" i="306"/>
  <c r="J36" i="306"/>
  <c r="I36" i="306"/>
  <c r="F36" i="306"/>
  <c r="F35" i="306"/>
  <c r="F34" i="306"/>
  <c r="F33" i="306"/>
  <c r="F32" i="306"/>
  <c r="F31" i="306"/>
  <c r="F30" i="306"/>
  <c r="F29" i="306"/>
  <c r="F28" i="306"/>
  <c r="F27" i="306"/>
  <c r="F26" i="306"/>
  <c r="F25" i="306"/>
  <c r="F24" i="306"/>
  <c r="F23" i="306"/>
  <c r="F22" i="306"/>
  <c r="F21" i="306"/>
  <c r="F20" i="306"/>
  <c r="F19" i="306"/>
  <c r="F18" i="306"/>
  <c r="F17" i="306"/>
  <c r="F16" i="306"/>
  <c r="F15" i="306"/>
  <c r="F14" i="306"/>
  <c r="F13" i="306"/>
  <c r="F12" i="306"/>
  <c r="F11" i="306"/>
  <c r="F10" i="306"/>
  <c r="F9" i="306"/>
  <c r="F8" i="306"/>
  <c r="F7" i="306"/>
  <c r="B8" i="306"/>
  <c r="B9" i="306" s="1"/>
  <c r="B10" i="306" s="1"/>
  <c r="B11" i="306" s="1"/>
  <c r="B12" i="306" s="1"/>
  <c r="B13" i="306" s="1"/>
  <c r="B14" i="306" s="1"/>
  <c r="B15" i="306" s="1"/>
  <c r="B16" i="306" s="1"/>
  <c r="B17" i="306" s="1"/>
  <c r="B18" i="306" s="1"/>
  <c r="B19" i="306" s="1"/>
  <c r="B20" i="306" s="1"/>
  <c r="B21" i="306" s="1"/>
  <c r="B22" i="306" s="1"/>
  <c r="B23" i="306" s="1"/>
  <c r="B24" i="306" s="1"/>
  <c r="B25" i="306" s="1"/>
  <c r="B26" i="306" s="1"/>
  <c r="B27" i="306" s="1"/>
  <c r="B28" i="306" s="1"/>
  <c r="B29" i="306" s="1"/>
  <c r="B30" i="306" s="1"/>
  <c r="B31" i="306" s="1"/>
  <c r="B32" i="306" s="1"/>
  <c r="B33" i="306" s="1"/>
  <c r="B34" i="306" s="1"/>
  <c r="B35" i="306" s="1"/>
  <c r="B36" i="306" s="1"/>
  <c r="B37" i="306" s="1"/>
  <c r="B38" i="306" s="1"/>
  <c r="B39" i="306" s="1"/>
  <c r="B40" i="306" s="1"/>
  <c r="B41" i="306" s="1"/>
  <c r="B42" i="306" s="1"/>
  <c r="B43" i="306" s="1"/>
  <c r="B44" i="306" s="1"/>
  <c r="B45" i="306" s="1"/>
  <c r="B46" i="306" s="1"/>
  <c r="B47" i="306" s="1"/>
  <c r="B48" i="306" s="1"/>
  <c r="B49" i="306" s="1"/>
  <c r="B50" i="306" s="1"/>
  <c r="B51" i="306" s="1"/>
  <c r="B52" i="306" s="1"/>
  <c r="B53" i="306" s="1"/>
  <c r="B54" i="306" s="1"/>
  <c r="B55" i="306" s="1"/>
  <c r="B56" i="306" s="1"/>
  <c r="B57" i="306" s="1"/>
  <c r="B58" i="306" s="1"/>
  <c r="B59" i="306" s="1"/>
  <c r="B60" i="306" s="1"/>
  <c r="B61" i="306" s="1"/>
  <c r="B62" i="306" s="1"/>
  <c r="B63" i="306" s="1"/>
  <c r="B64" i="306" s="1"/>
  <c r="B65" i="306" s="1"/>
  <c r="B66" i="306" s="1"/>
  <c r="B67" i="306" s="1"/>
  <c r="B68" i="306" s="1"/>
  <c r="B69" i="306" s="1"/>
  <c r="B70" i="306" s="1"/>
  <c r="B71" i="306" s="1"/>
  <c r="B72" i="306" s="1"/>
  <c r="B73" i="306" s="1"/>
  <c r="B74" i="306" s="1"/>
  <c r="B75" i="306" s="1"/>
  <c r="B76" i="306" s="1"/>
  <c r="B77" i="306" s="1"/>
  <c r="B78" i="306" s="1"/>
  <c r="B79" i="306" s="1"/>
  <c r="B80" i="306" s="1"/>
  <c r="B81" i="306" s="1"/>
  <c r="B82" i="306" s="1"/>
  <c r="B83" i="306" s="1"/>
  <c r="B84" i="306" s="1"/>
  <c r="B85" i="306" s="1"/>
  <c r="B86" i="306" s="1"/>
  <c r="B87" i="306" s="1"/>
  <c r="B88" i="306" s="1"/>
  <c r="B89" i="306" s="1"/>
  <c r="B90" i="306" s="1"/>
  <c r="B91" i="306" s="1"/>
  <c r="B92" i="306" s="1"/>
  <c r="B93" i="306" s="1"/>
  <c r="B94" i="306" s="1"/>
  <c r="B95" i="306" s="1"/>
  <c r="B96" i="306" s="1"/>
  <c r="B97" i="306" s="1"/>
  <c r="B98" i="306" s="1"/>
  <c r="B99" i="306" s="1"/>
  <c r="B100" i="306" s="1"/>
  <c r="B101" i="306" s="1"/>
  <c r="B102" i="306" s="1"/>
  <c r="B103" i="306" s="1"/>
  <c r="B104" i="306" s="1"/>
  <c r="B105" i="306" s="1"/>
  <c r="B106" i="306" s="1"/>
  <c r="B107" i="306" s="1"/>
  <c r="B108" i="306" s="1"/>
  <c r="B109" i="306" s="1"/>
  <c r="B110" i="306" s="1"/>
  <c r="B111" i="306" s="1"/>
  <c r="B112" i="306" s="1"/>
  <c r="B113" i="306" s="1"/>
  <c r="B114" i="306" s="1"/>
  <c r="B115" i="306" s="1"/>
  <c r="B116" i="306" s="1"/>
  <c r="B117" i="306" s="1"/>
  <c r="B118" i="306" s="1"/>
  <c r="B119" i="306" s="1"/>
  <c r="B120" i="306" s="1"/>
  <c r="B121" i="306" s="1"/>
  <c r="B122" i="306" s="1"/>
  <c r="B123" i="306" s="1"/>
  <c r="B124" i="306" s="1"/>
  <c r="B125" i="306" s="1"/>
  <c r="B126" i="306" s="1"/>
  <c r="B127" i="306" s="1"/>
  <c r="B128" i="306" s="1"/>
  <c r="B129" i="306" s="1"/>
  <c r="B130" i="306" s="1"/>
  <c r="B131" i="306" s="1"/>
  <c r="B132" i="306" s="1"/>
  <c r="B133" i="306" s="1"/>
  <c r="B134" i="306" s="1"/>
  <c r="B135" i="306" s="1"/>
  <c r="B136" i="306" s="1"/>
  <c r="B137" i="306" s="1"/>
  <c r="B138" i="306" s="1"/>
  <c r="B139" i="306" s="1"/>
  <c r="B140" i="306" s="1"/>
  <c r="B141" i="306" s="1"/>
  <c r="B142" i="306" s="1"/>
  <c r="B143" i="306" s="1"/>
  <c r="B144" i="306" s="1"/>
  <c r="B145" i="306" s="1"/>
  <c r="B146" i="306" s="1"/>
  <c r="B147" i="306" s="1"/>
  <c r="B148" i="306" s="1"/>
  <c r="B149" i="306" s="1"/>
  <c r="B150" i="306" s="1"/>
  <c r="B151" i="306" s="1"/>
  <c r="B152" i="306" s="1"/>
  <c r="B153" i="306" s="1"/>
  <c r="B154" i="306" s="1"/>
  <c r="B155" i="306" s="1"/>
  <c r="B156" i="306" s="1"/>
  <c r="B157" i="306" s="1"/>
  <c r="B158" i="306" s="1"/>
  <c r="B159" i="306" s="1"/>
  <c r="B160" i="306" s="1"/>
  <c r="B161" i="306" s="1"/>
  <c r="B162" i="306" s="1"/>
  <c r="B163" i="306" s="1"/>
  <c r="B164" i="306" s="1"/>
  <c r="B165" i="306" s="1"/>
  <c r="B166" i="306" s="1"/>
  <c r="B167" i="306" s="1"/>
  <c r="B168" i="306" s="1"/>
  <c r="B169" i="306" s="1"/>
  <c r="B170" i="306" s="1"/>
  <c r="B171" i="306" s="1"/>
  <c r="B172" i="306" s="1"/>
  <c r="B173" i="306" s="1"/>
  <c r="B174" i="306" s="1"/>
  <c r="B175" i="306" s="1"/>
  <c r="B176" i="306" s="1"/>
  <c r="B177" i="306" s="1"/>
  <c r="B178" i="306" s="1"/>
  <c r="B179" i="306" s="1"/>
  <c r="B180" i="306" s="1"/>
  <c r="B181" i="306" s="1"/>
  <c r="B182" i="306" s="1"/>
  <c r="B183" i="306" s="1"/>
  <c r="B184" i="306" s="1"/>
  <c r="B185" i="306" s="1"/>
  <c r="B186" i="306" s="1"/>
  <c r="B187" i="306" s="1"/>
  <c r="B188" i="306" s="1"/>
  <c r="B189" i="306" s="1"/>
  <c r="B190" i="306" s="1"/>
  <c r="H18" i="324" l="1"/>
  <c r="Q18" i="324" s="1"/>
  <c r="S18" i="324" s="1"/>
  <c r="H159" i="313"/>
  <c r="H190" i="312"/>
  <c r="H17" i="324"/>
  <c r="Q17" i="324" s="1"/>
  <c r="S17" i="324" s="1"/>
  <c r="H190" i="311"/>
  <c r="H98" i="311"/>
  <c r="H190" i="310"/>
  <c r="H67" i="310"/>
  <c r="H37" i="310"/>
  <c r="H98" i="310"/>
  <c r="H159" i="310"/>
  <c r="H15" i="324"/>
  <c r="Q15" i="324" s="1"/>
  <c r="S15" i="324" s="1"/>
  <c r="H129" i="310"/>
  <c r="H190" i="309"/>
  <c r="H14" i="324"/>
  <c r="Q14" i="324" s="1"/>
  <c r="S14" i="324" s="1"/>
  <c r="H98" i="309"/>
  <c r="H67" i="309"/>
  <c r="H37" i="309"/>
  <c r="H159" i="309"/>
  <c r="H129" i="309"/>
  <c r="H13" i="324"/>
  <c r="Q13" i="324" s="1"/>
  <c r="S13" i="324" s="1"/>
  <c r="H190" i="308"/>
  <c r="H37" i="308"/>
  <c r="H190" i="307"/>
  <c r="H67" i="306"/>
  <c r="H97" i="306"/>
  <c r="H12" i="324"/>
  <c r="Q12" i="324" s="1"/>
  <c r="S12" i="324" s="1"/>
  <c r="H129" i="307"/>
  <c r="H37" i="313"/>
  <c r="H129" i="312"/>
  <c r="H67" i="312"/>
  <c r="H37" i="312"/>
  <c r="H98" i="312"/>
  <c r="H159" i="312"/>
  <c r="H129" i="311"/>
  <c r="H67" i="311"/>
  <c r="H37" i="311"/>
  <c r="H159" i="311"/>
  <c r="H129" i="308"/>
  <c r="H67" i="308"/>
  <c r="H98" i="308"/>
  <c r="H159" i="308"/>
  <c r="H67" i="307"/>
  <c r="H98" i="307"/>
  <c r="H37" i="307"/>
  <c r="H159" i="307"/>
  <c r="H36" i="306"/>
  <c r="F131" i="306"/>
  <c r="H189" i="306"/>
  <c r="D30" i="320"/>
  <c r="I29" i="320"/>
  <c r="H29" i="320"/>
  <c r="J29" i="320" s="1"/>
  <c r="AH28" i="320"/>
  <c r="U29" i="320"/>
  <c r="P30" i="320"/>
  <c r="T29" i="320"/>
  <c r="V29" i="320" s="1"/>
  <c r="AN30" i="320"/>
  <c r="AS29" i="320"/>
  <c r="AR29" i="320"/>
  <c r="AT29" i="320" s="1"/>
  <c r="B53" i="320"/>
  <c r="H52" i="320"/>
  <c r="J52" i="320" s="1"/>
  <c r="AB30" i="320"/>
  <c r="AG29" i="320"/>
  <c r="AF29" i="320"/>
  <c r="AH29" i="320" s="1"/>
  <c r="V28" i="320"/>
  <c r="J28" i="320"/>
  <c r="Z65" i="320"/>
  <c r="AF64" i="320"/>
  <c r="AH64" i="320" s="1"/>
  <c r="N63" i="320"/>
  <c r="T62" i="320"/>
  <c r="V62" i="320" s="1"/>
  <c r="H128" i="306"/>
  <c r="D133" i="306"/>
  <c r="H67" i="313"/>
  <c r="H98" i="313"/>
  <c r="H129" i="313"/>
  <c r="H190" i="313"/>
  <c r="AN31" i="320" l="1"/>
  <c r="AS30" i="320"/>
  <c r="AR30" i="320"/>
  <c r="AT30" i="320" s="1"/>
  <c r="B54" i="320"/>
  <c r="H53" i="320"/>
  <c r="J53" i="320" s="1"/>
  <c r="Z66" i="320"/>
  <c r="AF65" i="320"/>
  <c r="AH65" i="320" s="1"/>
  <c r="P31" i="320"/>
  <c r="T30" i="320"/>
  <c r="V30" i="320" s="1"/>
  <c r="U30" i="320"/>
  <c r="N64" i="320"/>
  <c r="T63" i="320"/>
  <c r="V63" i="320" s="1"/>
  <c r="AG30" i="320"/>
  <c r="AB31" i="320"/>
  <c r="AF30" i="320"/>
  <c r="AH30" i="320" s="1"/>
  <c r="D31" i="320"/>
  <c r="I30" i="320"/>
  <c r="H30" i="320"/>
  <c r="D134" i="306"/>
  <c r="F133" i="306"/>
  <c r="N65" i="320" l="1"/>
  <c r="T64" i="320"/>
  <c r="V64" i="320" s="1"/>
  <c r="J30" i="320"/>
  <c r="AG31" i="320"/>
  <c r="AB32" i="320"/>
  <c r="AF31" i="320"/>
  <c r="Z67" i="320"/>
  <c r="AF66" i="320"/>
  <c r="AH66" i="320" s="1"/>
  <c r="D32" i="320"/>
  <c r="I31" i="320"/>
  <c r="H31" i="320"/>
  <c r="U31" i="320"/>
  <c r="T31" i="320"/>
  <c r="P32" i="320"/>
  <c r="B55" i="320"/>
  <c r="H54" i="320"/>
  <c r="J54" i="320" s="1"/>
  <c r="AN32" i="320"/>
  <c r="AS31" i="320"/>
  <c r="AR31" i="320"/>
  <c r="AT31" i="320" s="1"/>
  <c r="D135" i="306"/>
  <c r="F134" i="306"/>
  <c r="AH31" i="320" l="1"/>
  <c r="B56" i="320"/>
  <c r="H55" i="320"/>
  <c r="J55" i="320" s="1"/>
  <c r="J31" i="320"/>
  <c r="Z68" i="320"/>
  <c r="AF67" i="320"/>
  <c r="AH67" i="320" s="1"/>
  <c r="T32" i="320"/>
  <c r="U32" i="320"/>
  <c r="P33" i="320"/>
  <c r="AN33" i="320"/>
  <c r="AS32" i="320"/>
  <c r="AR32" i="320"/>
  <c r="AT32" i="320" s="1"/>
  <c r="V31" i="320"/>
  <c r="D33" i="320"/>
  <c r="I32" i="320"/>
  <c r="H32" i="320"/>
  <c r="J32" i="320" s="1"/>
  <c r="AG32" i="320"/>
  <c r="AB33" i="320"/>
  <c r="AF32" i="320"/>
  <c r="AH32" i="320" s="1"/>
  <c r="N66" i="320"/>
  <c r="T65" i="320"/>
  <c r="V65" i="320" s="1"/>
  <c r="D136" i="306"/>
  <c r="F135" i="306"/>
  <c r="N67" i="320" l="1"/>
  <c r="T66" i="320"/>
  <c r="V66" i="320" s="1"/>
  <c r="V32" i="320"/>
  <c r="AB34" i="320"/>
  <c r="AG33" i="320"/>
  <c r="AF33" i="320"/>
  <c r="D34" i="320"/>
  <c r="I33" i="320"/>
  <c r="H33" i="320"/>
  <c r="AN34" i="320"/>
  <c r="AS33" i="320"/>
  <c r="AR33" i="320"/>
  <c r="AT33" i="320" s="1"/>
  <c r="B57" i="320"/>
  <c r="H56" i="320"/>
  <c r="J56" i="320" s="1"/>
  <c r="U33" i="320"/>
  <c r="T33" i="320"/>
  <c r="V33" i="320" s="1"/>
  <c r="P34" i="320"/>
  <c r="Z69" i="320"/>
  <c r="AF68" i="320"/>
  <c r="AH68" i="320" s="1"/>
  <c r="F136" i="306"/>
  <c r="D137" i="306"/>
  <c r="AB35" i="320" l="1"/>
  <c r="AG34" i="320"/>
  <c r="AF34" i="320"/>
  <c r="AH34" i="320" s="1"/>
  <c r="D35" i="320"/>
  <c r="I34" i="320"/>
  <c r="H34" i="320"/>
  <c r="J34" i="320" s="1"/>
  <c r="Z70" i="320"/>
  <c r="AF69" i="320"/>
  <c r="AH69" i="320" s="1"/>
  <c r="AN35" i="320"/>
  <c r="AS34" i="320"/>
  <c r="AR34" i="320"/>
  <c r="AT34" i="320" s="1"/>
  <c r="AH33" i="320"/>
  <c r="P35" i="320"/>
  <c r="T34" i="320"/>
  <c r="U34" i="320"/>
  <c r="B58" i="320"/>
  <c r="H57" i="320"/>
  <c r="J57" i="320" s="1"/>
  <c r="J33" i="320"/>
  <c r="N68" i="320"/>
  <c r="T67" i="320"/>
  <c r="V67" i="320" s="1"/>
  <c r="D138" i="306"/>
  <c r="F137" i="306"/>
  <c r="N69" i="320" l="1"/>
  <c r="T68" i="320"/>
  <c r="V68" i="320" s="1"/>
  <c r="Z71" i="320"/>
  <c r="AF70" i="320"/>
  <c r="AH70" i="320" s="1"/>
  <c r="V34" i="320"/>
  <c r="B59" i="320"/>
  <c r="H58" i="320"/>
  <c r="J58" i="320" s="1"/>
  <c r="I35" i="320"/>
  <c r="H35" i="320"/>
  <c r="U35" i="320"/>
  <c r="T35" i="320"/>
  <c r="V35" i="320" s="1"/>
  <c r="AS35" i="320"/>
  <c r="AR35" i="320"/>
  <c r="AG35" i="320"/>
  <c r="AF35" i="320"/>
  <c r="AH35" i="320" s="1"/>
  <c r="D139" i="306"/>
  <c r="F138" i="306"/>
  <c r="Z72" i="320" l="1"/>
  <c r="AF71" i="320"/>
  <c r="AH71" i="320" s="1"/>
  <c r="B60" i="320"/>
  <c r="H59" i="320"/>
  <c r="J59" i="320" s="1"/>
  <c r="AT35" i="320"/>
  <c r="J35" i="320"/>
  <c r="N70" i="320"/>
  <c r="T69" i="320"/>
  <c r="V69" i="320" s="1"/>
  <c r="D140" i="306"/>
  <c r="F139" i="306"/>
  <c r="B61" i="320" l="1"/>
  <c r="H60" i="320"/>
  <c r="J60" i="320" s="1"/>
  <c r="N71" i="320"/>
  <c r="T70" i="320"/>
  <c r="V70" i="320" s="1"/>
  <c r="Z73" i="320"/>
  <c r="AF72" i="320"/>
  <c r="AH72" i="320" s="1"/>
  <c r="F140" i="306"/>
  <c r="D141" i="306"/>
  <c r="N72" i="320" l="1"/>
  <c r="T71" i="320"/>
  <c r="V71" i="320" s="1"/>
  <c r="Z74" i="320"/>
  <c r="AF73" i="320"/>
  <c r="AH73" i="320" s="1"/>
  <c r="B62" i="320"/>
  <c r="H61" i="320"/>
  <c r="J61" i="320" s="1"/>
  <c r="D142" i="306"/>
  <c r="F141" i="306"/>
  <c r="Z75" i="320" l="1"/>
  <c r="AF74" i="320"/>
  <c r="AH74" i="320" s="1"/>
  <c r="B63" i="320"/>
  <c r="H62" i="320"/>
  <c r="J62" i="320" s="1"/>
  <c r="N73" i="320"/>
  <c r="T72" i="320"/>
  <c r="V72" i="320" s="1"/>
  <c r="D143" i="306"/>
  <c r="F142" i="306"/>
  <c r="H63" i="320" l="1"/>
  <c r="J63" i="320" s="1"/>
  <c r="B64" i="320"/>
  <c r="N74" i="320"/>
  <c r="T73" i="320"/>
  <c r="V73" i="320" s="1"/>
  <c r="Z76" i="320"/>
  <c r="AF75" i="320"/>
  <c r="AH75" i="320" s="1"/>
  <c r="F143" i="306"/>
  <c r="D144" i="306"/>
  <c r="N75" i="320" l="1"/>
  <c r="T74" i="320"/>
  <c r="V74" i="320" s="1"/>
  <c r="B65" i="320"/>
  <c r="H64" i="320"/>
  <c r="J64" i="320" s="1"/>
  <c r="Z77" i="320"/>
  <c r="AF76" i="320"/>
  <c r="AH76" i="320" s="1"/>
  <c r="F144" i="306"/>
  <c r="D145" i="306"/>
  <c r="B66" i="320" l="1"/>
  <c r="H65" i="320"/>
  <c r="J65" i="320" s="1"/>
  <c r="Z78" i="320"/>
  <c r="AF77" i="320"/>
  <c r="AH77" i="320" s="1"/>
  <c r="N76" i="320"/>
  <c r="T75" i="320"/>
  <c r="V75" i="320" s="1"/>
  <c r="F145" i="306"/>
  <c r="D146" i="306"/>
  <c r="Z79" i="320" l="1"/>
  <c r="AF78" i="320"/>
  <c r="AH78" i="320" s="1"/>
  <c r="N77" i="320"/>
  <c r="T76" i="320"/>
  <c r="V76" i="320" s="1"/>
  <c r="B67" i="320"/>
  <c r="H66" i="320"/>
  <c r="J66" i="320" s="1"/>
  <c r="D147" i="306"/>
  <c r="F146" i="306"/>
  <c r="N78" i="320" l="1"/>
  <c r="T77" i="320"/>
  <c r="V77" i="320" s="1"/>
  <c r="B68" i="320"/>
  <c r="H67" i="320"/>
  <c r="J67" i="320" s="1"/>
  <c r="Z80" i="320"/>
  <c r="AF79" i="320"/>
  <c r="AH79" i="320" s="1"/>
  <c r="F147" i="306"/>
  <c r="D148" i="306"/>
  <c r="B69" i="320" l="1"/>
  <c r="H68" i="320"/>
  <c r="J68" i="320" s="1"/>
  <c r="Z81" i="320"/>
  <c r="AF80" i="320"/>
  <c r="AH80" i="320" s="1"/>
  <c r="N79" i="320"/>
  <c r="T78" i="320"/>
  <c r="V78" i="320" s="1"/>
  <c r="F148" i="306"/>
  <c r="D149" i="306"/>
  <c r="Z82" i="320" l="1"/>
  <c r="AF81" i="320"/>
  <c r="AH81" i="320" s="1"/>
  <c r="N80" i="320"/>
  <c r="T79" i="320"/>
  <c r="V79" i="320" s="1"/>
  <c r="B70" i="320"/>
  <c r="H69" i="320"/>
  <c r="J69" i="320" s="1"/>
  <c r="D150" i="306"/>
  <c r="F149" i="306"/>
  <c r="N81" i="320" l="1"/>
  <c r="T80" i="320"/>
  <c r="V80" i="320" s="1"/>
  <c r="B71" i="320"/>
  <c r="H70" i="320"/>
  <c r="J70" i="320" s="1"/>
  <c r="Z83" i="320"/>
  <c r="AF82" i="320"/>
  <c r="AH82" i="320" s="1"/>
  <c r="D151" i="306"/>
  <c r="F150" i="306"/>
  <c r="B72" i="320" l="1"/>
  <c r="H71" i="320"/>
  <c r="J71" i="320" s="1"/>
  <c r="Z84" i="320"/>
  <c r="AF83" i="320"/>
  <c r="AH83" i="320" s="1"/>
  <c r="N82" i="320"/>
  <c r="T81" i="320"/>
  <c r="V81" i="320" s="1"/>
  <c r="D152" i="306"/>
  <c r="F151" i="306"/>
  <c r="Z85" i="320" l="1"/>
  <c r="AF84" i="320"/>
  <c r="AH84" i="320" s="1"/>
  <c r="N83" i="320"/>
  <c r="T82" i="320"/>
  <c r="V82" i="320" s="1"/>
  <c r="B73" i="320"/>
  <c r="H72" i="320"/>
  <c r="J72" i="320" s="1"/>
  <c r="F152" i="306"/>
  <c r="D153" i="306"/>
  <c r="N84" i="320" l="1"/>
  <c r="T83" i="320"/>
  <c r="V83" i="320" s="1"/>
  <c r="B74" i="320"/>
  <c r="H73" i="320"/>
  <c r="J73" i="320" s="1"/>
  <c r="Z86" i="320"/>
  <c r="AF85" i="320"/>
  <c r="AH85" i="320" s="1"/>
  <c r="D154" i="306"/>
  <c r="F153" i="306"/>
  <c r="B75" i="320" l="1"/>
  <c r="H74" i="320"/>
  <c r="J74" i="320" s="1"/>
  <c r="Z87" i="320"/>
  <c r="AF86" i="320"/>
  <c r="AH86" i="320" s="1"/>
  <c r="N85" i="320"/>
  <c r="T84" i="320"/>
  <c r="V84" i="320" s="1"/>
  <c r="D155" i="306"/>
  <c r="F154" i="306"/>
  <c r="Z88" i="320" l="1"/>
  <c r="AF87" i="320"/>
  <c r="AH87" i="320" s="1"/>
  <c r="N86" i="320"/>
  <c r="T85" i="320"/>
  <c r="V85" i="320" s="1"/>
  <c r="B76" i="320"/>
  <c r="H75" i="320"/>
  <c r="J75" i="320" s="1"/>
  <c r="D156" i="306"/>
  <c r="F155" i="306"/>
  <c r="N87" i="320" l="1"/>
  <c r="T86" i="320"/>
  <c r="V86" i="320" s="1"/>
  <c r="B77" i="320"/>
  <c r="H76" i="320"/>
  <c r="J76" i="320" s="1"/>
  <c r="Z89" i="320"/>
  <c r="AF88" i="320"/>
  <c r="AH88" i="320" s="1"/>
  <c r="F156" i="306"/>
  <c r="D157" i="306"/>
  <c r="B78" i="320" l="1"/>
  <c r="H77" i="320"/>
  <c r="J77" i="320" s="1"/>
  <c r="Z90" i="320"/>
  <c r="AF89" i="320"/>
  <c r="AH89" i="320" s="1"/>
  <c r="N88" i="320"/>
  <c r="T87" i="320"/>
  <c r="V87" i="320" s="1"/>
  <c r="D158" i="306"/>
  <c r="F157" i="306"/>
  <c r="Z91" i="320" l="1"/>
  <c r="AF90" i="320"/>
  <c r="AH90" i="320" s="1"/>
  <c r="N89" i="320"/>
  <c r="T88" i="320"/>
  <c r="V88" i="320" s="1"/>
  <c r="B79" i="320"/>
  <c r="H78" i="320"/>
  <c r="J78" i="320" s="1"/>
  <c r="D159" i="306"/>
  <c r="F158" i="306"/>
  <c r="N90" i="320" l="1"/>
  <c r="T89" i="320"/>
  <c r="V89" i="320" s="1"/>
  <c r="B80" i="320"/>
  <c r="H79" i="320"/>
  <c r="J79" i="320" s="1"/>
  <c r="Z92" i="320"/>
  <c r="AF91" i="320"/>
  <c r="AH91" i="320" s="1"/>
  <c r="F159" i="306"/>
  <c r="H159" i="306" s="1"/>
  <c r="J189" i="306"/>
  <c r="K189" i="306"/>
  <c r="D11" i="324" s="1"/>
  <c r="H11" i="324" s="1"/>
  <c r="I159" i="306"/>
  <c r="K159" i="306"/>
  <c r="J159" i="306"/>
  <c r="Q11" i="324" l="1"/>
  <c r="H35" i="324"/>
  <c r="B81" i="320"/>
  <c r="H80" i="320"/>
  <c r="J80" i="320" s="1"/>
  <c r="Z93" i="320"/>
  <c r="AF92" i="320"/>
  <c r="AH92" i="320" s="1"/>
  <c r="N91" i="320"/>
  <c r="T90" i="320"/>
  <c r="V90" i="320" s="1"/>
  <c r="S11" i="324" l="1"/>
  <c r="Q35" i="324"/>
  <c r="S35" i="324" s="1"/>
  <c r="Z94" i="320"/>
  <c r="AF93" i="320"/>
  <c r="AH93" i="320" s="1"/>
  <c r="N92" i="320"/>
  <c r="T91" i="320"/>
  <c r="V91" i="320" s="1"/>
  <c r="B82" i="320"/>
  <c r="H81" i="320"/>
  <c r="J81" i="320" s="1"/>
  <c r="N93" i="320" l="1"/>
  <c r="T92" i="320"/>
  <c r="V92" i="320" s="1"/>
  <c r="B83" i="320"/>
  <c r="H82" i="320"/>
  <c r="J82" i="320" s="1"/>
  <c r="Z95" i="320"/>
  <c r="AF94" i="320"/>
  <c r="AH94" i="320" s="1"/>
  <c r="B84" i="320" l="1"/>
  <c r="H83" i="320"/>
  <c r="J83" i="320" s="1"/>
  <c r="Z96" i="320"/>
  <c r="AF95" i="320"/>
  <c r="AH95" i="320" s="1"/>
  <c r="N94" i="320"/>
  <c r="T93" i="320"/>
  <c r="V93" i="320" s="1"/>
  <c r="Z97" i="320" l="1"/>
  <c r="AF96" i="320"/>
  <c r="AH96" i="320" s="1"/>
  <c r="N95" i="320"/>
  <c r="T94" i="320"/>
  <c r="V94" i="320" s="1"/>
  <c r="B85" i="320"/>
  <c r="H84" i="320"/>
  <c r="J84" i="320" s="1"/>
  <c r="N96" i="320" l="1"/>
  <c r="T95" i="320"/>
  <c r="V95" i="320" s="1"/>
  <c r="B86" i="320"/>
  <c r="H85" i="320"/>
  <c r="J85" i="320" s="1"/>
  <c r="Z98" i="320"/>
  <c r="AF97" i="320"/>
  <c r="AH97" i="320" s="1"/>
  <c r="B87" i="320" l="1"/>
  <c r="H86" i="320"/>
  <c r="J86" i="320" s="1"/>
  <c r="Z99" i="320"/>
  <c r="AF98" i="320"/>
  <c r="AH98" i="320" s="1"/>
  <c r="N97" i="320"/>
  <c r="T96" i="320"/>
  <c r="V96" i="320" s="1"/>
  <c r="Z100" i="320" l="1"/>
  <c r="AF99" i="320"/>
  <c r="AH99" i="320" s="1"/>
  <c r="N98" i="320"/>
  <c r="T97" i="320"/>
  <c r="V97" i="320" s="1"/>
  <c r="B88" i="320"/>
  <c r="H87" i="320"/>
  <c r="J87" i="320" s="1"/>
  <c r="N99" i="320" l="1"/>
  <c r="T98" i="320"/>
  <c r="V98" i="320" s="1"/>
  <c r="B89" i="320"/>
  <c r="H88" i="320"/>
  <c r="J88" i="320" s="1"/>
  <c r="Z101" i="320"/>
  <c r="AF100" i="320"/>
  <c r="AH100" i="320" s="1"/>
  <c r="B90" i="320" l="1"/>
  <c r="H89" i="320"/>
  <c r="J89" i="320" s="1"/>
  <c r="Z102" i="320"/>
  <c r="AF101" i="320"/>
  <c r="AH101" i="320" s="1"/>
  <c r="N100" i="320"/>
  <c r="T99" i="320"/>
  <c r="V99" i="320" s="1"/>
  <c r="Z103" i="320" l="1"/>
  <c r="AF102" i="320"/>
  <c r="AH102" i="320" s="1"/>
  <c r="N101" i="320"/>
  <c r="T100" i="320"/>
  <c r="V100" i="320" s="1"/>
  <c r="B91" i="320"/>
  <c r="H90" i="320"/>
  <c r="J90" i="320" s="1"/>
  <c r="N102" i="320" l="1"/>
  <c r="T101" i="320"/>
  <c r="V101" i="320" s="1"/>
  <c r="B92" i="320"/>
  <c r="H91" i="320"/>
  <c r="J91" i="320" s="1"/>
  <c r="Z104" i="320"/>
  <c r="AF103" i="320"/>
  <c r="AH103" i="320" s="1"/>
  <c r="B93" i="320" l="1"/>
  <c r="H92" i="320"/>
  <c r="J92" i="320" s="1"/>
  <c r="Z105" i="320"/>
  <c r="AF104" i="320"/>
  <c r="AH104" i="320" s="1"/>
  <c r="N103" i="320"/>
  <c r="T102" i="320"/>
  <c r="V102" i="320" s="1"/>
  <c r="Z106" i="320" l="1"/>
  <c r="AF105" i="320"/>
  <c r="AH105" i="320" s="1"/>
  <c r="N104" i="320"/>
  <c r="T103" i="320"/>
  <c r="V103" i="320" s="1"/>
  <c r="B94" i="320"/>
  <c r="H93" i="320"/>
  <c r="J93" i="320" s="1"/>
  <c r="N105" i="320" l="1"/>
  <c r="T104" i="320"/>
  <c r="V104" i="320" s="1"/>
  <c r="B95" i="320"/>
  <c r="H94" i="320"/>
  <c r="J94" i="320" s="1"/>
  <c r="Z107" i="320"/>
  <c r="AF106" i="320"/>
  <c r="AH106" i="320" s="1"/>
  <c r="B96" i="320" l="1"/>
  <c r="H95" i="320"/>
  <c r="J95" i="320" s="1"/>
  <c r="Z108" i="320"/>
  <c r="AF107" i="320"/>
  <c r="AH107" i="320" s="1"/>
  <c r="N106" i="320"/>
  <c r="T105" i="320"/>
  <c r="V105" i="320" s="1"/>
  <c r="Z109" i="320" l="1"/>
  <c r="AF108" i="320"/>
  <c r="AH108" i="320" s="1"/>
  <c r="N107" i="320"/>
  <c r="T106" i="320"/>
  <c r="V106" i="320" s="1"/>
  <c r="B97" i="320"/>
  <c r="H96" i="320"/>
  <c r="J96" i="320" s="1"/>
  <c r="N108" i="320" l="1"/>
  <c r="T107" i="320"/>
  <c r="V107" i="320" s="1"/>
  <c r="B98" i="320"/>
  <c r="H97" i="320"/>
  <c r="J97" i="320" s="1"/>
  <c r="Z110" i="320"/>
  <c r="AF109" i="320"/>
  <c r="AH109" i="320" s="1"/>
  <c r="B99" i="320" l="1"/>
  <c r="H98" i="320"/>
  <c r="J98" i="320" s="1"/>
  <c r="Z111" i="320"/>
  <c r="AF110" i="320"/>
  <c r="AH110" i="320" s="1"/>
  <c r="AI110" i="320" s="1"/>
  <c r="N109" i="320"/>
  <c r="T108" i="320"/>
  <c r="V108" i="320" s="1"/>
  <c r="Z112" i="320" l="1"/>
  <c r="AF111" i="320"/>
  <c r="AH111" i="320" s="1"/>
  <c r="N110" i="320"/>
  <c r="T109" i="320"/>
  <c r="V109" i="320" s="1"/>
  <c r="B100" i="320"/>
  <c r="H99" i="320"/>
  <c r="J99" i="320" s="1"/>
  <c r="B101" i="320" l="1"/>
  <c r="H100" i="320"/>
  <c r="J100" i="320" s="1"/>
  <c r="Z113" i="320"/>
  <c r="AF112" i="320"/>
  <c r="AH112" i="320" s="1"/>
  <c r="N111" i="320"/>
  <c r="T110" i="320"/>
  <c r="V110" i="320" s="1"/>
  <c r="W110" i="320" s="1"/>
  <c r="N112" i="320" l="1"/>
  <c r="T111" i="320"/>
  <c r="V111" i="320" s="1"/>
  <c r="B102" i="320"/>
  <c r="H101" i="320"/>
  <c r="J101" i="320" s="1"/>
  <c r="AI112" i="320"/>
  <c r="Z114" i="320"/>
  <c r="AF113" i="320"/>
  <c r="AH113" i="320" s="1"/>
  <c r="B103" i="320" l="1"/>
  <c r="H102" i="320"/>
  <c r="J102" i="320" s="1"/>
  <c r="Z115" i="320"/>
  <c r="AF114" i="320"/>
  <c r="AH114" i="320" s="1"/>
  <c r="AI114" i="320" s="1"/>
  <c r="N113" i="320"/>
  <c r="T112" i="320"/>
  <c r="V112" i="320" s="1"/>
  <c r="AI113" i="320"/>
  <c r="W112" i="320"/>
  <c r="Z116" i="320" l="1"/>
  <c r="AF115" i="320"/>
  <c r="AH115" i="320" s="1"/>
  <c r="AI115" i="320"/>
  <c r="N114" i="320"/>
  <c r="T113" i="320"/>
  <c r="V113" i="320" s="1"/>
  <c r="B104" i="320"/>
  <c r="H103" i="320"/>
  <c r="J103" i="320" s="1"/>
  <c r="W113" i="320" l="1"/>
  <c r="Z117" i="320"/>
  <c r="AF116" i="320"/>
  <c r="AH116" i="320" s="1"/>
  <c r="AI116" i="320" s="1"/>
  <c r="B105" i="320"/>
  <c r="H104" i="320"/>
  <c r="J104" i="320" s="1"/>
  <c r="N115" i="320"/>
  <c r="T114" i="320"/>
  <c r="V114" i="320" s="1"/>
  <c r="W114" i="320" s="1"/>
  <c r="B106" i="320" l="1"/>
  <c r="H105" i="320"/>
  <c r="J105" i="320" s="1"/>
  <c r="N116" i="320"/>
  <c r="T115" i="320"/>
  <c r="V115" i="320" s="1"/>
  <c r="Z118" i="320"/>
  <c r="AF117" i="320"/>
  <c r="AH117" i="320" s="1"/>
  <c r="AI117" i="320" l="1"/>
  <c r="Z119" i="320"/>
  <c r="AF118" i="320"/>
  <c r="AH118" i="320" s="1"/>
  <c r="B107" i="320"/>
  <c r="H106" i="320"/>
  <c r="J106" i="320" s="1"/>
  <c r="N117" i="320"/>
  <c r="T116" i="320"/>
  <c r="V116" i="320" s="1"/>
  <c r="W116" i="320"/>
  <c r="W115" i="320"/>
  <c r="N118" i="320" l="1"/>
  <c r="T117" i="320"/>
  <c r="V117" i="320" s="1"/>
  <c r="Z120" i="320"/>
  <c r="AF119" i="320"/>
  <c r="AH119" i="320" s="1"/>
  <c r="B108" i="320"/>
  <c r="H107" i="320"/>
  <c r="J107" i="320" s="1"/>
  <c r="AI118" i="320"/>
  <c r="AI119" i="320"/>
  <c r="W118" i="320" l="1"/>
  <c r="W117" i="320"/>
  <c r="B109" i="320"/>
  <c r="H108" i="320"/>
  <c r="J108" i="320" s="1"/>
  <c r="N119" i="320"/>
  <c r="T118" i="320"/>
  <c r="V118" i="320" s="1"/>
  <c r="Z121" i="320"/>
  <c r="AF120" i="320"/>
  <c r="AH120" i="320" s="1"/>
  <c r="Z122" i="320" l="1"/>
  <c r="AF121" i="320"/>
  <c r="AH121" i="320" s="1"/>
  <c r="B110" i="320"/>
  <c r="H109" i="320"/>
  <c r="J109" i="320" s="1"/>
  <c r="AI120" i="320"/>
  <c r="N120" i="320"/>
  <c r="T119" i="320"/>
  <c r="V119" i="320" s="1"/>
  <c r="W119" i="320" s="1"/>
  <c r="Z123" i="320" l="1"/>
  <c r="AF122" i="320"/>
  <c r="AH122" i="320" s="1"/>
  <c r="AI122" i="320" s="1"/>
  <c r="AI121" i="320"/>
  <c r="N121" i="320"/>
  <c r="T120" i="320"/>
  <c r="V120" i="320" s="1"/>
  <c r="W120" i="320" s="1"/>
  <c r="B111" i="320"/>
  <c r="H110" i="320"/>
  <c r="J110" i="320" s="1"/>
  <c r="K110" i="320" s="1"/>
  <c r="N122" i="320" l="1"/>
  <c r="T121" i="320"/>
  <c r="V121" i="320" s="1"/>
  <c r="Z124" i="320"/>
  <c r="AF123" i="320"/>
  <c r="AH123" i="320" s="1"/>
  <c r="B112" i="320"/>
  <c r="H111" i="320"/>
  <c r="J111" i="320" s="1"/>
  <c r="W121" i="320"/>
  <c r="AI123" i="320" l="1"/>
  <c r="Z125" i="320"/>
  <c r="AF124" i="320"/>
  <c r="AH124" i="320" s="1"/>
  <c r="B113" i="320"/>
  <c r="H112" i="320"/>
  <c r="J112" i="320" s="1"/>
  <c r="K112" i="320"/>
  <c r="N123" i="320"/>
  <c r="T122" i="320"/>
  <c r="V122" i="320" s="1"/>
  <c r="W122" i="320" s="1"/>
  <c r="Z126" i="320" l="1"/>
  <c r="AF125" i="320"/>
  <c r="AH125" i="320" s="1"/>
  <c r="AI124" i="320"/>
  <c r="N124" i="320"/>
  <c r="T123" i="320"/>
  <c r="V123" i="320" s="1"/>
  <c r="B114" i="320"/>
  <c r="H113" i="320"/>
  <c r="J113" i="320" s="1"/>
  <c r="W124" i="320" l="1"/>
  <c r="W123" i="320"/>
  <c r="AI125" i="320"/>
  <c r="N125" i="320"/>
  <c r="T124" i="320"/>
  <c r="V124" i="320" s="1"/>
  <c r="K114" i="320"/>
  <c r="K113" i="320"/>
  <c r="Z127" i="320"/>
  <c r="AF126" i="320"/>
  <c r="AH126" i="320" s="1"/>
  <c r="B115" i="320"/>
  <c r="H114" i="320"/>
  <c r="J114" i="320" s="1"/>
  <c r="Z128" i="320" l="1"/>
  <c r="AF127" i="320"/>
  <c r="AH127" i="320" s="1"/>
  <c r="AI127" i="320" s="1"/>
  <c r="AI126" i="320"/>
  <c r="B116" i="320"/>
  <c r="H115" i="320"/>
  <c r="J115" i="320" s="1"/>
  <c r="K115" i="320" s="1"/>
  <c r="N126" i="320"/>
  <c r="T125" i="320"/>
  <c r="V125" i="320" s="1"/>
  <c r="B117" i="320" l="1"/>
  <c r="H116" i="320"/>
  <c r="J116" i="320" s="1"/>
  <c r="W126" i="320"/>
  <c r="W125" i="320"/>
  <c r="Z129" i="320"/>
  <c r="AF128" i="320"/>
  <c r="AH128" i="320" s="1"/>
  <c r="AI128" i="320" s="1"/>
  <c r="N127" i="320"/>
  <c r="T126" i="320"/>
  <c r="V126" i="320" s="1"/>
  <c r="K116" i="320"/>
  <c r="Z130" i="320" l="1"/>
  <c r="AF129" i="320"/>
  <c r="AH129" i="320" s="1"/>
  <c r="AI129" i="320" s="1"/>
  <c r="N128" i="320"/>
  <c r="T127" i="320"/>
  <c r="V127" i="320" s="1"/>
  <c r="B118" i="320"/>
  <c r="H117" i="320"/>
  <c r="J117" i="320" s="1"/>
  <c r="K117" i="320" l="1"/>
  <c r="B119" i="320"/>
  <c r="H118" i="320"/>
  <c r="J118" i="320" s="1"/>
  <c r="Z131" i="320"/>
  <c r="AF130" i="320"/>
  <c r="AH130" i="320" s="1"/>
  <c r="AI130" i="320" s="1"/>
  <c r="N129" i="320"/>
  <c r="T128" i="320"/>
  <c r="V128" i="320" s="1"/>
  <c r="W128" i="320"/>
  <c r="W127" i="320"/>
  <c r="Z132" i="320" l="1"/>
  <c r="AF132" i="320" s="1"/>
  <c r="AH132" i="320" s="1"/>
  <c r="AI132" i="320" s="1"/>
  <c r="AF131" i="320"/>
  <c r="AH131" i="320" s="1"/>
  <c r="K118" i="320"/>
  <c r="N130" i="320"/>
  <c r="T129" i="320"/>
  <c r="V129" i="320" s="1"/>
  <c r="W129" i="320" s="1"/>
  <c r="B120" i="320"/>
  <c r="H119" i="320"/>
  <c r="J119" i="320" s="1"/>
  <c r="K119" i="320" s="1"/>
  <c r="AI131" i="320" l="1"/>
  <c r="Q40" i="324" s="1"/>
  <c r="B121" i="320"/>
  <c r="H120" i="320"/>
  <c r="J120" i="320" s="1"/>
  <c r="N131" i="320"/>
  <c r="T130" i="320"/>
  <c r="V130" i="320" s="1"/>
  <c r="W130" i="320" s="1"/>
  <c r="B122" i="320" l="1"/>
  <c r="H121" i="320"/>
  <c r="J121" i="320" s="1"/>
  <c r="K121" i="320" s="1"/>
  <c r="N132" i="320"/>
  <c r="T132" i="320" s="1"/>
  <c r="V132" i="320" s="1"/>
  <c r="W132" i="320" s="1"/>
  <c r="T131" i="320"/>
  <c r="V131" i="320" s="1"/>
  <c r="K120" i="320"/>
  <c r="W131" i="320" l="1"/>
  <c r="B123" i="320"/>
  <c r="H122" i="320"/>
  <c r="J122" i="320" s="1"/>
  <c r="K122" i="320" s="1"/>
  <c r="Q39" i="324" l="1"/>
  <c r="B124" i="320"/>
  <c r="H123" i="320"/>
  <c r="J123" i="320" s="1"/>
  <c r="K123" i="320" l="1"/>
  <c r="B125" i="320"/>
  <c r="H124" i="320"/>
  <c r="J124" i="320" s="1"/>
  <c r="B126" i="320" l="1"/>
  <c r="H125" i="320"/>
  <c r="J125" i="320" s="1"/>
  <c r="K124" i="320"/>
  <c r="B127" i="320" l="1"/>
  <c r="H126" i="320"/>
  <c r="J126" i="320" s="1"/>
  <c r="K126" i="320" s="1"/>
  <c r="K125" i="320"/>
  <c r="B128" i="320" l="1"/>
  <c r="H127" i="320"/>
  <c r="J127" i="320" s="1"/>
  <c r="K127" i="320"/>
  <c r="B129" i="320" l="1"/>
  <c r="H128" i="320"/>
  <c r="J128" i="320" s="1"/>
  <c r="K128" i="320" s="1"/>
  <c r="B130" i="320" l="1"/>
  <c r="H129" i="320"/>
  <c r="J129" i="320" s="1"/>
  <c r="K129" i="320" s="1"/>
  <c r="B131" i="320" l="1"/>
  <c r="H130" i="320"/>
  <c r="J130" i="320" s="1"/>
  <c r="K130" i="320" s="1"/>
  <c r="B132" i="320" l="1"/>
  <c r="H132" i="320" s="1"/>
  <c r="J132" i="320" s="1"/>
  <c r="K132" i="320" s="1"/>
  <c r="H131" i="320"/>
  <c r="J131" i="320" s="1"/>
  <c r="K131" i="320" l="1"/>
  <c r="Q41" i="324" l="1"/>
  <c r="Q42" i="324" s="1"/>
  <c r="H42" i="324"/>
  <c r="H48" i="324" s="1"/>
  <c r="H67" i="324" s="1"/>
  <c r="S42" i="324" l="1"/>
  <c r="Q48" i="324"/>
  <c r="S48" i="324" l="1"/>
  <c r="Q67" i="324"/>
  <c r="S67" i="324" s="1"/>
</calcChain>
</file>

<file path=xl/sharedStrings.xml><?xml version="1.0" encoding="utf-8"?>
<sst xmlns="http://schemas.openxmlformats.org/spreadsheetml/2006/main" count="2185" uniqueCount="583">
  <si>
    <t>ANALYSIS OF THE EMBEDDED COST OF CAPITAL AT</t>
  </si>
  <si>
    <t>Annualized Cost</t>
  </si>
  <si>
    <t>Amortized Debt</t>
  </si>
  <si>
    <t>Amortized Loss-</t>
  </si>
  <si>
    <t>Embedded</t>
  </si>
  <si>
    <t>Due</t>
  </si>
  <si>
    <t>Rate</t>
  </si>
  <si>
    <t>Principal</t>
  </si>
  <si>
    <t>Premium</t>
  </si>
  <si>
    <t>Total</t>
  </si>
  <si>
    <t xml:space="preserve">  Cost  </t>
  </si>
  <si>
    <t>*</t>
  </si>
  <si>
    <t>Called Bonds</t>
  </si>
  <si>
    <t>Interest Rate Swaps:</t>
  </si>
  <si>
    <t>Interest</t>
  </si>
  <si>
    <t>Notes Payable to Associated Company</t>
  </si>
  <si>
    <t>Variable</t>
  </si>
  <si>
    <t>Fixed</t>
  </si>
  <si>
    <t>Counterparty</t>
  </si>
  <si>
    <t>LOUISVILLE GAS AND ELECTRIC COMPANY</t>
  </si>
  <si>
    <t>Maturity</t>
  </si>
  <si>
    <t>NA</t>
  </si>
  <si>
    <t>LG&amp;E Swap</t>
  </si>
  <si>
    <t>BMA Index</t>
  </si>
  <si>
    <t>Series Z - PCB</t>
  </si>
  <si>
    <t>68% of 1 mo LIBOR</t>
  </si>
  <si>
    <t>Distribution:</t>
  </si>
  <si>
    <t>Louisville Gas and Electric Company</t>
  </si>
  <si>
    <t>Kentucky Utilities Company</t>
  </si>
  <si>
    <t>Total External Debt</t>
  </si>
  <si>
    <t>Total Internal Debt</t>
  </si>
  <si>
    <t>Interest Rate Swaps External Debt</t>
  </si>
  <si>
    <t xml:space="preserve">Pollution Control Bonds - </t>
  </si>
  <si>
    <t>Embedded Cost of Total Debt</t>
  </si>
  <si>
    <t>Avg Monthly</t>
  </si>
  <si>
    <t xml:space="preserve"> </t>
  </si>
  <si>
    <r>
      <t>Rate</t>
    </r>
    <r>
      <rPr>
        <sz val="13"/>
        <rFont val="Arial"/>
        <family val="2"/>
      </rPr>
      <t xml:space="preserve"> </t>
    </r>
  </si>
  <si>
    <r>
      <t>Principal</t>
    </r>
    <r>
      <rPr>
        <sz val="13"/>
        <rFont val="Arial"/>
        <family val="2"/>
      </rPr>
      <t xml:space="preserve">  </t>
    </r>
  </si>
  <si>
    <r>
      <t>Interest</t>
    </r>
    <r>
      <rPr>
        <sz val="13"/>
        <rFont val="Arial"/>
        <family val="2"/>
      </rPr>
      <t xml:space="preserve">  </t>
    </r>
  </si>
  <si>
    <r>
      <t>Expense</t>
    </r>
    <r>
      <rPr>
        <sz val="13"/>
        <rFont val="Arial"/>
        <family val="2"/>
      </rPr>
      <t xml:space="preserve">  </t>
    </r>
  </si>
  <si>
    <r>
      <t>Loss</t>
    </r>
    <r>
      <rPr>
        <sz val="13"/>
        <rFont val="Arial"/>
        <family val="2"/>
      </rPr>
      <t xml:space="preserve"> </t>
    </r>
  </si>
  <si>
    <r>
      <t>Total</t>
    </r>
    <r>
      <rPr>
        <sz val="13"/>
        <rFont val="Arial"/>
        <family val="2"/>
      </rPr>
      <t xml:space="preserve"> </t>
    </r>
  </si>
  <si>
    <r>
      <t>Cost</t>
    </r>
    <r>
      <rPr>
        <sz val="13"/>
        <rFont val="Arial"/>
        <family val="2"/>
      </rPr>
      <t xml:space="preserve"> </t>
    </r>
  </si>
  <si>
    <r>
      <t>Underlying Debt Being Hedged</t>
    </r>
    <r>
      <rPr>
        <sz val="13"/>
        <rFont val="Arial"/>
        <family val="2"/>
      </rPr>
      <t xml:space="preserve"> </t>
    </r>
  </si>
  <si>
    <r>
      <t>Notional Amount</t>
    </r>
    <r>
      <rPr>
        <sz val="13"/>
        <rFont val="Arial"/>
        <family val="2"/>
      </rPr>
      <t xml:space="preserve"> </t>
    </r>
  </si>
  <si>
    <r>
      <t>Position</t>
    </r>
    <r>
      <rPr>
        <sz val="13"/>
        <rFont val="Arial"/>
        <family val="2"/>
      </rPr>
      <t xml:space="preserve"> </t>
    </r>
  </si>
  <si>
    <r>
      <t>Swap Position</t>
    </r>
    <r>
      <rPr>
        <sz val="13"/>
        <rFont val="Arial"/>
        <family val="2"/>
      </rPr>
      <t xml:space="preserve"> </t>
    </r>
  </si>
  <si>
    <r>
      <t>LONG-TERM DEBT</t>
    </r>
    <r>
      <rPr>
        <b/>
        <sz val="16"/>
        <rFont val="Arial"/>
        <family val="2"/>
      </rPr>
      <t xml:space="preserve"> </t>
    </r>
  </si>
  <si>
    <t>Expiration of</t>
  </si>
  <si>
    <t>Swap</t>
  </si>
  <si>
    <r>
      <t>Agreement</t>
    </r>
    <r>
      <rPr>
        <sz val="13"/>
        <rFont val="Arial"/>
        <family val="2"/>
      </rPr>
      <t xml:space="preserve"> </t>
    </r>
  </si>
  <si>
    <t>Trimble Co. 2007 Series A</t>
  </si>
  <si>
    <t>Pollution Control Bonds</t>
  </si>
  <si>
    <t>Jefferson Co. 2000 Series A</t>
  </si>
  <si>
    <t>Trimble Co. 2000 Series A</t>
  </si>
  <si>
    <t>Jefferson Co. 2001 Series A</t>
  </si>
  <si>
    <t>Trimble Co. 2001 Series A</t>
  </si>
  <si>
    <t>Jefferson Co. 2001 Series B</t>
  </si>
  <si>
    <t>Trimble Co. 2002 Series A</t>
  </si>
  <si>
    <t>Louisville Metro 2003 Series A</t>
  </si>
  <si>
    <t>Louisville Metro 2005 Series A</t>
  </si>
  <si>
    <t>Louisville Metro 2007 Series A</t>
  </si>
  <si>
    <t>Louisville Metro 2007 Series B</t>
  </si>
  <si>
    <t>Trimble Co. 2001 Series B</t>
  </si>
  <si>
    <t>Reacquired Debt</t>
  </si>
  <si>
    <t>Letter of Credit</t>
  </si>
  <si>
    <t>and other fees</t>
  </si>
  <si>
    <t>Interest/(Income)</t>
  </si>
  <si>
    <t>a</t>
  </si>
  <si>
    <t>b</t>
  </si>
  <si>
    <t>d</t>
  </si>
  <si>
    <t>b - Remarketing fee = 10 basis points</t>
  </si>
  <si>
    <t>c - Remarketing fee = 25 basis points</t>
  </si>
  <si>
    <t>a - Insurance premiums annualized - based on actual invoices</t>
  </si>
  <si>
    <t>d - Combination of a and c.</t>
  </si>
  <si>
    <t>2010 due 2020</t>
  </si>
  <si>
    <t>2010 due 2015</t>
  </si>
  <si>
    <t>First Mortgage Bonds -</t>
  </si>
  <si>
    <t>Notes Payable to PPL</t>
  </si>
  <si>
    <t xml:space="preserve"> Issuance Exp/Discount</t>
  </si>
  <si>
    <t>**</t>
  </si>
  <si>
    <t>Revolving Credit Facility</t>
  </si>
  <si>
    <t>Revolving Credit Facility Payable</t>
  </si>
  <si>
    <t>SHORT-TERM DEBT</t>
  </si>
  <si>
    <t>p.8</t>
  </si>
  <si>
    <t>p.10</t>
  </si>
  <si>
    <t>p.12</t>
  </si>
  <si>
    <t>p.19</t>
  </si>
  <si>
    <t>p.20</t>
  </si>
  <si>
    <t>p.26</t>
  </si>
  <si>
    <t>p.11</t>
  </si>
  <si>
    <t>p.21</t>
  </si>
  <si>
    <t>p.22</t>
  </si>
  <si>
    <t>p.24</t>
  </si>
  <si>
    <t>Series CC, DD &amp; EE - PCB</t>
  </si>
  <si>
    <t xml:space="preserve">   Debt discount on FMB</t>
  </si>
  <si>
    <t>**  Debt discount shown on separate line.</t>
  </si>
  <si>
    <t>p.28</t>
  </si>
  <si>
    <t>6&amp;7</t>
  </si>
  <si>
    <t>USING AVERAGE DAILY BALANCES AND INTEREST RATES FOR ECR FILINGS</t>
  </si>
  <si>
    <r>
      <t xml:space="preserve">* </t>
    </r>
    <r>
      <rPr>
        <sz val="13"/>
        <rFont val="Arial"/>
        <family val="2"/>
      </rPr>
      <t xml:space="preserve"> Composite rate at end of current month for Embedded Cost of Capital report and daily average rate for ECR filings.</t>
    </r>
  </si>
  <si>
    <t>ECR</t>
  </si>
  <si>
    <t>p.39</t>
  </si>
  <si>
    <t>p.9</t>
  </si>
  <si>
    <t>S-3 SEC Shelf Registration</t>
  </si>
  <si>
    <t>Commercial Paper Program</t>
  </si>
  <si>
    <t>Varies</t>
  </si>
  <si>
    <t>p.7</t>
  </si>
  <si>
    <t>p.31&amp;32</t>
  </si>
  <si>
    <t>e</t>
  </si>
  <si>
    <t>e - Revolving Credit Facility fee = 12.5 basis points</t>
  </si>
  <si>
    <t>{a}</t>
  </si>
  <si>
    <t>{b}</t>
  </si>
  <si>
    <t>p.5</t>
  </si>
  <si>
    <t>p.6</t>
  </si>
  <si>
    <t>p. 42 P/M</t>
  </si>
  <si>
    <r>
      <rPr>
        <b/>
        <sz val="13"/>
        <color rgb="FFFF0000"/>
        <rFont val="Arial"/>
        <family val="2"/>
      </rPr>
      <t>1</t>
    </r>
    <r>
      <rPr>
        <sz val="13"/>
        <rFont val="Arial"/>
        <family val="2"/>
      </rPr>
      <t xml:space="preserve">   Additional interest due to Swap Agreements:</t>
    </r>
  </si>
  <si>
    <r>
      <rPr>
        <b/>
        <sz val="13"/>
        <color rgb="FFFF0000"/>
        <rFont val="Arial"/>
        <family val="2"/>
      </rPr>
      <t xml:space="preserve">2 </t>
    </r>
    <r>
      <rPr>
        <sz val="13"/>
        <rFont val="Arial"/>
        <family val="2"/>
      </rPr>
      <t xml:space="preserve">  Call premium and debt expense is being amortized over the remaining life of bonds due 6/1/15, 7/1/13 and 8/1/17.</t>
    </r>
  </si>
  <si>
    <r>
      <rPr>
        <b/>
        <sz val="13"/>
        <color rgb="FFFF0000"/>
        <rFont val="Arial"/>
        <family val="2"/>
      </rPr>
      <t>3</t>
    </r>
    <r>
      <rPr>
        <sz val="13"/>
        <rFont val="Arial"/>
        <family val="2"/>
      </rPr>
      <t xml:space="preserve">   Reacquired bonds were reissued 1/13/11.</t>
    </r>
  </si>
  <si>
    <r>
      <rPr>
        <b/>
        <sz val="13"/>
        <color rgb="FFFF0000"/>
        <rFont val="Arial"/>
        <family val="2"/>
      </rPr>
      <t>4</t>
    </r>
    <r>
      <rPr>
        <sz val="13"/>
        <rFont val="Arial"/>
        <family val="2"/>
      </rPr>
      <t xml:space="preserve">   Remarketed bonds, issued at long term fixed rate.</t>
    </r>
  </si>
  <si>
    <r>
      <rPr>
        <b/>
        <sz val="13"/>
        <color rgb="FFFF0000"/>
        <rFont val="Arial"/>
        <family val="2"/>
      </rPr>
      <t>6</t>
    </r>
    <r>
      <rPr>
        <sz val="13"/>
        <rFont val="Arial"/>
        <family val="2"/>
      </rPr>
      <t xml:space="preserve">   Includes setup fees for the Wachovia Credit Facility in Long-term Debt due to 4 year credit arrangement</t>
    </r>
  </si>
  <si>
    <r>
      <rPr>
        <b/>
        <sz val="13"/>
        <color rgb="FFFF0000"/>
        <rFont val="Arial"/>
        <family val="2"/>
      </rPr>
      <t>7</t>
    </r>
    <r>
      <rPr>
        <sz val="13"/>
        <rFont val="Arial"/>
        <family val="2"/>
      </rPr>
      <t xml:space="preserve">  Credit Facility amended effective October 19, 2011.  New term of 5 years at lower interest rate.</t>
    </r>
  </si>
  <si>
    <r>
      <rPr>
        <b/>
        <sz val="13"/>
        <color rgb="FFFF0000"/>
        <rFont val="Arial"/>
        <family val="2"/>
      </rPr>
      <t>5</t>
    </r>
    <r>
      <rPr>
        <sz val="13"/>
        <rFont val="Arial"/>
        <family val="2"/>
      </rPr>
      <t xml:space="preserve">   Remarketed bonds, issued at a variable rate.</t>
    </r>
  </si>
  <si>
    <t>p.13&amp;43</t>
  </si>
  <si>
    <t>p.14&amp;43</t>
  </si>
  <si>
    <t>p.15&amp;43</t>
  </si>
  <si>
    <t>p.16&amp;43</t>
  </si>
  <si>
    <t>p.17&amp;43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</si>
  <si>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</si>
  <si>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</si>
  <si>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</si>
  <si>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</si>
  <si>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2000 SERIES A JEFFERSON COUNTY BONDS</t>
  </si>
  <si>
    <t>VARIABLE INTEREST RATE CALCULATION</t>
  </si>
  <si>
    <t>MONTHLY INTEREST</t>
  </si>
  <si>
    <t>AVG MTHLY INT RATE</t>
  </si>
  <si>
    <t>AVG INT RATE - YTD</t>
  </si>
  <si>
    <t>2000 SERIES A TRIMBLE COUNTY BONDS</t>
  </si>
  <si>
    <t>2001 SERIES AA JEFFERSON COUNTY BONDS</t>
  </si>
  <si>
    <t>2001 SERIES A JEFFERSON COUNTY BONDS</t>
  </si>
  <si>
    <t>2001 SERIES A TRIMBLE COUNTY BONDS</t>
  </si>
  <si>
    <t>2001 SERIES B JEFFERSON COUNTY BONDS</t>
  </si>
  <si>
    <t>2001 SERIES B TRIMBLE COUNTY BONDS</t>
  </si>
  <si>
    <t>2002 SERIES A TRIMBLE COUNTY BONDS</t>
  </si>
  <si>
    <t>(35 DAY) DUTCH AUCTION RATE CALCULATION</t>
  </si>
  <si>
    <t>Amortization of Expense on Debt</t>
  </si>
  <si>
    <t>Amort</t>
  </si>
  <si>
    <t>Ending</t>
  </si>
  <si>
    <t>Account</t>
  </si>
  <si>
    <t>Exp Acct</t>
  </si>
  <si>
    <t>Balance @</t>
  </si>
  <si>
    <t>Additional</t>
  </si>
  <si>
    <t>Per</t>
  </si>
  <si>
    <t>Transfer to Loss</t>
  </si>
  <si>
    <t>Amort Mo/Yr</t>
  </si>
  <si>
    <t>Number</t>
  </si>
  <si>
    <t>Exp/(Refund)</t>
  </si>
  <si>
    <t>Subtotal</t>
  </si>
  <si>
    <t>Month</t>
  </si>
  <si>
    <t>on Reaquired Debt</t>
  </si>
  <si>
    <t>GL Acct Name</t>
  </si>
  <si>
    <t>S</t>
  </si>
  <si>
    <t>T</t>
  </si>
  <si>
    <t>UNAM EXP-PCB JC2001A $10.1M 9/27</t>
  </si>
  <si>
    <t>2001 Series AA JC</t>
  </si>
  <si>
    <t>Secured</t>
  </si>
  <si>
    <t>AA</t>
  </si>
  <si>
    <t>U</t>
  </si>
  <si>
    <t>$60 m</t>
  </si>
  <si>
    <t>UNAM EXP-PCB TC2007A $60M 6/33</t>
  </si>
  <si>
    <t>2007A $60M</t>
  </si>
  <si>
    <t>Y</t>
  </si>
  <si>
    <t>UNAM EXP-PCB TC2000A $83M 8/30</t>
  </si>
  <si>
    <t>2000 Series A TC $83m</t>
  </si>
  <si>
    <t>Z</t>
  </si>
  <si>
    <t>UNAM EXP-PCB JC2001A $22.5M 9/26</t>
  </si>
  <si>
    <t>2001 Series A JC</t>
  </si>
  <si>
    <t>BB</t>
  </si>
  <si>
    <t>UNAM EXP-PCB TC2001A $27.5M 9/26</t>
  </si>
  <si>
    <t>2001 Series A TC</t>
  </si>
  <si>
    <t>CC</t>
  </si>
  <si>
    <t>UNAM EXP-PCB JC2001B $35M 11/27</t>
  </si>
  <si>
    <t>2001 Series B JC</t>
  </si>
  <si>
    <t>DD</t>
  </si>
  <si>
    <t>UNAM EXP-PCB TC2001B $35M 11/27</t>
  </si>
  <si>
    <t>2001 Series B TC</t>
  </si>
  <si>
    <t>EE</t>
  </si>
  <si>
    <t>UNAM EXP-PCB TC2002A $41.665M 10/32</t>
  </si>
  <si>
    <t>2002 Series A TC</t>
  </si>
  <si>
    <t>FF</t>
  </si>
  <si>
    <t>UNAM EXP-PCB JC2003A $128 10/1/33</t>
  </si>
  <si>
    <t>JC2003A $128**</t>
  </si>
  <si>
    <t>UNAM EXP $35.2M 6/33</t>
  </si>
  <si>
    <t>JC2007B $35.2M**</t>
  </si>
  <si>
    <t>$128m</t>
  </si>
  <si>
    <t>UNAM EXP-FMB $250M 11/15</t>
  </si>
  <si>
    <t>2010 FMB $250M*</t>
  </si>
  <si>
    <t>GG</t>
  </si>
  <si>
    <t>$40 m</t>
  </si>
  <si>
    <t>UNAM EXP-FMB $285M 11/40</t>
  </si>
  <si>
    <t>2010 FMB $285M*</t>
  </si>
  <si>
    <t>HH</t>
  </si>
  <si>
    <t>UNAM EXP-S-3 SHELF REGISTRATION 3/15</t>
  </si>
  <si>
    <t>S-3 Shelf Registration 3yrs***</t>
  </si>
  <si>
    <t>Average Balance for ECR Calculation:</t>
  </si>
  <si>
    <t xml:space="preserve">Acct # </t>
  </si>
  <si>
    <t>Balance</t>
  </si>
  <si>
    <t># of days in mo</t>
  </si>
  <si>
    <t>Average Balance</t>
  </si>
  <si>
    <t>Louisville Gas and Electric Company #100</t>
  </si>
  <si>
    <t>Amortization of Loss on Reacquired Debt</t>
  </si>
  <si>
    <t>Amortization</t>
  </si>
  <si>
    <t xml:space="preserve">G/L </t>
  </si>
  <si>
    <t>Last Month of</t>
  </si>
  <si>
    <t>Bond Series</t>
  </si>
  <si>
    <t>G/L Account</t>
  </si>
  <si>
    <t>G/L Expense</t>
  </si>
  <si>
    <t>Account Name</t>
  </si>
  <si>
    <t>Original Bond Issue</t>
  </si>
  <si>
    <t>Replaced with</t>
  </si>
  <si>
    <t>Expiration</t>
  </si>
  <si>
    <t>Adj</t>
  </si>
  <si>
    <t>UNAM LOSS-1985J $25M 07/95</t>
  </si>
  <si>
    <t>PCBs 1985  J-1995</t>
  </si>
  <si>
    <t>UNAM LOSS-1976B $35.2M 09/06</t>
  </si>
  <si>
    <t>PCBs 1976 Series B</t>
  </si>
  <si>
    <t>UNAM LOSS-1975A $31M 09/00</t>
  </si>
  <si>
    <t>PCBs 1975 Series A</t>
  </si>
  <si>
    <t>UNAM LOSS-1987A $60M 08/97</t>
  </si>
  <si>
    <t>PCBs 1987 Series M</t>
  </si>
  <si>
    <t>UNAM LOSS-PCB JC1990A $25M 06/15</t>
  </si>
  <si>
    <t>JC1990A $25M 06/15</t>
  </si>
  <si>
    <t>JC2000A $25M 05/27</t>
  </si>
  <si>
    <t>UNAM LOSS-PCB JC2000A $25M 05/27</t>
  </si>
  <si>
    <t>UNAM LOSS-PCB TC1990A $83.3M 11/20</t>
  </si>
  <si>
    <t>TC1990A $83.335M</t>
  </si>
  <si>
    <t>TC2000A $83.335M</t>
  </si>
  <si>
    <t>UNAM LOSS-PCB JC1992A $31M 09/17</t>
  </si>
  <si>
    <t>JC1992A $31M 09/17</t>
  </si>
  <si>
    <t>JC2007A $31M 06/33</t>
  </si>
  <si>
    <t>UNAM LOSS-PCB JC2007A $31M 06/33</t>
  </si>
  <si>
    <t>UNAM LOSS-PCB JC1993A $35.2M 08/13</t>
  </si>
  <si>
    <t>JC1993A $35.2M 08/13</t>
  </si>
  <si>
    <t>JC2007B $35.2M 06/33</t>
  </si>
  <si>
    <t>UNAM LOSS-PCB JC2007B $35.2M 06/33</t>
  </si>
  <si>
    <t>UNAM LOSS-PCB TC1992A $60M 09/17</t>
  </si>
  <si>
    <t>TC1992A $60M 09/17</t>
  </si>
  <si>
    <t>TC2007A $60M 06/33</t>
  </si>
  <si>
    <t>UNAM LOSS-PCB JC1996A $22.5M 09/26</t>
  </si>
  <si>
    <t>JC1996A $22.5M 09/26</t>
  </si>
  <si>
    <t>JC2001A $22.5M 09/26</t>
  </si>
  <si>
    <t>UNAM LOSS-PCB TC1996A $27.5M 09/26</t>
  </si>
  <si>
    <t>TC1996A $27.5M 09/26</t>
  </si>
  <si>
    <t>TC2001A $27.5M 09/26</t>
  </si>
  <si>
    <t>UNAM LOSS-PCB JC1997A $35M 11/27</t>
  </si>
  <si>
    <t>JC1997A $35M 11/27</t>
  </si>
  <si>
    <t>JC2001B $35M 11/27</t>
  </si>
  <si>
    <t>UNAM LOSS-PCB TC1997A $35M 11/27</t>
  </si>
  <si>
    <t>TC1997A $35M 11/27</t>
  </si>
  <si>
    <t>TC2001B $35M 11/27</t>
  </si>
  <si>
    <t>UNAM LOSS-TC1990B $41.665M 10/20</t>
  </si>
  <si>
    <t>TC1990B $41.665M 10/20</t>
  </si>
  <si>
    <t>TC2002A $41.665M 10/32</t>
  </si>
  <si>
    <t>JC2003A $128M 09/33</t>
  </si>
  <si>
    <t>UNAM LOSS-JC2003A $128M 09/33</t>
  </si>
  <si>
    <t>UNAM LOSS-JC1995A $40M 11/05</t>
  </si>
  <si>
    <t>JC1995A $40M 11/05</t>
  </si>
  <si>
    <t>JC2005A $40M 02/35</t>
  </si>
  <si>
    <t>UNAM LOSS-PCB JC2005A $40M 02/35</t>
  </si>
  <si>
    <t>Debt Discount Amortization</t>
  </si>
  <si>
    <t>Bond Name</t>
  </si>
  <si>
    <t xml:space="preserve">LGE -FMB DEBT DISC $250M 5yr </t>
  </si>
  <si>
    <t xml:space="preserve">LGE -FMB $250M 5yr </t>
  </si>
  <si>
    <t xml:space="preserve">LGE -FMB DEBT DISC $285M 30yr </t>
  </si>
  <si>
    <t xml:space="preserve">LGE -FMB $285M 30yr </t>
  </si>
  <si>
    <t>Amortization of Revolving Credit</t>
  </si>
  <si>
    <t>Davis Polk</t>
  </si>
  <si>
    <t>Wachovia Bank</t>
  </si>
  <si>
    <t>Write-offs</t>
  </si>
  <si>
    <t>LGE Revolving Credit $400M</t>
  </si>
  <si>
    <t>181019</t>
  </si>
  <si>
    <t>428019</t>
  </si>
  <si>
    <t>LGEvarbonds</t>
  </si>
  <si>
    <t xml:space="preserve">         LG&amp;E CALCULATION</t>
  </si>
  <si>
    <t xml:space="preserve">                              LG&amp;E CALCULATION</t>
  </si>
  <si>
    <t xml:space="preserve">JEFFERSON COUNTY 1992 SERIES A </t>
  </si>
  <si>
    <t xml:space="preserve">   TRIMBLE COUNTY 1992 SERIES A </t>
  </si>
  <si>
    <t xml:space="preserve">JEFFERSON COUNTY 1993 SERIES A </t>
  </si>
  <si>
    <t xml:space="preserve">JEFFERSON COUNTY 1996 SERIES A </t>
  </si>
  <si>
    <t xml:space="preserve">TRIMBLE COUNTY 1996 SERIES A </t>
  </si>
  <si>
    <t xml:space="preserve">JEFFERSON  COUNTY 1997 SERIES A </t>
  </si>
  <si>
    <t xml:space="preserve">TRIMBLE COUNTY 1997 SERIES A </t>
  </si>
  <si>
    <t xml:space="preserve"> GOLDMAN SACHS INTEREST RATE SWAP</t>
  </si>
  <si>
    <t xml:space="preserve">                       MORGAN STANLEY INTEREST RATE SWAP</t>
  </si>
  <si>
    <t xml:space="preserve">    BANK ONE/FIRST NATIONAL BANK OF CHICAGO INTEREST RATE SWAP</t>
  </si>
  <si>
    <t xml:space="preserve">           MORGAN STANLEY CAPITAL SERVICES INTEREST RATE SWAP</t>
  </si>
  <si>
    <t xml:space="preserve">         MORGAN GUARANTY TRUST COMPANY INTEREST RATE SWAP</t>
  </si>
  <si>
    <t xml:space="preserve">    POLLUTION CONTROL BONDS</t>
  </si>
  <si>
    <t xml:space="preserve">   CALCULATION OF BASIS DIFFERENTIAL</t>
  </si>
  <si>
    <t xml:space="preserve">                   BMA INDEX</t>
  </si>
  <si>
    <t xml:space="preserve">          (BMA INDEX IS THE SAME AS PSA INDEX PER DAN ARBOUGH)</t>
  </si>
  <si>
    <t>MATURITY DATE 11/01/2020</t>
  </si>
  <si>
    <t xml:space="preserve">  COMPOSITE RATE CALCULATION</t>
  </si>
  <si>
    <t xml:space="preserve">   COMPOSITE RATE CALCULATION</t>
  </si>
  <si>
    <t>NOTIONAL AMOUNT</t>
  </si>
  <si>
    <t>($15,000,000 as of 9/24/97)</t>
  </si>
  <si>
    <t>(IF NEGATIVE</t>
  </si>
  <si>
    <t>ANNUALIZED</t>
  </si>
  <si>
    <t>REMARKETING AGENT: SMITH BARNEY/JP MORGAN</t>
  </si>
  <si>
    <t xml:space="preserve">REMARKETING AGENT: GOLDMAN SACHS </t>
  </si>
  <si>
    <t>REMARKETING AGENT: GOLDMAN SACHS</t>
  </si>
  <si>
    <t>REMARKETING AGENT: MORGAN STANLEY</t>
  </si>
  <si>
    <t>SMITH BARNEY/</t>
  </si>
  <si>
    <t>FAVORABLE</t>
  </si>
  <si>
    <t xml:space="preserve">BMA      </t>
  </si>
  <si>
    <t>TOTAL</t>
  </si>
  <si>
    <t>LG&amp;E PAYS)</t>
  </si>
  <si>
    <t xml:space="preserve">AVERAGE </t>
  </si>
  <si>
    <t>INITIAL</t>
  </si>
  <si>
    <t>MATURITY</t>
  </si>
  <si>
    <t>J. J. KENNY</t>
  </si>
  <si>
    <t>JP MORGAN</t>
  </si>
  <si>
    <t>(UNFAVORABLE)</t>
  </si>
  <si>
    <t>CUMULATIVE</t>
  </si>
  <si>
    <t xml:space="preserve">BMA </t>
  </si>
  <si>
    <t xml:space="preserve">BMA       </t>
  </si>
  <si>
    <t>MONTHLY</t>
  </si>
  <si>
    <t>AVERAGE</t>
  </si>
  <si>
    <t xml:space="preserve">FLOATING </t>
  </si>
  <si>
    <t>FLOATING</t>
  </si>
  <si>
    <t>FIXED</t>
  </si>
  <si>
    <t>NET SWAP</t>
  </si>
  <si>
    <t>INTEREST</t>
  </si>
  <si>
    <t>DATE</t>
  </si>
  <si>
    <t>TERM</t>
  </si>
  <si>
    <t>INDEX</t>
  </si>
  <si>
    <t>PAYMENT</t>
  </si>
  <si>
    <t>DIFFERENTIAL</t>
  </si>
  <si>
    <t>PER SWAP</t>
  </si>
  <si>
    <t>RATE</t>
  </si>
  <si>
    <t>RATE LEG</t>
  </si>
  <si>
    <t>ISSUE DATE</t>
  </si>
  <si>
    <t>MATURITY DATE</t>
  </si>
  <si>
    <t>TERM RATE</t>
  </si>
  <si>
    <t>COMPOSITE RATE</t>
  </si>
  <si>
    <t>AVG. MATURITY</t>
  </si>
  <si>
    <t>EXPIRATION DATE 9-10-01</t>
  </si>
  <si>
    <t>EXPIRATION DATE 9-11-01</t>
  </si>
  <si>
    <t>(REVISED)</t>
  </si>
  <si>
    <t>TERMINATED</t>
  </si>
  <si>
    <t>EXPIRES 2/3/05</t>
  </si>
  <si>
    <t>LG&amp;E - Bank of America SWAP 12/12/03</t>
  </si>
  <si>
    <t>Ref:  3174027</t>
  </si>
  <si>
    <t xml:space="preserve">  Tele: 877-669-7369</t>
  </si>
  <si>
    <t>TREMA #4727</t>
  </si>
  <si>
    <t>LG&amp;E - MSCS SWAP 12/11/03   MSCS Ref:  AUCIN</t>
  </si>
  <si>
    <t xml:space="preserve">  Tele:  1-410-534-1479</t>
  </si>
  <si>
    <t>TREMA #4725</t>
  </si>
  <si>
    <t>LG&amp;E - MSCS SWAP 12/11/03    MSCS    Ref:AUCIP</t>
  </si>
  <si>
    <t>TREMA #4726</t>
  </si>
  <si>
    <t>LG&amp;E - WACHOVIA SWAP 12/12/03</t>
  </si>
  <si>
    <t>Ref: 305217</t>
  </si>
  <si>
    <t>800-249-3865 option4</t>
  </si>
  <si>
    <t>TREMA #4728</t>
  </si>
  <si>
    <t>LG&amp;E Pays  3.695%   and receives  68% of 1 mo LIBOR</t>
  </si>
  <si>
    <t>LG&amp;E Pays  3.657%   and receives  68% of 1 mo LIBOR</t>
  </si>
  <si>
    <t>LG&amp;E Pays  3.645%   and receives  68% of 1 mo LIBOR</t>
  </si>
  <si>
    <t>LG&amp;E Pays  3.648%   and receives  68% of 1 mo LIBOR</t>
  </si>
  <si>
    <t>DerivativesCustomerSupport@wachovia.com</t>
  </si>
  <si>
    <t>(2 London banking days prior to reset date)</t>
  </si>
  <si>
    <t>|</t>
  </si>
  <si>
    <t xml:space="preserve">ACCOUNTING DISTRIBUTION: </t>
  </si>
  <si>
    <t>Project:  122810</t>
  </si>
  <si>
    <t>Task:  $32M-10/1/33 BOA</t>
  </si>
  <si>
    <t>Task:  $32M-10/1/33 MS1</t>
  </si>
  <si>
    <t>Task:  $32M-10/1/33 MS2</t>
  </si>
  <si>
    <t>Task:  $32M-10/1/33 WAC</t>
  </si>
  <si>
    <t>Exp Type:  0699</t>
  </si>
  <si>
    <t>Exp Org:   006250</t>
  </si>
  <si>
    <t>(If negative</t>
  </si>
  <si>
    <t>Annualized</t>
  </si>
  <si>
    <t>LG&amp;E pays)</t>
  </si>
  <si>
    <t>Average</t>
  </si>
  <si>
    <t xml:space="preserve">Notional </t>
  </si>
  <si>
    <t>Day</t>
  </si>
  <si>
    <t>From</t>
  </si>
  <si>
    <t>To</t>
  </si>
  <si>
    <t>Floating</t>
  </si>
  <si>
    <t>Net Swap</t>
  </si>
  <si>
    <t>Amount</t>
  </si>
  <si>
    <t>Count</t>
  </si>
  <si>
    <t>Date</t>
  </si>
  <si>
    <t>Rate Leg</t>
  </si>
  <si>
    <t>Payments</t>
  </si>
  <si>
    <t>Payment</t>
  </si>
  <si>
    <t>THIS SWAP HAS BEEN TERMINATED:  LG&amp;E AGREED TO PAY $9,950,000 ON DECEMBER 16, 2008.</t>
  </si>
  <si>
    <t>Money Pool and Intercompany Statements - 2014</t>
  </si>
  <si>
    <t>POOL - LGE</t>
  </si>
  <si>
    <t>AVG</t>
  </si>
  <si>
    <t>Debt</t>
  </si>
  <si>
    <t>Monthly</t>
  </si>
  <si>
    <t>Accounting</t>
  </si>
  <si>
    <t>Avg Interest</t>
  </si>
  <si>
    <t>Avg Pool Balance</t>
  </si>
  <si>
    <t>Manual</t>
  </si>
  <si>
    <t>Debit</t>
  </si>
  <si>
    <t>Credit</t>
  </si>
  <si>
    <t xml:space="preserve">Balance </t>
  </si>
  <si>
    <t>Interest Total</t>
  </si>
  <si>
    <t>Adjustment</t>
  </si>
  <si>
    <t>(ECR)</t>
  </si>
  <si>
    <t>Pool Balance</t>
  </si>
  <si>
    <t>Beginning balance</t>
  </si>
  <si>
    <t>LG&amp;E and KU Energy LLC</t>
  </si>
  <si>
    <t>Debt Maturity Schedule</t>
  </si>
  <si>
    <t>Swap Expiry</t>
  </si>
  <si>
    <t>INCLUDING REACQUIRED BONDS</t>
  </si>
  <si>
    <t>EXCLUDING REACQUIRED BONDS</t>
  </si>
  <si>
    <t>Individual Companies</t>
  </si>
  <si>
    <t>Consolidated</t>
  </si>
  <si>
    <t>External</t>
  </si>
  <si>
    <t>Affiliated</t>
  </si>
  <si>
    <t>Louisville Gas &amp; Electric Company</t>
  </si>
  <si>
    <t>Make</t>
  </si>
  <si>
    <t>Remarketing</t>
  </si>
  <si>
    <t>First Call</t>
  </si>
  <si>
    <t>Current</t>
  </si>
  <si>
    <t>Non-current</t>
  </si>
  <si>
    <t>Wtd average</t>
  </si>
  <si>
    <t>Current Wtd average</t>
  </si>
  <si>
    <t>Non-current Wtd average</t>
  </si>
  <si>
    <t>Issue Date</t>
  </si>
  <si>
    <t>CUSIP</t>
  </si>
  <si>
    <t>Coupon</t>
  </si>
  <si>
    <t>Insurer</t>
  </si>
  <si>
    <t>Put Date</t>
  </si>
  <si>
    <t>Whole</t>
  </si>
  <si>
    <t>Agent</t>
  </si>
  <si>
    <t>Effective Rate @ 12/31/09</t>
  </si>
  <si>
    <t>First Mortgage Bonds</t>
  </si>
  <si>
    <t>November 15, 2015</t>
  </si>
  <si>
    <t>546676AS6</t>
  </si>
  <si>
    <t>T+10</t>
  </si>
  <si>
    <t>November 15, 2040</t>
  </si>
  <si>
    <t>546676AU1</t>
  </si>
  <si>
    <t>T+20</t>
  </si>
  <si>
    <t>May 15, 2040</t>
  </si>
  <si>
    <t>Sub-total taxable FMB's</t>
  </si>
  <si>
    <t>Pollution Control Bonds - secured</t>
  </si>
  <si>
    <t>May 1, 2027</t>
  </si>
  <si>
    <t>Series Y</t>
  </si>
  <si>
    <t>LG&amp;E Jefferson Co. 2000 Series A</t>
  </si>
  <si>
    <t>Uninsured</t>
  </si>
  <si>
    <t>Morgan Stanley (Bonds owned by SunTrust)</t>
  </si>
  <si>
    <t>Non-AMT</t>
  </si>
  <si>
    <t>Series Z</t>
  </si>
  <si>
    <t>896224AS1</t>
  </si>
  <si>
    <t>LG&amp;E Trimble County 2000 Series A</t>
  </si>
  <si>
    <t>Ambac</t>
  </si>
  <si>
    <t>JP Morgan and Goldman</t>
  </si>
  <si>
    <t>AMT</t>
  </si>
  <si>
    <t>September 1, 2027</t>
  </si>
  <si>
    <t>Series AA</t>
  </si>
  <si>
    <t>47302PAA8</t>
  </si>
  <si>
    <t>LG&amp;E Jefferson Co. 2001 Series A</t>
  </si>
  <si>
    <t>Morgan Stanley</t>
  </si>
  <si>
    <t>September 1, 2026</t>
  </si>
  <si>
    <t>Series BB</t>
  </si>
  <si>
    <t>473044BV6</t>
  </si>
  <si>
    <t>Merrill Lynch</t>
  </si>
  <si>
    <t>Series CC</t>
  </si>
  <si>
    <t>896224AT9</t>
  </si>
  <si>
    <t>LG&amp;E Trimble County 2001 Series A</t>
  </si>
  <si>
    <t>November 1, 2027</t>
  </si>
  <si>
    <t>Series DD</t>
  </si>
  <si>
    <t>473044BW4</t>
  </si>
  <si>
    <t>LG&amp;E Jefferson Co. 2001 Series B</t>
  </si>
  <si>
    <t>Series EE</t>
  </si>
  <si>
    <t>896224AU6</t>
  </si>
  <si>
    <t>LG&amp;E Trimble County 2001 Series B</t>
  </si>
  <si>
    <t>October 1, 2032</t>
  </si>
  <si>
    <t>Series FF</t>
  </si>
  <si>
    <t>896224AV4</t>
  </si>
  <si>
    <t>LG&amp;E Trimble County 2002 Series A</t>
  </si>
  <si>
    <t>UBS Paine Webber</t>
  </si>
  <si>
    <t>October 1, 2033</t>
  </si>
  <si>
    <t>Series GG</t>
  </si>
  <si>
    <t>546749AJ1</t>
  </si>
  <si>
    <t>LG&amp;E Louisville Metro 2003 Series A</t>
  </si>
  <si>
    <t>February 1 2035</t>
  </si>
  <si>
    <t>Series HH</t>
  </si>
  <si>
    <t>LG&amp;E Louisville Metro 2005 Series A</t>
  </si>
  <si>
    <t>Goldman</t>
  </si>
  <si>
    <t>June 1, 2033</t>
  </si>
  <si>
    <t>896221AA6</t>
  </si>
  <si>
    <t>LG&amp;E Trimble County 2007 Series A</t>
  </si>
  <si>
    <t>546751AG3</t>
  </si>
  <si>
    <t>LG&amp;E Louisville Metro 2007 Series B</t>
  </si>
  <si>
    <t>JP Morgan</t>
  </si>
  <si>
    <t>546751AE8</t>
  </si>
  <si>
    <t>LG&amp;E Louisville Metro 2007 Series A</t>
  </si>
  <si>
    <t>US Bank</t>
  </si>
  <si>
    <t>Sub-total - tax-exempt bonds</t>
  </si>
  <si>
    <t>Commercial paper</t>
  </si>
  <si>
    <t>LG&amp;E line of credit - Wells Fargo</t>
  </si>
  <si>
    <t>Total Louisville Gas and Electric</t>
  </si>
  <si>
    <t>November 1, 2015</t>
  </si>
  <si>
    <t>491674BC0</t>
  </si>
  <si>
    <t>November 1, 2020</t>
  </si>
  <si>
    <t>491674BE6</t>
  </si>
  <si>
    <t>T+15</t>
  </si>
  <si>
    <t>August 1, 2020</t>
  </si>
  <si>
    <t>November 1, 2040</t>
  </si>
  <si>
    <t>491674BG1</t>
  </si>
  <si>
    <t>May 1, 2040</t>
  </si>
  <si>
    <t>491674BF3</t>
  </si>
  <si>
    <t>May 1, 2023</t>
  </si>
  <si>
    <t>PCS 11</t>
  </si>
  <si>
    <t>587829AC6</t>
  </si>
  <si>
    <t>KU Mercer County 2000 Series A</t>
  </si>
  <si>
    <t>Sumitomo LC</t>
  </si>
  <si>
    <t>PCS 16</t>
  </si>
  <si>
    <t>144838AC3</t>
  </si>
  <si>
    <t>KU Carroll County 2002 Series C</t>
  </si>
  <si>
    <t>Citi and BoA</t>
  </si>
  <si>
    <t>February 1, 2032</t>
  </si>
  <si>
    <t>PCS 12</t>
  </si>
  <si>
    <t>144838AA7</t>
  </si>
  <si>
    <t>KU Carroll County 2002 Series A</t>
  </si>
  <si>
    <t>PCS 13</t>
  </si>
  <si>
    <t>144838AB5</t>
  </si>
  <si>
    <t>KU Carroll County 2002 Series B</t>
  </si>
  <si>
    <t>PCS 14</t>
  </si>
  <si>
    <t>62479PAA4</t>
  </si>
  <si>
    <t>KU Muhlenberg County 2002 Series A</t>
  </si>
  <si>
    <t>PCS 15</t>
  </si>
  <si>
    <t>587824AA1</t>
  </si>
  <si>
    <t>KU Mercer County 2002 Series A</t>
  </si>
  <si>
    <t>10/17/0008</t>
  </si>
  <si>
    <t>14483RAN7</t>
  </si>
  <si>
    <t>KU Carroll County 2008 Series A</t>
  </si>
  <si>
    <t>BoA</t>
  </si>
  <si>
    <t>eligible for non-AMT in 2010</t>
  </si>
  <si>
    <t>October 1, 2034</t>
  </si>
  <si>
    <t>PCS 17</t>
  </si>
  <si>
    <t>14483RAM9</t>
  </si>
  <si>
    <t>KU Carroll County 2004 Series A</t>
  </si>
  <si>
    <t>Merrill, Morgan Stanley</t>
  </si>
  <si>
    <t>14483RAP2</t>
  </si>
  <si>
    <t>KU Carroll County 2006 Series B</t>
  </si>
  <si>
    <t>February 1, 2026</t>
  </si>
  <si>
    <t>14483RAH0</t>
  </si>
  <si>
    <t>KU Carroll County 2007 Series A</t>
  </si>
  <si>
    <t>6/1/2018 call date</t>
  </si>
  <si>
    <t>Lehman</t>
  </si>
  <si>
    <t>March 1, 2037</t>
  </si>
  <si>
    <t>896221AC2</t>
  </si>
  <si>
    <t>KU Trimble County 2007 Series A</t>
  </si>
  <si>
    <t>KU line of credit - Wells Fargo</t>
  </si>
  <si>
    <t>Total Kentucky Utilities</t>
  </si>
  <si>
    <t>Short-term from PPL Investment Corporation</t>
  </si>
  <si>
    <t>Community Bank Credit Facility</t>
  </si>
  <si>
    <t>50188FAA3</t>
  </si>
  <si>
    <t>50188FAB1</t>
  </si>
  <si>
    <t>November 15, 2020</t>
  </si>
  <si>
    <t>50188FAD7</t>
  </si>
  <si>
    <t>T+25</t>
  </si>
  <si>
    <t>August 15, 2020</t>
  </si>
  <si>
    <t>October 1, 2021</t>
  </si>
  <si>
    <t>50188FAE5</t>
  </si>
  <si>
    <t>T+37.5</t>
  </si>
  <si>
    <t>July 1, 2021</t>
  </si>
  <si>
    <t>Total LG&amp;E and KU Energy LLC</t>
  </si>
  <si>
    <t>Grand Total</t>
  </si>
  <si>
    <t>Current External Debt</t>
  </si>
  <si>
    <t>Current Affiliate Debt</t>
  </si>
  <si>
    <t>p.16&amp;45</t>
  </si>
  <si>
    <t>(Note 1)</t>
  </si>
  <si>
    <t>Note 1</t>
  </si>
  <si>
    <t>UNAM LOSS-JC1993B $26M 11/03</t>
  </si>
  <si>
    <t>JC1993B $26M 11/03</t>
  </si>
  <si>
    <t>546749AF9</t>
  </si>
  <si>
    <t>AVG INT RATE - Beg May 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</si>
</sst>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_)"/>
    <numFmt numFmtId="166" formatCode="0.000%"/>
    <numFmt numFmtId="167" formatCode="#,##0.000_);\(#,##0.000\)"/>
    <numFmt numFmtId="168" formatCode="0.000_)"/>
    <numFmt numFmtId="169" formatCode="_(* #,##0_);_(* \(#,##0\);_(* &quot;-&quot;??_);_(@_)"/>
    <numFmt numFmtId="170" formatCode="_(* #,##0.000_);_(* \(#,##0.000\);_(* &quot;-&quot;??_);_(@_)"/>
    <numFmt numFmtId="171" formatCode="0.0000%"/>
    <numFmt numFmtId="172" formatCode="0.00000%"/>
    <numFmt numFmtId="173" formatCode="0.000000%"/>
    <numFmt numFmtId="174" formatCode="0_);\(0\)"/>
    <numFmt numFmtId="175" formatCode="&quot;$&quot;#,##0"/>
    <numFmt numFmtId="176" formatCode="&quot;$&quot;#,##0.00\ ;\(&quot;$&quot;#,##0.00\)"/>
    <numFmt numFmtId="177" formatCode="[$-409]mmm\-yy;@"/>
    <numFmt numFmtId="178" formatCode="[$-409]d\-mmm\-yy;@"/>
    <numFmt numFmtId="179" formatCode="0.000"/>
    <numFmt numFmtId="180" formatCode="0.0000000"/>
    <numFmt numFmtId="181" formatCode="0.000000"/>
    <numFmt numFmtId="182" formatCode="0.000_);\(0.000\)"/>
    <numFmt numFmtId="183" formatCode="&quot;$&quot;#,##0\ ;\(&quot;$&quot;#,##0\)"/>
    <numFmt numFmtId="184" formatCode="General_)"/>
    <numFmt numFmtId="185" formatCode="mm/dd/yy;@"/>
    <numFmt numFmtId="186" formatCode="mm/dd/yy"/>
    <numFmt numFmtId="187" formatCode="[$-409]mmmm\-yy;@"/>
    <numFmt numFmtId="188" formatCode="#,##0.00;[Red]\(#,##0.00\)"/>
    <numFmt numFmtId="189" formatCode="dd\-mmm\-yy_)"/>
    <numFmt numFmtId="190" formatCode="0.0_)"/>
    <numFmt numFmtId="191" formatCode="0.0"/>
    <numFmt numFmtId="192" formatCode="#,##0.0"/>
    <numFmt numFmtId="193" formatCode="_-&quot;$&quot;* #,##0.00_-;\-&quot;$&quot;* #,##0.00_-;_-&quot;$&quot;* &quot;-&quot;??_-;_-@_-"/>
    <numFmt numFmtId="194" formatCode="#,##0.0_);\(#,##0.0\)"/>
    <numFmt numFmtId="195" formatCode="#,##0.00_ ;\-#,##0.00\ "/>
    <numFmt numFmtId="196" formatCode="_-* #,##0.00_-;\-* #,##0.00_-;_-* &quot;-&quot;??_-;_-@_-"/>
    <numFmt numFmtId="197" formatCode="_(&quot;$&quot;* #,##0_);_(&quot;$&quot;* \(#,##0\);_(&quot;$&quot;* &quot;-&quot;??_);_(@_)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Helv"/>
    </font>
    <font>
      <b/>
      <sz val="16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1"/>
      <color rgb="FF006100"/>
      <name val="Calibri"/>
      <family val="2"/>
      <scheme val="minor"/>
    </font>
    <font>
      <b/>
      <sz val="12"/>
      <color rgb="FF0000FF"/>
      <name val="Arial"/>
      <family val="2"/>
    </font>
    <font>
      <sz val="13"/>
      <color rgb="FF0000FF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3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color indexed="12"/>
      <name val="Helv"/>
    </font>
    <font>
      <b/>
      <sz val="12"/>
      <color indexed="12"/>
      <name val="Helv"/>
    </font>
    <font>
      <u/>
      <sz val="12"/>
      <name val="Helv"/>
    </font>
    <font>
      <u/>
      <sz val="12"/>
      <color indexed="12"/>
      <name val="Helv"/>
    </font>
    <font>
      <sz val="12"/>
      <color indexed="10"/>
      <name val="Helv"/>
    </font>
    <font>
      <b/>
      <sz val="20"/>
      <color indexed="10"/>
      <name val="Arial Black"/>
      <family val="2"/>
    </font>
    <font>
      <b/>
      <sz val="12"/>
      <name val="Helv"/>
    </font>
    <font>
      <u/>
      <sz val="10"/>
      <name val="Arial"/>
      <family val="2"/>
    </font>
    <font>
      <b/>
      <sz val="12"/>
      <color indexed="10"/>
      <name val="Helv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u val="singleAccounting"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2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84" fontId="3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11" borderId="0" applyNumberFormat="0" applyBorder="0" applyAlignment="0" applyProtection="0"/>
    <xf numFmtId="0" fontId="38" fillId="6" borderId="14" applyNumberFormat="0" applyAlignment="0" applyProtection="0"/>
    <xf numFmtId="43" fontId="2" fillId="0" borderId="0" applyFont="0" applyFill="0" applyBorder="0" applyAlignment="0" applyProtection="0"/>
    <xf numFmtId="0" fontId="39" fillId="5" borderId="14" applyNumberFormat="0" applyAlignment="0" applyProtection="0"/>
    <xf numFmtId="0" fontId="4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5" fillId="0" borderId="0"/>
    <xf numFmtId="0" fontId="2" fillId="0" borderId="0"/>
    <xf numFmtId="0" fontId="3" fillId="0" borderId="0"/>
    <xf numFmtId="44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12" borderId="0">
      <alignment horizontal="left"/>
    </xf>
    <xf numFmtId="0" fontId="50" fillId="12" borderId="0">
      <alignment horizontal="right"/>
    </xf>
    <xf numFmtId="0" fontId="51" fillId="13" borderId="0">
      <alignment horizontal="center"/>
    </xf>
    <xf numFmtId="0" fontId="50" fillId="12" borderId="0">
      <alignment horizontal="right"/>
    </xf>
    <xf numFmtId="0" fontId="52" fillId="13" borderId="0">
      <alignment horizontal="left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9" fillId="12" borderId="0">
      <alignment horizontal="left"/>
    </xf>
    <xf numFmtId="0" fontId="56" fillId="13" borderId="0">
      <alignment horizontal="left"/>
    </xf>
    <xf numFmtId="0" fontId="2" fillId="0" borderId="0"/>
    <xf numFmtId="0" fontId="2" fillId="0" borderId="0"/>
    <xf numFmtId="0" fontId="3" fillId="0" borderId="0"/>
    <xf numFmtId="187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188" fontId="57" fillId="13" borderId="0">
      <alignment horizontal="right"/>
    </xf>
    <xf numFmtId="0" fontId="58" fillId="14" borderId="0">
      <alignment horizontal="center"/>
    </xf>
    <xf numFmtId="0" fontId="49" fillId="15" borderId="0"/>
    <xf numFmtId="0" fontId="59" fillId="13" borderId="0" applyBorder="0">
      <alignment horizontal="centerContinuous"/>
    </xf>
    <xf numFmtId="0" fontId="60" fillId="15" borderId="0" applyBorder="0">
      <alignment horizontal="centerContinuous"/>
    </xf>
    <xf numFmtId="0" fontId="1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56" fillId="16" borderId="0">
      <alignment horizontal="center"/>
    </xf>
    <xf numFmtId="49" fontId="62" fillId="13" borderId="0">
      <alignment horizontal="center"/>
    </xf>
    <xf numFmtId="0" fontId="50" fillId="12" borderId="0">
      <alignment horizontal="center"/>
    </xf>
    <xf numFmtId="0" fontId="50" fillId="12" borderId="0">
      <alignment horizontal="centerContinuous"/>
    </xf>
    <xf numFmtId="0" fontId="63" fillId="13" borderId="0">
      <alignment horizontal="left"/>
    </xf>
    <xf numFmtId="49" fontId="63" fillId="13" borderId="0">
      <alignment horizontal="center"/>
    </xf>
    <xf numFmtId="0" fontId="49" fillId="12" borderId="0">
      <alignment horizontal="left"/>
    </xf>
    <xf numFmtId="49" fontId="63" fillId="13" borderId="0">
      <alignment horizontal="left"/>
    </xf>
    <xf numFmtId="0" fontId="49" fillId="12" borderId="0">
      <alignment horizontal="centerContinuous"/>
    </xf>
    <xf numFmtId="0" fontId="49" fillId="12" borderId="0">
      <alignment horizontal="right"/>
    </xf>
    <xf numFmtId="49" fontId="56" fillId="13" borderId="0">
      <alignment horizontal="left"/>
    </xf>
    <xf numFmtId="0" fontId="50" fillId="12" borderId="0">
      <alignment horizontal="right"/>
    </xf>
    <xf numFmtId="0" fontId="63" fillId="17" borderId="0">
      <alignment horizontal="center"/>
    </xf>
    <xf numFmtId="0" fontId="64" fillId="17" borderId="0">
      <alignment horizontal="center"/>
    </xf>
    <xf numFmtId="0" fontId="65" fillId="13" borderId="0">
      <alignment horizontal="center"/>
    </xf>
    <xf numFmtId="0" fontId="32" fillId="0" borderId="0"/>
    <xf numFmtId="19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</cellStyleXfs>
  <cellXfs count="652">
    <xf numFmtId="0" fontId="0" fillId="0" borderId="0" xfId="0"/>
    <xf numFmtId="0" fontId="4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6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9" fillId="0" borderId="0" xfId="0" applyFont="1" applyFill="1" applyBorder="1"/>
    <xf numFmtId="0" fontId="11" fillId="0" borderId="0" xfId="0" applyFont="1" applyFill="1"/>
    <xf numFmtId="37" fontId="4" fillId="0" borderId="0" xfId="0" applyNumberFormat="1" applyFont="1" applyFill="1"/>
    <xf numFmtId="2" fontId="4" fillId="0" borderId="0" xfId="0" applyNumberFormat="1" applyFont="1" applyFill="1"/>
    <xf numFmtId="4" fontId="4" fillId="0" borderId="0" xfId="0" applyNumberFormat="1" applyFont="1" applyFill="1"/>
    <xf numFmtId="39" fontId="4" fillId="0" borderId="0" xfId="0" applyNumberFormat="1" applyFont="1" applyFill="1"/>
    <xf numFmtId="169" fontId="4" fillId="0" borderId="0" xfId="0" applyNumberFormat="1" applyFont="1" applyFill="1"/>
    <xf numFmtId="168" fontId="4" fillId="0" borderId="0" xfId="0" applyNumberFormat="1" applyFont="1" applyFill="1"/>
    <xf numFmtId="0" fontId="4" fillId="0" borderId="0" xfId="0" applyFont="1" applyFill="1" applyAlignment="1"/>
    <xf numFmtId="37" fontId="4" fillId="0" borderId="6" xfId="0" applyNumberFormat="1" applyFont="1" applyFill="1" applyBorder="1"/>
    <xf numFmtId="0" fontId="11" fillId="0" borderId="0" xfId="0" applyFont="1" applyFill="1" applyAlignment="1"/>
    <xf numFmtId="168" fontId="4" fillId="0" borderId="6" xfId="0" applyNumberFormat="1" applyFont="1" applyFill="1" applyBorder="1"/>
    <xf numFmtId="39" fontId="4" fillId="0" borderId="10" xfId="0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39" fontId="14" fillId="0" borderId="5" xfId="0" applyNumberFormat="1" applyFont="1" applyFill="1" applyBorder="1"/>
    <xf numFmtId="37" fontId="14" fillId="0" borderId="0" xfId="0" applyNumberFormat="1" applyFont="1" applyFill="1" applyBorder="1"/>
    <xf numFmtId="166" fontId="14" fillId="0" borderId="0" xfId="0" applyNumberFormat="1" applyFont="1" applyFill="1" applyBorder="1"/>
    <xf numFmtId="169" fontId="14" fillId="0" borderId="6" xfId="0" applyNumberFormat="1" applyFont="1" applyFill="1" applyBorder="1"/>
    <xf numFmtId="41" fontId="14" fillId="0" borderId="6" xfId="0" applyNumberFormat="1" applyFont="1" applyFill="1" applyBorder="1"/>
    <xf numFmtId="169" fontId="14" fillId="0" borderId="0" xfId="0" applyNumberFormat="1" applyFont="1" applyFill="1" applyBorder="1"/>
    <xf numFmtId="170" fontId="14" fillId="0" borderId="5" xfId="0" applyNumberFormat="1" applyFont="1" applyFill="1" applyBorder="1"/>
    <xf numFmtId="0" fontId="14" fillId="0" borderId="9" xfId="0" applyFont="1" applyFill="1" applyBorder="1"/>
    <xf numFmtId="0" fontId="14" fillId="0" borderId="6" xfId="0" applyFont="1" applyFill="1" applyBorder="1"/>
    <xf numFmtId="0" fontId="14" fillId="0" borderId="1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68" fontId="14" fillId="0" borderId="0" xfId="0" applyNumberFormat="1" applyFont="1" applyFill="1"/>
    <xf numFmtId="37" fontId="14" fillId="0" borderId="0" xfId="0" applyNumberFormat="1" applyFont="1" applyFill="1"/>
    <xf numFmtId="166" fontId="14" fillId="0" borderId="0" xfId="0" applyNumberFormat="1" applyFont="1" applyFill="1"/>
    <xf numFmtId="37" fontId="14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37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/>
    <xf numFmtId="37" fontId="14" fillId="0" borderId="6" xfId="0" applyNumberFormat="1" applyFont="1" applyFill="1" applyBorder="1"/>
    <xf numFmtId="0" fontId="14" fillId="0" borderId="10" xfId="0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71" fontId="14" fillId="0" borderId="0" xfId="0" applyNumberFormat="1" applyFont="1" applyFill="1" applyBorder="1"/>
    <xf numFmtId="167" fontId="14" fillId="0" borderId="5" xfId="0" applyNumberFormat="1" applyFont="1" applyFill="1" applyBorder="1"/>
    <xf numFmtId="168" fontId="14" fillId="0" borderId="0" xfId="0" applyNumberFormat="1" applyFont="1" applyFill="1" applyBorder="1"/>
    <xf numFmtId="0" fontId="16" fillId="0" borderId="4" xfId="0" applyFont="1" applyFill="1" applyBorder="1"/>
    <xf numFmtId="43" fontId="14" fillId="0" borderId="0" xfId="0" applyNumberFormat="1" applyFont="1" applyFill="1" applyBorder="1"/>
    <xf numFmtId="39" fontId="14" fillId="0" borderId="0" xfId="0" applyNumberFormat="1" applyFont="1" applyFill="1" applyBorder="1"/>
    <xf numFmtId="2" fontId="14" fillId="0" borderId="0" xfId="0" applyNumberFormat="1" applyFont="1" applyFill="1" applyBorder="1"/>
    <xf numFmtId="0" fontId="18" fillId="0" borderId="0" xfId="0" applyFont="1" applyFill="1" applyBorder="1"/>
    <xf numFmtId="0" fontId="17" fillId="0" borderId="0" xfId="0" applyFont="1" applyFill="1"/>
    <xf numFmtId="0" fontId="21" fillId="0" borderId="0" xfId="0" applyFont="1" applyFill="1" applyBorder="1"/>
    <xf numFmtId="169" fontId="21" fillId="0" borderId="0" xfId="0" applyNumberFormat="1" applyFont="1" applyFill="1" applyBorder="1"/>
    <xf numFmtId="0" fontId="21" fillId="0" borderId="6" xfId="0" applyFont="1" applyFill="1" applyBorder="1"/>
    <xf numFmtId="0" fontId="21" fillId="0" borderId="0" xfId="0" applyFont="1" applyFill="1"/>
    <xf numFmtId="0" fontId="19" fillId="0" borderId="0" xfId="0" applyFont="1" applyFill="1" applyBorder="1" applyAlignment="1">
      <alignment horizontal="center"/>
    </xf>
    <xf numFmtId="43" fontId="14" fillId="0" borderId="4" xfId="1" applyFont="1" applyFill="1" applyBorder="1"/>
    <xf numFmtId="43" fontId="4" fillId="0" borderId="4" xfId="1" applyFont="1" applyFill="1" applyBorder="1"/>
    <xf numFmtId="43" fontId="14" fillId="0" borderId="0" xfId="1" applyFont="1" applyFill="1" applyBorder="1" applyAlignment="1">
      <alignment horizontal="center"/>
    </xf>
    <xf numFmtId="43" fontId="4" fillId="0" borderId="0" xfId="1" applyFont="1" applyFill="1"/>
    <xf numFmtId="169" fontId="4" fillId="0" borderId="0" xfId="1" applyNumberFormat="1" applyFont="1" applyFill="1"/>
    <xf numFmtId="37" fontId="14" fillId="0" borderId="13" xfId="0" applyNumberFormat="1" applyFont="1" applyFill="1" applyBorder="1"/>
    <xf numFmtId="166" fontId="14" fillId="0" borderId="5" xfId="2" applyNumberFormat="1" applyFont="1" applyFill="1" applyBorder="1"/>
    <xf numFmtId="166" fontId="16" fillId="0" borderId="12" xfId="0" applyNumberFormat="1" applyFont="1" applyFill="1" applyBorder="1"/>
    <xf numFmtId="166" fontId="16" fillId="0" borderId="8" xfId="0" applyNumberFormat="1" applyFont="1" applyFill="1" applyBorder="1"/>
    <xf numFmtId="42" fontId="14" fillId="0" borderId="0" xfId="0" applyNumberFormat="1" applyFont="1" applyFill="1" applyBorder="1"/>
    <xf numFmtId="42" fontId="9" fillId="0" borderId="0" xfId="0" applyNumberFormat="1" applyFont="1" applyFill="1" applyBorder="1"/>
    <xf numFmtId="42" fontId="14" fillId="0" borderId="11" xfId="0" applyNumberFormat="1" applyFont="1" applyFill="1" applyBorder="1"/>
    <xf numFmtId="42" fontId="21" fillId="0" borderId="0" xfId="0" applyNumberFormat="1" applyFont="1" applyFill="1" applyBorder="1" applyAlignment="1">
      <alignment horizontal="center"/>
    </xf>
    <xf numFmtId="42" fontId="21" fillId="0" borderId="0" xfId="0" applyNumberFormat="1" applyFont="1" applyFill="1" applyBorder="1"/>
    <xf numFmtId="42" fontId="14" fillId="0" borderId="7" xfId="0" applyNumberFormat="1" applyFont="1" applyFill="1" applyBorder="1"/>
    <xf numFmtId="42" fontId="14" fillId="0" borderId="0" xfId="0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2" fontId="14" fillId="0" borderId="7" xfId="0" applyNumberFormat="1" applyFont="1" applyFill="1" applyBorder="1" applyAlignment="1">
      <alignment horizontal="center"/>
    </xf>
    <xf numFmtId="42" fontId="14" fillId="0" borderId="13" xfId="0" applyNumberFormat="1" applyFont="1" applyFill="1" applyBorder="1"/>
    <xf numFmtId="42" fontId="21" fillId="0" borderId="0" xfId="0" applyNumberFormat="1" applyFont="1" applyFill="1"/>
    <xf numFmtId="42" fontId="14" fillId="0" borderId="0" xfId="0" applyNumberFormat="1" applyFont="1" applyFill="1"/>
    <xf numFmtId="172" fontId="14" fillId="0" borderId="0" xfId="0" applyNumberFormat="1" applyFont="1" applyFill="1" applyBorder="1"/>
    <xf numFmtId="41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26" fillId="0" borderId="0" xfId="0" applyNumberFormat="1" applyFont="1" applyFill="1" applyAlignment="1">
      <alignment horizontal="center"/>
    </xf>
    <xf numFmtId="41" fontId="26" fillId="0" borderId="0" xfId="0" applyNumberFormat="1" applyFont="1" applyFill="1" applyBorder="1"/>
    <xf numFmtId="0" fontId="4" fillId="0" borderId="6" xfId="0" applyFont="1" applyFill="1" applyBorder="1" applyAlignment="1">
      <alignment horizontal="center"/>
    </xf>
    <xf numFmtId="166" fontId="14" fillId="4" borderId="0" xfId="0" applyNumberFormat="1" applyFont="1" applyFill="1" applyBorder="1"/>
    <xf numFmtId="42" fontId="14" fillId="4" borderId="0" xfId="0" applyNumberFormat="1" applyFont="1" applyFill="1" applyBorder="1"/>
    <xf numFmtId="41" fontId="26" fillId="4" borderId="0" xfId="0" applyNumberFormat="1" applyFont="1" applyFill="1" applyBorder="1"/>
    <xf numFmtId="41" fontId="14" fillId="4" borderId="0" xfId="0" applyNumberFormat="1" applyFont="1" applyFill="1" applyBorder="1"/>
    <xf numFmtId="10" fontId="30" fillId="0" borderId="0" xfId="0" applyNumberFormat="1" applyFont="1" applyFill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166" fontId="14" fillId="0" borderId="0" xfId="0" applyNumberFormat="1" applyFont="1" applyFill="1" applyAlignment="1">
      <alignment horizontal="center"/>
    </xf>
    <xf numFmtId="41" fontId="14" fillId="0" borderId="6" xfId="0" applyNumberFormat="1" applyFont="1" applyFill="1" applyBorder="1" applyAlignment="1">
      <alignment horizontal="center"/>
    </xf>
    <xf numFmtId="166" fontId="14" fillId="0" borderId="10" xfId="2" applyNumberFormat="1" applyFont="1" applyFill="1" applyBorder="1"/>
    <xf numFmtId="41" fontId="14" fillId="4" borderId="6" xfId="0" applyNumberFormat="1" applyFont="1" applyFill="1" applyBorder="1"/>
    <xf numFmtId="166" fontId="26" fillId="4" borderId="0" xfId="0" applyNumberFormat="1" applyFont="1" applyFill="1" applyBorder="1"/>
    <xf numFmtId="0" fontId="4" fillId="0" borderId="6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right"/>
    </xf>
    <xf numFmtId="41" fontId="14" fillId="4" borderId="0" xfId="0" applyNumberFormat="1" applyFont="1" applyFill="1" applyBorder="1" applyAlignment="1">
      <alignment horizontal="center"/>
    </xf>
    <xf numFmtId="41" fontId="14" fillId="0" borderId="0" xfId="0" applyNumberFormat="1" applyFont="1" applyFill="1" applyBorder="1" applyAlignment="1">
      <alignment horizontal="left"/>
    </xf>
    <xf numFmtId="37" fontId="4" fillId="0" borderId="2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174" fontId="31" fillId="0" borderId="0" xfId="0" applyNumberFormat="1" applyFont="1" applyFill="1" applyBorder="1"/>
    <xf numFmtId="0" fontId="14" fillId="0" borderId="4" xfId="0" applyFont="1" applyFill="1" applyBorder="1" applyAlignment="1">
      <alignment wrapText="1"/>
    </xf>
    <xf numFmtId="37" fontId="4" fillId="0" borderId="0" xfId="0" applyNumberFormat="1" applyFont="1" applyFill="1" applyBorder="1"/>
    <xf numFmtId="0" fontId="14" fillId="0" borderId="6" xfId="0" applyFont="1" applyFill="1" applyBorder="1" applyAlignment="1">
      <alignment horizontal="center"/>
    </xf>
    <xf numFmtId="0" fontId="3" fillId="7" borderId="0" xfId="4" applyFill="1"/>
    <xf numFmtId="0" fontId="3" fillId="0" borderId="0" xfId="4"/>
    <xf numFmtId="177" fontId="20" fillId="0" borderId="0" xfId="4" applyNumberFormat="1" applyFont="1"/>
    <xf numFmtId="178" fontId="3" fillId="0" borderId="0" xfId="4" applyNumberFormat="1" applyAlignment="1">
      <alignment horizontal="right"/>
    </xf>
    <xf numFmtId="2" fontId="3" fillId="0" borderId="0" xfId="4" applyNumberFormat="1"/>
    <xf numFmtId="4" fontId="7" fillId="8" borderId="0" xfId="4" applyNumberFormat="1" applyFont="1" applyFill="1" applyAlignment="1">
      <alignment horizontal="center" wrapText="1"/>
    </xf>
    <xf numFmtId="0" fontId="7" fillId="9" borderId="0" xfId="4" applyFont="1" applyFill="1" applyAlignment="1">
      <alignment horizontal="center" wrapText="1"/>
    </xf>
    <xf numFmtId="178" fontId="7" fillId="10" borderId="0" xfId="4" applyNumberFormat="1" applyFont="1" applyFill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3" fillId="0" borderId="0" xfId="4" applyAlignment="1">
      <alignment horizontal="center"/>
    </xf>
    <xf numFmtId="0" fontId="3" fillId="7" borderId="0" xfId="4" applyFill="1" applyAlignment="1">
      <alignment horizontal="center"/>
    </xf>
    <xf numFmtId="4" fontId="3" fillId="0" borderId="0" xfId="4" applyNumberFormat="1"/>
    <xf numFmtId="4" fontId="7" fillId="8" borderId="0" xfId="4" applyNumberFormat="1" applyFont="1" applyFill="1" applyAlignment="1">
      <alignment wrapText="1"/>
    </xf>
    <xf numFmtId="0" fontId="3" fillId="9" borderId="0" xfId="4" applyFill="1"/>
    <xf numFmtId="0" fontId="3" fillId="10" borderId="0" xfId="4" applyFill="1"/>
    <xf numFmtId="179" fontId="3" fillId="0" borderId="0" xfId="4" applyNumberFormat="1"/>
    <xf numFmtId="179" fontId="7" fillId="9" borderId="0" xfId="4" applyNumberFormat="1" applyFont="1" applyFill="1"/>
    <xf numFmtId="179" fontId="7" fillId="10" borderId="0" xfId="4" applyNumberFormat="1" applyFont="1" applyFill="1"/>
    <xf numFmtId="179" fontId="7" fillId="7" borderId="0" xfId="4" applyNumberFormat="1" applyFont="1" applyFill="1"/>
    <xf numFmtId="180" fontId="3" fillId="0" borderId="0" xfId="4" applyNumberFormat="1"/>
    <xf numFmtId="0" fontId="7" fillId="10" borderId="0" xfId="4" applyFont="1" applyFill="1"/>
    <xf numFmtId="0" fontId="7" fillId="7" borderId="0" xfId="4" applyFont="1" applyFill="1"/>
    <xf numFmtId="181" fontId="3" fillId="0" borderId="0" xfId="4" applyNumberFormat="1"/>
    <xf numFmtId="0" fontId="7" fillId="9" borderId="0" xfId="4" applyFont="1" applyFill="1"/>
    <xf numFmtId="181" fontId="7" fillId="9" borderId="0" xfId="4" applyNumberFormat="1" applyFont="1" applyFill="1"/>
    <xf numFmtId="181" fontId="7" fillId="7" borderId="0" xfId="4" applyNumberFormat="1" applyFont="1" applyFill="1"/>
    <xf numFmtId="181" fontId="7" fillId="10" borderId="0" xfId="4" applyNumberFormat="1" applyFont="1" applyFill="1"/>
    <xf numFmtId="178" fontId="3" fillId="0" borderId="0" xfId="4" applyNumberFormat="1"/>
    <xf numFmtId="0" fontId="7" fillId="8" borderId="0" xfId="4" applyFont="1" applyFill="1" applyAlignment="1">
      <alignment horizontal="center" wrapText="1"/>
    </xf>
    <xf numFmtId="0" fontId="7" fillId="8" borderId="0" xfId="4" applyFont="1" applyFill="1" applyAlignment="1">
      <alignment wrapText="1"/>
    </xf>
    <xf numFmtId="2" fontId="7" fillId="7" borderId="0" xfId="4" applyNumberFormat="1" applyFont="1" applyFill="1"/>
    <xf numFmtId="2" fontId="7" fillId="9" borderId="0" xfId="4" applyNumberFormat="1" applyFont="1" applyFill="1"/>
    <xf numFmtId="2" fontId="7" fillId="10" borderId="0" xfId="4" applyNumberFormat="1" applyFont="1" applyFill="1"/>
    <xf numFmtId="182" fontId="3" fillId="7" borderId="0" xfId="4" applyNumberFormat="1" applyFill="1"/>
    <xf numFmtId="0" fontId="3" fillId="0" borderId="0" xfId="4" applyFill="1"/>
    <xf numFmtId="182" fontId="7" fillId="9" borderId="0" xfId="4" applyNumberFormat="1" applyFont="1" applyFill="1" applyAlignment="1">
      <alignment horizontal="center" wrapText="1"/>
    </xf>
    <xf numFmtId="182" fontId="7" fillId="10" borderId="0" xfId="4" applyNumberFormat="1" applyFont="1" applyFill="1" applyAlignment="1">
      <alignment horizontal="center" wrapText="1"/>
    </xf>
    <xf numFmtId="182" fontId="3" fillId="7" borderId="0" xfId="4" applyNumberFormat="1" applyFill="1" applyAlignment="1">
      <alignment horizontal="center"/>
    </xf>
    <xf numFmtId="182" fontId="3" fillId="9" borderId="0" xfId="4" applyNumberFormat="1" applyFill="1"/>
    <xf numFmtId="182" fontId="3" fillId="10" borderId="0" xfId="4" applyNumberFormat="1" applyFill="1"/>
    <xf numFmtId="182" fontId="7" fillId="9" borderId="0" xfId="4" applyNumberFormat="1" applyFont="1" applyFill="1"/>
    <xf numFmtId="182" fontId="7" fillId="10" borderId="0" xfId="4" applyNumberFormat="1" applyFont="1" applyFill="1"/>
    <xf numFmtId="182" fontId="7" fillId="7" borderId="0" xfId="4" applyNumberFormat="1" applyFont="1" applyFill="1"/>
    <xf numFmtId="182" fontId="7" fillId="7" borderId="0" xfId="4" applyNumberFormat="1" applyFont="1" applyFill="1" applyAlignment="1">
      <alignment horizontal="center"/>
    </xf>
    <xf numFmtId="184" fontId="3" fillId="0" borderId="0" xfId="17" applyFont="1"/>
    <xf numFmtId="49" fontId="33" fillId="0" borderId="0" xfId="17" applyNumberFormat="1" applyFont="1" applyAlignment="1">
      <alignment horizontal="centerContinuous"/>
    </xf>
    <xf numFmtId="184" fontId="3" fillId="0" borderId="0" xfId="17" applyFont="1" applyAlignment="1">
      <alignment horizontal="centerContinuous"/>
    </xf>
    <xf numFmtId="43" fontId="3" fillId="0" borderId="0" xfId="18" applyFont="1"/>
    <xf numFmtId="184" fontId="3" fillId="0" borderId="0" xfId="17" applyFont="1" applyAlignment="1">
      <alignment horizontal="center"/>
    </xf>
    <xf numFmtId="0" fontId="3" fillId="0" borderId="0" xfId="17" applyNumberFormat="1" applyFont="1"/>
    <xf numFmtId="184" fontId="3" fillId="0" borderId="0" xfId="17" applyFont="1" applyFill="1"/>
    <xf numFmtId="184" fontId="3" fillId="0" borderId="0" xfId="17" applyFont="1" applyFill="1" applyAlignment="1">
      <alignment horizontal="center"/>
    </xf>
    <xf numFmtId="184" fontId="3" fillId="0" borderId="6" xfId="17" applyFont="1" applyFill="1" applyBorder="1" applyAlignment="1">
      <alignment horizontal="center"/>
    </xf>
    <xf numFmtId="185" fontId="34" fillId="0" borderId="6" xfId="17" applyNumberFormat="1" applyFont="1" applyFill="1" applyBorder="1" applyAlignment="1">
      <alignment horizontal="centerContinuous"/>
    </xf>
    <xf numFmtId="184" fontId="3" fillId="0" borderId="6" xfId="17" applyFont="1" applyFill="1" applyBorder="1" applyAlignment="1">
      <alignment horizontal="centerContinuous"/>
    </xf>
    <xf numFmtId="0" fontId="3" fillId="0" borderId="6" xfId="17" applyNumberFormat="1" applyFont="1" applyFill="1" applyBorder="1"/>
    <xf numFmtId="184" fontId="7" fillId="0" borderId="0" xfId="17" applyFont="1" applyFill="1" applyAlignment="1">
      <alignment horizontal="center"/>
    </xf>
    <xf numFmtId="39" fontId="3" fillId="0" borderId="0" xfId="17" applyNumberFormat="1" applyFont="1" applyFill="1" applyProtection="1"/>
    <xf numFmtId="43" fontId="3" fillId="0" borderId="0" xfId="18" applyFont="1" applyFill="1"/>
    <xf numFmtId="184" fontId="3" fillId="0" borderId="0" xfId="17" applyFont="1" applyFill="1" applyBorder="1"/>
    <xf numFmtId="184" fontId="3" fillId="0" borderId="0" xfId="17" applyFont="1" applyFill="1" applyAlignment="1">
      <alignment horizontal="left"/>
    </xf>
    <xf numFmtId="43" fontId="3" fillId="0" borderId="0" xfId="17" applyNumberFormat="1" applyFont="1" applyFill="1" applyProtection="1"/>
    <xf numFmtId="0" fontId="3" fillId="0" borderId="0" xfId="4" applyFont="1" applyFill="1" applyBorder="1" applyAlignment="1"/>
    <xf numFmtId="177" fontId="3" fillId="0" borderId="0" xfId="17" applyNumberFormat="1" applyFont="1" applyFill="1" applyAlignment="1">
      <alignment horizontal="center"/>
    </xf>
    <xf numFmtId="43" fontId="33" fillId="0" borderId="0" xfId="18" applyFont="1" applyFill="1" applyBorder="1" applyAlignment="1" applyProtection="1"/>
    <xf numFmtId="43" fontId="33" fillId="0" borderId="0" xfId="18" applyFont="1" applyFill="1" applyBorder="1" applyAlignment="1"/>
    <xf numFmtId="43" fontId="3" fillId="0" borderId="0" xfId="18" applyFont="1" applyFill="1" applyBorder="1" applyAlignment="1" applyProtection="1"/>
    <xf numFmtId="43" fontId="35" fillId="0" borderId="0" xfId="18" applyFont="1" applyFill="1" applyAlignment="1" applyProtection="1"/>
    <xf numFmtId="43" fontId="3" fillId="0" borderId="0" xfId="18" applyFont="1" applyFill="1" applyBorder="1" applyAlignment="1"/>
    <xf numFmtId="43" fontId="3" fillId="0" borderId="0" xfId="18" applyFont="1" applyFill="1" applyAlignment="1"/>
    <xf numFmtId="43" fontId="3" fillId="0" borderId="0" xfId="18" applyFont="1" applyFill="1" applyAlignment="1" applyProtection="1"/>
    <xf numFmtId="184" fontId="7" fillId="0" borderId="0" xfId="17" applyFont="1" applyFill="1" applyBorder="1" applyAlignment="1">
      <alignment horizontal="center"/>
    </xf>
    <xf numFmtId="43" fontId="35" fillId="0" borderId="0" xfId="18" applyFont="1" applyFill="1" applyBorder="1" applyAlignment="1"/>
    <xf numFmtId="43" fontId="33" fillId="0" borderId="0" xfId="18" applyFont="1" applyFill="1" applyAlignment="1"/>
    <xf numFmtId="184" fontId="3" fillId="0" borderId="0" xfId="17" applyFont="1" applyFill="1" applyAlignment="1"/>
    <xf numFmtId="184" fontId="3" fillId="0" borderId="0" xfId="17" applyFont="1" applyFill="1" applyBorder="1" applyAlignment="1">
      <alignment horizontal="left"/>
    </xf>
    <xf numFmtId="184" fontId="3" fillId="0" borderId="0" xfId="17" applyFont="1" applyFill="1" applyBorder="1" applyAlignment="1">
      <alignment horizontal="center"/>
    </xf>
    <xf numFmtId="0" fontId="3" fillId="0" borderId="0" xfId="18" applyNumberFormat="1" applyFont="1" applyFill="1" applyBorder="1" applyAlignment="1" applyProtection="1"/>
    <xf numFmtId="0" fontId="3" fillId="0" borderId="0" xfId="4" applyFill="1" applyBorder="1" applyAlignment="1" applyProtection="1">
      <alignment horizontal="left" vertical="center"/>
    </xf>
    <xf numFmtId="43" fontId="35" fillId="0" borderId="0" xfId="18" applyFont="1" applyFill="1" applyAlignment="1"/>
    <xf numFmtId="43" fontId="3" fillId="0" borderId="0" xfId="18" applyFont="1" applyFill="1" applyBorder="1" applyAlignment="1">
      <alignment wrapText="1"/>
    </xf>
    <xf numFmtId="0" fontId="3" fillId="0" borderId="15" xfId="4" applyFont="1" applyFill="1" applyBorder="1" applyAlignment="1" applyProtection="1">
      <alignment horizontal="center" vertical="center"/>
    </xf>
    <xf numFmtId="184" fontId="36" fillId="0" borderId="0" xfId="17" applyFont="1" applyFill="1" applyAlignment="1">
      <alignment horizontal="center"/>
    </xf>
    <xf numFmtId="43" fontId="3" fillId="0" borderId="11" xfId="18" applyFont="1" applyFill="1" applyBorder="1" applyAlignment="1" applyProtection="1"/>
    <xf numFmtId="43" fontId="3" fillId="0" borderId="11" xfId="18" applyFont="1" applyFill="1" applyBorder="1" applyAlignment="1"/>
    <xf numFmtId="43" fontId="35" fillId="0" borderId="0" xfId="18" applyFont="1" applyFill="1"/>
    <xf numFmtId="184" fontId="3" fillId="0" borderId="0" xfId="17" applyFont="1" applyBorder="1"/>
    <xf numFmtId="184" fontId="3" fillId="0" borderId="16" xfId="17" applyFont="1" applyBorder="1"/>
    <xf numFmtId="0" fontId="7" fillId="0" borderId="17" xfId="17" applyNumberFormat="1" applyFont="1" applyBorder="1" applyAlignment="1">
      <alignment horizontal="right"/>
    </xf>
    <xf numFmtId="184" fontId="3" fillId="0" borderId="17" xfId="17" applyFont="1" applyBorder="1"/>
    <xf numFmtId="0" fontId="3" fillId="0" borderId="17" xfId="17" applyNumberFormat="1" applyFont="1" applyBorder="1" applyAlignment="1">
      <alignment horizontal="center"/>
    </xf>
    <xf numFmtId="184" fontId="3" fillId="0" borderId="17" xfId="17" applyNumberFormat="1" applyFont="1" applyBorder="1" applyAlignment="1">
      <alignment horizontal="center"/>
    </xf>
    <xf numFmtId="43" fontId="3" fillId="0" borderId="17" xfId="18" applyFont="1" applyBorder="1" applyAlignment="1">
      <alignment horizontal="center"/>
    </xf>
    <xf numFmtId="0" fontId="3" fillId="0" borderId="17" xfId="17" applyNumberFormat="1" applyFont="1" applyBorder="1"/>
    <xf numFmtId="184" fontId="3" fillId="0" borderId="19" xfId="17" applyFont="1" applyBorder="1"/>
    <xf numFmtId="0" fontId="3" fillId="0" borderId="0" xfId="17" applyNumberFormat="1" applyFont="1" applyBorder="1" applyAlignment="1">
      <alignment horizontal="center"/>
    </xf>
    <xf numFmtId="177" fontId="3" fillId="0" borderId="0" xfId="17" applyNumberFormat="1" applyFont="1" applyBorder="1"/>
    <xf numFmtId="43" fontId="3" fillId="0" borderId="0" xfId="18" applyFont="1" applyBorder="1"/>
    <xf numFmtId="43" fontId="3" fillId="0" borderId="0" xfId="17" applyNumberFormat="1" applyFont="1" applyBorder="1"/>
    <xf numFmtId="184" fontId="3" fillId="0" borderId="20" xfId="17" applyFont="1" applyBorder="1"/>
    <xf numFmtId="0" fontId="3" fillId="0" borderId="0" xfId="17" applyNumberFormat="1" applyFont="1" applyBorder="1"/>
    <xf numFmtId="184" fontId="3" fillId="0" borderId="21" xfId="17" applyFont="1" applyBorder="1"/>
    <xf numFmtId="184" fontId="3" fillId="0" borderId="22" xfId="17" applyFont="1" applyBorder="1"/>
    <xf numFmtId="184" fontId="4" fillId="0" borderId="0" xfId="17" applyFont="1" applyFill="1" applyBorder="1"/>
    <xf numFmtId="184" fontId="4" fillId="0" borderId="0" xfId="17" applyFont="1"/>
    <xf numFmtId="184" fontId="9" fillId="0" borderId="0" xfId="17" applyFont="1"/>
    <xf numFmtId="39" fontId="4" fillId="0" borderId="0" xfId="17" applyNumberFormat="1" applyFont="1" applyProtection="1"/>
    <xf numFmtId="184" fontId="5" fillId="0" borderId="0" xfId="17" applyFont="1"/>
    <xf numFmtId="43" fontId="5" fillId="0" borderId="0" xfId="18" applyFont="1" applyAlignment="1">
      <alignment horizontal="center"/>
    </xf>
    <xf numFmtId="184" fontId="10" fillId="0" borderId="0" xfId="17" applyFont="1"/>
    <xf numFmtId="39" fontId="5" fillId="0" borderId="0" xfId="17" applyNumberFormat="1" applyFont="1" applyProtection="1"/>
    <xf numFmtId="184" fontId="28" fillId="0" borderId="0" xfId="17" applyFont="1"/>
    <xf numFmtId="184" fontId="28" fillId="0" borderId="0" xfId="17" applyFont="1" applyAlignment="1">
      <alignment horizontal="center"/>
    </xf>
    <xf numFmtId="184" fontId="28" fillId="0" borderId="0" xfId="17" applyFont="1" applyBorder="1" applyAlignment="1">
      <alignment horizontal="center"/>
    </xf>
    <xf numFmtId="185" fontId="42" fillId="0" borderId="0" xfId="17" applyNumberFormat="1" applyFont="1" applyAlignment="1">
      <alignment horizontal="center"/>
    </xf>
    <xf numFmtId="43" fontId="28" fillId="0" borderId="0" xfId="18" applyFont="1" applyAlignment="1">
      <alignment horizontal="center"/>
    </xf>
    <xf numFmtId="184" fontId="4" fillId="0" borderId="0" xfId="17" applyFont="1" applyAlignment="1">
      <alignment horizontal="center"/>
    </xf>
    <xf numFmtId="43" fontId="4" fillId="0" borderId="0" xfId="18" applyFont="1" applyAlignment="1">
      <alignment horizontal="right"/>
    </xf>
    <xf numFmtId="184" fontId="4" fillId="0" borderId="0" xfId="17" applyFont="1" applyAlignment="1">
      <alignment horizontal="right"/>
    </xf>
    <xf numFmtId="184" fontId="4" fillId="0" borderId="0" xfId="17" applyFont="1" applyFill="1"/>
    <xf numFmtId="184" fontId="4" fillId="0" borderId="0" xfId="17" applyFont="1" applyFill="1" applyAlignment="1">
      <alignment horizontal="left"/>
    </xf>
    <xf numFmtId="184" fontId="4" fillId="0" borderId="0" xfId="17" applyFont="1" applyFill="1" applyAlignment="1">
      <alignment horizontal="center"/>
    </xf>
    <xf numFmtId="17" fontId="4" fillId="0" borderId="0" xfId="17" applyNumberFormat="1" applyFont="1" applyFill="1"/>
    <xf numFmtId="186" fontId="4" fillId="0" borderId="0" xfId="17" applyNumberFormat="1" applyFont="1" applyFill="1" applyAlignment="1">
      <alignment horizontal="center"/>
    </xf>
    <xf numFmtId="184" fontId="5" fillId="0" borderId="0" xfId="17" applyFont="1" applyFill="1" applyAlignment="1">
      <alignment horizontal="center"/>
    </xf>
    <xf numFmtId="43" fontId="41" fillId="0" borderId="0" xfId="17" applyNumberFormat="1" applyFont="1" applyFill="1" applyProtection="1"/>
    <xf numFmtId="43" fontId="4" fillId="0" borderId="0" xfId="18" applyFont="1" applyFill="1"/>
    <xf numFmtId="39" fontId="4" fillId="0" borderId="0" xfId="17" applyNumberFormat="1" applyFont="1" applyFill="1" applyProtection="1"/>
    <xf numFmtId="43" fontId="4" fillId="0" borderId="0" xfId="18" applyFont="1" applyFill="1" applyProtection="1"/>
    <xf numFmtId="43" fontId="22" fillId="0" borderId="0" xfId="17" applyNumberFormat="1" applyFont="1" applyFill="1" applyProtection="1"/>
    <xf numFmtId="43" fontId="9" fillId="0" borderId="0" xfId="18" applyFont="1" applyFill="1"/>
    <xf numFmtId="43" fontId="22" fillId="0" borderId="0" xfId="18" applyFont="1" applyFill="1" applyProtection="1"/>
    <xf numFmtId="43" fontId="22" fillId="0" borderId="0" xfId="17" applyNumberFormat="1" applyFont="1" applyFill="1" applyBorder="1" applyProtection="1"/>
    <xf numFmtId="43" fontId="4" fillId="0" borderId="0" xfId="18" applyFont="1" applyFill="1" applyBorder="1" applyProtection="1"/>
    <xf numFmtId="43" fontId="41" fillId="0" borderId="0" xfId="17" applyNumberFormat="1" applyFont="1" applyFill="1" applyBorder="1" applyProtection="1"/>
    <xf numFmtId="43" fontId="4" fillId="0" borderId="6" xfId="18" applyFont="1" applyFill="1" applyBorder="1" applyProtection="1"/>
    <xf numFmtId="43" fontId="4" fillId="0" borderId="0" xfId="17" applyNumberFormat="1" applyFont="1" applyFill="1" applyBorder="1" applyProtection="1"/>
    <xf numFmtId="43" fontId="9" fillId="0" borderId="0" xfId="18" applyFont="1"/>
    <xf numFmtId="39" fontId="4" fillId="0" borderId="11" xfId="17" applyNumberFormat="1" applyFont="1" applyBorder="1" applyProtection="1"/>
    <xf numFmtId="184" fontId="4" fillId="0" borderId="11" xfId="17" applyFont="1" applyBorder="1"/>
    <xf numFmtId="43" fontId="43" fillId="0" borderId="0" xfId="18" applyFont="1"/>
    <xf numFmtId="184" fontId="4" fillId="0" borderId="0" xfId="17" applyFont="1" applyBorder="1" applyAlignment="1">
      <alignment horizontal="left"/>
    </xf>
    <xf numFmtId="184" fontId="4" fillId="0" borderId="0" xfId="17" applyFont="1" applyBorder="1"/>
    <xf numFmtId="43" fontId="4" fillId="0" borderId="0" xfId="18" applyFont="1" applyProtection="1"/>
    <xf numFmtId="184" fontId="4" fillId="0" borderId="0" xfId="17" applyFont="1" applyAlignment="1">
      <alignment horizontal="left"/>
    </xf>
    <xf numFmtId="43" fontId="4" fillId="0" borderId="0" xfId="18" applyFont="1"/>
    <xf numFmtId="17" fontId="4" fillId="0" borderId="0" xfId="17" applyNumberFormat="1" applyFont="1"/>
    <xf numFmtId="0" fontId="3" fillId="0" borderId="0" xfId="18" applyNumberFormat="1" applyFont="1" applyFill="1" applyBorder="1" applyAlignment="1" applyProtection="1">
      <alignment horizontal="center"/>
    </xf>
    <xf numFmtId="43" fontId="44" fillId="0" borderId="0" xfId="18" applyFont="1" applyFill="1" applyBorder="1" applyAlignment="1" applyProtection="1"/>
    <xf numFmtId="184" fontId="7" fillId="0" borderId="0" xfId="17" applyFont="1" applyFill="1"/>
    <xf numFmtId="184" fontId="3" fillId="0" borderId="18" xfId="17" applyFont="1" applyBorder="1"/>
    <xf numFmtId="14" fontId="3" fillId="0" borderId="0" xfId="17" applyNumberFormat="1" applyFont="1" applyBorder="1"/>
    <xf numFmtId="184" fontId="3" fillId="0" borderId="0" xfId="17" applyNumberFormat="1" applyFont="1" applyBorder="1"/>
    <xf numFmtId="0" fontId="3" fillId="0" borderId="13" xfId="17" applyNumberFormat="1" applyFont="1" applyBorder="1" applyAlignment="1">
      <alignment horizontal="center"/>
    </xf>
    <xf numFmtId="43" fontId="3" fillId="0" borderId="13" xfId="17" applyNumberFormat="1" applyFont="1" applyBorder="1"/>
    <xf numFmtId="43" fontId="3" fillId="3" borderId="0" xfId="17" applyNumberFormat="1" applyFont="1" applyFill="1" applyBorder="1"/>
    <xf numFmtId="184" fontId="3" fillId="0" borderId="24" xfId="17" applyFont="1" applyBorder="1"/>
    <xf numFmtId="0" fontId="45" fillId="0" borderId="0" xfId="28"/>
    <xf numFmtId="49" fontId="45" fillId="0" borderId="0" xfId="28" applyNumberFormat="1" applyFont="1" applyAlignment="1"/>
    <xf numFmtId="0" fontId="7" fillId="0" borderId="0" xfId="29" applyFont="1" applyFill="1" applyBorder="1"/>
    <xf numFmtId="49" fontId="44" fillId="0" borderId="0" xfId="30" applyNumberFormat="1" applyFont="1" applyFill="1" applyBorder="1" applyAlignment="1">
      <alignment horizontal="center"/>
    </xf>
    <xf numFmtId="43" fontId="44" fillId="0" borderId="0" xfId="17" applyNumberFormat="1" applyFont="1" applyFill="1" applyProtection="1"/>
    <xf numFmtId="43" fontId="35" fillId="0" borderId="0" xfId="18" applyFont="1" applyFill="1" applyAlignment="1">
      <alignment horizontal="left"/>
    </xf>
    <xf numFmtId="43" fontId="35" fillId="0" borderId="0" xfId="18" applyFont="1" applyFill="1" applyAlignment="1">
      <alignment horizontal="right"/>
    </xf>
    <xf numFmtId="43" fontId="3" fillId="0" borderId="11" xfId="18" applyFont="1" applyFill="1" applyBorder="1"/>
    <xf numFmtId="184" fontId="46" fillId="0" borderId="16" xfId="17" applyFont="1" applyBorder="1" applyAlignment="1">
      <alignment horizontal="left"/>
    </xf>
    <xf numFmtId="0" fontId="47" fillId="0" borderId="17" xfId="17" applyNumberFormat="1" applyFont="1" applyBorder="1" applyAlignment="1">
      <alignment horizontal="right"/>
    </xf>
    <xf numFmtId="0" fontId="46" fillId="0" borderId="17" xfId="17" applyNumberFormat="1" applyFont="1" applyBorder="1" applyAlignment="1">
      <alignment horizontal="center"/>
    </xf>
    <xf numFmtId="184" fontId="46" fillId="0" borderId="17" xfId="17" applyNumberFormat="1" applyFont="1" applyBorder="1" applyAlignment="1">
      <alignment horizontal="center"/>
    </xf>
    <xf numFmtId="43" fontId="46" fillId="0" borderId="17" xfId="18" applyFont="1" applyBorder="1" applyAlignment="1">
      <alignment horizontal="center"/>
    </xf>
    <xf numFmtId="0" fontId="46" fillId="0" borderId="17" xfId="17" applyNumberFormat="1" applyFont="1" applyBorder="1"/>
    <xf numFmtId="184" fontId="46" fillId="0" borderId="17" xfId="17" applyFont="1" applyBorder="1"/>
    <xf numFmtId="0" fontId="46" fillId="0" borderId="18" xfId="17" applyNumberFormat="1" applyFont="1" applyBorder="1"/>
    <xf numFmtId="184" fontId="46" fillId="0" borderId="19" xfId="17" applyFont="1" applyBorder="1"/>
    <xf numFmtId="184" fontId="46" fillId="0" borderId="0" xfId="17" applyFont="1" applyBorder="1"/>
    <xf numFmtId="0" fontId="46" fillId="0" borderId="0" xfId="17" applyNumberFormat="1" applyFont="1" applyBorder="1"/>
    <xf numFmtId="177" fontId="46" fillId="0" borderId="0" xfId="17" applyNumberFormat="1" applyFont="1"/>
    <xf numFmtId="43" fontId="46" fillId="0" borderId="0" xfId="18" applyFont="1"/>
    <xf numFmtId="184" fontId="46" fillId="0" borderId="0" xfId="17" applyFont="1" applyAlignment="1">
      <alignment horizontal="center"/>
    </xf>
    <xf numFmtId="43" fontId="46" fillId="0" borderId="0" xfId="17" applyNumberFormat="1" applyFont="1" applyBorder="1"/>
    <xf numFmtId="184" fontId="46" fillId="0" borderId="20" xfId="17" applyFont="1" applyBorder="1"/>
    <xf numFmtId="0" fontId="46" fillId="0" borderId="0" xfId="17" applyNumberFormat="1" applyFont="1" applyBorder="1" applyAlignment="1">
      <alignment horizontal="center"/>
    </xf>
    <xf numFmtId="184" fontId="46" fillId="0" borderId="0" xfId="17" applyFont="1"/>
    <xf numFmtId="184" fontId="46" fillId="0" borderId="21" xfId="17" applyFont="1" applyBorder="1"/>
    <xf numFmtId="184" fontId="46" fillId="0" borderId="22" xfId="17" applyFont="1" applyBorder="1"/>
    <xf numFmtId="0" fontId="46" fillId="0" borderId="22" xfId="17" applyNumberFormat="1" applyFont="1" applyBorder="1"/>
    <xf numFmtId="184" fontId="46" fillId="0" borderId="22" xfId="17" applyNumberFormat="1" applyFont="1" applyBorder="1"/>
    <xf numFmtId="43" fontId="46" fillId="0" borderId="22" xfId="18" applyFont="1" applyBorder="1"/>
    <xf numFmtId="184" fontId="46" fillId="0" borderId="23" xfId="17" applyNumberFormat="1" applyFont="1" applyBorder="1" applyAlignment="1">
      <alignment horizontal="center"/>
    </xf>
    <xf numFmtId="43" fontId="46" fillId="0" borderId="23" xfId="17" applyNumberFormat="1" applyFont="1" applyBorder="1"/>
    <xf numFmtId="43" fontId="46" fillId="0" borderId="23" xfId="18" applyFont="1" applyBorder="1"/>
    <xf numFmtId="43" fontId="46" fillId="3" borderId="24" xfId="17" applyNumberFormat="1" applyFont="1" applyFill="1" applyBorder="1"/>
    <xf numFmtId="0" fontId="32" fillId="0" borderId="0" xfId="185"/>
    <xf numFmtId="0" fontId="66" fillId="0" borderId="0" xfId="185" applyFont="1" applyProtection="1">
      <protection locked="0"/>
    </xf>
    <xf numFmtId="0" fontId="66" fillId="0" borderId="0" xfId="185" quotePrefix="1" applyFont="1" applyAlignment="1" applyProtection="1">
      <alignment horizontal="left"/>
      <protection locked="0"/>
    </xf>
    <xf numFmtId="0" fontId="66" fillId="0" borderId="0" xfId="185" quotePrefix="1" applyFont="1" applyProtection="1">
      <protection locked="0"/>
    </xf>
    <xf numFmtId="0" fontId="66" fillId="0" borderId="0" xfId="185" applyFont="1" applyAlignment="1" applyProtection="1">
      <alignment horizontal="left"/>
      <protection locked="0"/>
    </xf>
    <xf numFmtId="0" fontId="66" fillId="0" borderId="0" xfId="185" applyFont="1" applyAlignment="1" applyProtection="1">
      <alignment horizontal="center"/>
      <protection locked="0"/>
    </xf>
    <xf numFmtId="5" fontId="66" fillId="0" borderId="0" xfId="185" applyNumberFormat="1" applyFont="1" applyProtection="1">
      <protection locked="0"/>
    </xf>
    <xf numFmtId="5" fontId="66" fillId="0" borderId="0" xfId="185" applyNumberFormat="1" applyFont="1" applyAlignment="1" applyProtection="1">
      <alignment horizontal="center"/>
      <protection locked="0"/>
    </xf>
    <xf numFmtId="0" fontId="66" fillId="0" borderId="0" xfId="185" quotePrefix="1" applyFont="1" applyAlignment="1" applyProtection="1">
      <alignment horizontal="right"/>
      <protection locked="0"/>
    </xf>
    <xf numFmtId="0" fontId="66" fillId="0" borderId="0" xfId="185" applyFont="1" applyAlignment="1" applyProtection="1">
      <alignment horizontal="right"/>
      <protection locked="0"/>
    </xf>
    <xf numFmtId="172" fontId="67" fillId="0" borderId="0" xfId="2" applyNumberFormat="1" applyFont="1" applyProtection="1">
      <protection locked="0"/>
    </xf>
    <xf numFmtId="0" fontId="32" fillId="0" borderId="0" xfId="185" applyFont="1" applyAlignment="1" applyProtection="1">
      <alignment horizontal="right"/>
      <protection locked="0"/>
    </xf>
    <xf numFmtId="0" fontId="68" fillId="0" borderId="0" xfId="185" applyFont="1" applyAlignment="1" applyProtection="1">
      <alignment horizontal="center"/>
      <protection locked="0"/>
    </xf>
    <xf numFmtId="0" fontId="68" fillId="0" borderId="0" xfId="185" applyFont="1" applyAlignment="1" applyProtection="1">
      <alignment horizontal="right"/>
      <protection locked="0"/>
    </xf>
    <xf numFmtId="0" fontId="69" fillId="0" borderId="0" xfId="185" applyFont="1" applyAlignment="1" applyProtection="1">
      <alignment horizontal="center"/>
      <protection locked="0"/>
    </xf>
    <xf numFmtId="0" fontId="69" fillId="0" borderId="0" xfId="185" applyFont="1" applyAlignment="1" applyProtection="1">
      <alignment horizontal="right"/>
      <protection locked="0"/>
    </xf>
    <xf numFmtId="0" fontId="68" fillId="0" borderId="0" xfId="185" applyFont="1" applyAlignment="1">
      <alignment horizontal="right"/>
    </xf>
    <xf numFmtId="0" fontId="68" fillId="0" borderId="0" xfId="185" applyFont="1" applyAlignment="1">
      <alignment horizontal="center"/>
    </xf>
    <xf numFmtId="0" fontId="68" fillId="0" borderId="0" xfId="185" applyFont="1"/>
    <xf numFmtId="189" fontId="66" fillId="0" borderId="0" xfId="185" applyNumberFormat="1" applyFont="1" applyProtection="1">
      <protection locked="0"/>
    </xf>
    <xf numFmtId="166" fontId="66" fillId="0" borderId="0" xfId="185" applyNumberFormat="1" applyFont="1" applyProtection="1">
      <protection locked="0"/>
    </xf>
    <xf numFmtId="39" fontId="32" fillId="0" borderId="0" xfId="185" applyNumberFormat="1" applyProtection="1"/>
    <xf numFmtId="37" fontId="66" fillId="0" borderId="0" xfId="185" applyNumberFormat="1" applyFont="1" applyProtection="1">
      <protection locked="0"/>
    </xf>
    <xf numFmtId="166" fontId="32" fillId="0" borderId="0" xfId="185" applyNumberFormat="1" applyProtection="1"/>
    <xf numFmtId="190" fontId="66" fillId="0" borderId="0" xfId="185" applyNumberFormat="1" applyFont="1" applyProtection="1">
      <protection locked="0"/>
    </xf>
    <xf numFmtId="39" fontId="66" fillId="0" borderId="0" xfId="185" applyNumberFormat="1" applyFont="1" applyProtection="1">
      <protection locked="0"/>
    </xf>
    <xf numFmtId="191" fontId="66" fillId="0" borderId="0" xfId="185" applyNumberFormat="1" applyFont="1" applyProtection="1">
      <protection locked="0"/>
    </xf>
    <xf numFmtId="192" fontId="66" fillId="0" borderId="0" xfId="185" applyNumberFormat="1" applyFont="1" applyProtection="1">
      <protection locked="0"/>
    </xf>
    <xf numFmtId="15" fontId="66" fillId="0" borderId="0" xfId="185" applyNumberFormat="1" applyFont="1" applyProtection="1">
      <protection locked="0"/>
    </xf>
    <xf numFmtId="15" fontId="32" fillId="0" borderId="0" xfId="185" applyNumberFormat="1"/>
    <xf numFmtId="166" fontId="32" fillId="0" borderId="0" xfId="185" applyNumberFormat="1"/>
    <xf numFmtId="166" fontId="0" fillId="0" borderId="0" xfId="2" applyNumberFormat="1" applyFont="1"/>
    <xf numFmtId="191" fontId="32" fillId="0" borderId="0" xfId="185" applyNumberFormat="1"/>
    <xf numFmtId="37" fontId="32" fillId="0" borderId="0" xfId="185" applyNumberFormat="1" applyProtection="1"/>
    <xf numFmtId="39" fontId="32" fillId="0" borderId="0" xfId="185" applyNumberFormat="1"/>
    <xf numFmtId="190" fontId="32" fillId="0" borderId="0" xfId="185" applyNumberFormat="1" applyProtection="1"/>
    <xf numFmtId="10" fontId="0" fillId="0" borderId="0" xfId="2" applyNumberFormat="1" applyFont="1"/>
    <xf numFmtId="189" fontId="32" fillId="0" borderId="0" xfId="185" applyNumberFormat="1" applyProtection="1"/>
    <xf numFmtId="193" fontId="0" fillId="0" borderId="0" xfId="186" applyFont="1"/>
    <xf numFmtId="39" fontId="66" fillId="0" borderId="0" xfId="185" applyNumberFormat="1" applyFont="1" applyBorder="1" applyProtection="1">
      <protection locked="0"/>
    </xf>
    <xf numFmtId="39" fontId="32" fillId="0" borderId="0" xfId="185" applyNumberFormat="1" applyBorder="1"/>
    <xf numFmtId="194" fontId="32" fillId="0" borderId="0" xfId="185" applyNumberFormat="1" applyProtection="1"/>
    <xf numFmtId="189" fontId="66" fillId="0" borderId="0" xfId="185" quotePrefix="1" applyNumberFormat="1" applyFont="1" applyAlignment="1" applyProtection="1">
      <alignment horizontal="left"/>
      <protection locked="0"/>
    </xf>
    <xf numFmtId="189" fontId="66" fillId="0" borderId="0" xfId="185" applyNumberFormat="1" applyFont="1" applyAlignment="1" applyProtection="1">
      <alignment horizontal="center"/>
      <protection locked="0"/>
    </xf>
    <xf numFmtId="0" fontId="70" fillId="0" borderId="0" xfId="185" applyFont="1"/>
    <xf numFmtId="178" fontId="32" fillId="0" borderId="0" xfId="185" applyNumberFormat="1"/>
    <xf numFmtId="195" fontId="32" fillId="0" borderId="0" xfId="185" applyNumberFormat="1"/>
    <xf numFmtId="196" fontId="0" fillId="0" borderId="0" xfId="187" applyFont="1"/>
    <xf numFmtId="196" fontId="32" fillId="0" borderId="0" xfId="185" applyNumberFormat="1"/>
    <xf numFmtId="173" fontId="32" fillId="0" borderId="0" xfId="185" applyNumberFormat="1"/>
    <xf numFmtId="39" fontId="0" fillId="0" borderId="0" xfId="187" applyNumberFormat="1" applyFont="1"/>
    <xf numFmtId="173" fontId="0" fillId="0" borderId="0" xfId="2" applyNumberFormat="1" applyFont="1"/>
    <xf numFmtId="166" fontId="32" fillId="0" borderId="0" xfId="185" applyNumberFormat="1" applyFill="1"/>
    <xf numFmtId="15" fontId="32" fillId="0" borderId="0" xfId="185" applyNumberFormat="1" applyFill="1"/>
    <xf numFmtId="189" fontId="67" fillId="0" borderId="0" xfId="185" applyNumberFormat="1" applyFont="1" applyAlignment="1" applyProtection="1">
      <alignment horizontal="right"/>
      <protection locked="0"/>
    </xf>
    <xf numFmtId="166" fontId="71" fillId="0" borderId="0" xfId="2" quotePrefix="1" applyNumberFormat="1" applyFont="1" applyAlignment="1">
      <alignment horizontal="left"/>
    </xf>
    <xf numFmtId="39" fontId="0" fillId="0" borderId="0" xfId="187" applyNumberFormat="1" applyFont="1" applyBorder="1"/>
    <xf numFmtId="0" fontId="72" fillId="0" borderId="0" xfId="185" quotePrefix="1" applyFont="1" applyAlignment="1">
      <alignment horizontal="left"/>
    </xf>
    <xf numFmtId="0" fontId="32" fillId="0" borderId="0" xfId="185" applyAlignment="1">
      <alignment horizontal="center"/>
    </xf>
    <xf numFmtId="0" fontId="32" fillId="18" borderId="0" xfId="185" applyFill="1"/>
    <xf numFmtId="0" fontId="32" fillId="18" borderId="0" xfId="185" quotePrefix="1" applyFill="1" applyAlignment="1">
      <alignment horizontal="left"/>
    </xf>
    <xf numFmtId="0" fontId="72" fillId="0" borderId="0" xfId="185" applyFont="1"/>
    <xf numFmtId="0" fontId="72" fillId="18" borderId="0" xfId="185" quotePrefix="1" applyFont="1" applyFill="1" applyAlignment="1">
      <alignment horizontal="left"/>
    </xf>
    <xf numFmtId="0" fontId="32" fillId="0" borderId="0" xfId="185" quotePrefix="1" applyAlignment="1">
      <alignment horizontal="left"/>
    </xf>
    <xf numFmtId="0" fontId="69" fillId="18" borderId="0" xfId="188" applyFill="1" applyAlignment="1" applyProtection="1"/>
    <xf numFmtId="0" fontId="72" fillId="0" borderId="0" xfId="185" quotePrefix="1" applyFont="1" applyAlignment="1">
      <alignment horizontal="center"/>
    </xf>
    <xf numFmtId="0" fontId="72" fillId="18" borderId="0" xfId="185" quotePrefix="1" applyFont="1" applyFill="1" applyAlignment="1">
      <alignment horizontal="center"/>
    </xf>
    <xf numFmtId="0" fontId="32" fillId="18" borderId="0" xfId="185" applyFill="1" applyAlignment="1">
      <alignment horizontal="center"/>
    </xf>
    <xf numFmtId="0" fontId="72" fillId="18" borderId="0" xfId="185" applyFont="1" applyFill="1"/>
    <xf numFmtId="0" fontId="3" fillId="0" borderId="0" xfId="185" quotePrefix="1" applyFont="1" applyAlignment="1">
      <alignment horizontal="center"/>
    </xf>
    <xf numFmtId="0" fontId="3" fillId="18" borderId="0" xfId="185" quotePrefix="1" applyFont="1" applyFill="1" applyAlignment="1">
      <alignment horizontal="center"/>
    </xf>
    <xf numFmtId="5" fontId="3" fillId="0" borderId="0" xfId="185" applyNumberFormat="1" applyFont="1" applyAlignment="1" applyProtection="1">
      <alignment horizontal="center"/>
      <protection locked="0"/>
    </xf>
    <xf numFmtId="0" fontId="3" fillId="0" borderId="0" xfId="185" applyFont="1" applyAlignment="1" applyProtection="1">
      <alignment horizontal="center"/>
      <protection locked="0"/>
    </xf>
    <xf numFmtId="0" fontId="73" fillId="0" borderId="0" xfId="185" quotePrefix="1" applyFont="1" applyAlignment="1">
      <alignment horizontal="center"/>
    </xf>
    <xf numFmtId="0" fontId="3" fillId="0" borderId="0" xfId="185" applyFont="1" applyAlignment="1">
      <alignment horizontal="center"/>
    </xf>
    <xf numFmtId="0" fontId="73" fillId="18" borderId="0" xfId="185" quotePrefix="1" applyFont="1" applyFill="1" applyAlignment="1">
      <alignment horizontal="center"/>
    </xf>
    <xf numFmtId="0" fontId="3" fillId="18" borderId="0" xfId="185" applyFont="1" applyFill="1" applyAlignment="1">
      <alignment horizontal="center"/>
    </xf>
    <xf numFmtId="0" fontId="73" fillId="0" borderId="0" xfId="185" applyFont="1" applyAlignment="1">
      <alignment horizontal="center"/>
    </xf>
    <xf numFmtId="0" fontId="73" fillId="0" borderId="0" xfId="185" applyFont="1" applyAlignment="1" applyProtection="1">
      <alignment horizontal="center"/>
      <protection locked="0"/>
    </xf>
    <xf numFmtId="0" fontId="73" fillId="18" borderId="0" xfId="185" applyFont="1" applyFill="1" applyAlignment="1">
      <alignment horizontal="center"/>
    </xf>
    <xf numFmtId="197" fontId="0" fillId="0" borderId="0" xfId="186" applyNumberFormat="1" applyFont="1"/>
    <xf numFmtId="172" fontId="0" fillId="0" borderId="0" xfId="2" applyNumberFormat="1" applyFont="1"/>
    <xf numFmtId="14" fontId="32" fillId="0" borderId="0" xfId="185" quotePrefix="1" applyNumberFormat="1" applyAlignment="1">
      <alignment horizontal="right"/>
    </xf>
    <xf numFmtId="14" fontId="32" fillId="0" borderId="0" xfId="185" applyNumberFormat="1"/>
    <xf numFmtId="1" fontId="32" fillId="0" borderId="0" xfId="185" applyNumberFormat="1"/>
    <xf numFmtId="43" fontId="4" fillId="0" borderId="0" xfId="185" applyNumberFormat="1" applyFont="1"/>
    <xf numFmtId="43" fontId="32" fillId="0" borderId="0" xfId="185" applyNumberFormat="1"/>
    <xf numFmtId="197" fontId="0" fillId="18" borderId="0" xfId="186" applyNumberFormat="1" applyFont="1" applyFill="1"/>
    <xf numFmtId="172" fontId="0" fillId="18" borderId="0" xfId="2" applyNumberFormat="1" applyFont="1" applyFill="1"/>
    <xf numFmtId="14" fontId="32" fillId="18" borderId="0" xfId="185" quotePrefix="1" applyNumberFormat="1" applyFill="1" applyAlignment="1">
      <alignment horizontal="right"/>
    </xf>
    <xf numFmtId="14" fontId="32" fillId="18" borderId="0" xfId="185" applyNumberFormat="1" applyFill="1"/>
    <xf numFmtId="1" fontId="32" fillId="18" borderId="0" xfId="185" applyNumberFormat="1" applyFill="1"/>
    <xf numFmtId="43" fontId="4" fillId="18" borderId="0" xfId="185" applyNumberFormat="1" applyFont="1" applyFill="1"/>
    <xf numFmtId="196" fontId="0" fillId="18" borderId="0" xfId="187" applyFont="1" applyFill="1"/>
    <xf numFmtId="43" fontId="32" fillId="18" borderId="0" xfId="185" applyNumberFormat="1" applyFill="1"/>
    <xf numFmtId="0" fontId="74" fillId="18" borderId="0" xfId="185" applyFont="1" applyFill="1"/>
    <xf numFmtId="172" fontId="0" fillId="0" borderId="0" xfId="2" applyNumberFormat="1" applyFont="1" applyFill="1"/>
    <xf numFmtId="185" fontId="20" fillId="0" borderId="2" xfId="0" applyNumberFormat="1" applyFont="1" applyBorder="1"/>
    <xf numFmtId="4" fontId="20" fillId="0" borderId="2" xfId="0" applyNumberFormat="1" applyFont="1" applyFill="1" applyBorder="1"/>
    <xf numFmtId="4" fontId="0" fillId="0" borderId="2" xfId="0" applyNumberFormat="1" applyBorder="1" applyAlignment="1">
      <alignment horizontal="center"/>
    </xf>
    <xf numFmtId="0" fontId="0" fillId="0" borderId="2" xfId="0" applyBorder="1"/>
    <xf numFmtId="7" fontId="75" fillId="0" borderId="2" xfId="0" applyNumberFormat="1" applyFont="1" applyBorder="1"/>
    <xf numFmtId="7" fontId="7" fillId="0" borderId="2" xfId="0" applyNumberFormat="1" applyFont="1" applyBorder="1"/>
    <xf numFmtId="7" fontId="0" fillId="0" borderId="2" xfId="0" applyNumberFormat="1" applyBorder="1"/>
    <xf numFmtId="185" fontId="0" fillId="0" borderId="0" xfId="0" applyNumberFormat="1"/>
    <xf numFmtId="185" fontId="7" fillId="0" borderId="0" xfId="0" applyNumberFormat="1" applyFont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7" fontId="75" fillId="0" borderId="0" xfId="0" applyNumberFormat="1" applyFont="1" applyBorder="1"/>
    <xf numFmtId="7" fontId="7" fillId="0" borderId="0" xfId="0" applyNumberFormat="1" applyFont="1" applyBorder="1"/>
    <xf numFmtId="7" fontId="0" fillId="0" borderId="0" xfId="0" applyNumberFormat="1" applyBorder="1"/>
    <xf numFmtId="185" fontId="7" fillId="0" borderId="0" xfId="0" applyNumberFormat="1" applyFont="1" applyBorder="1"/>
    <xf numFmtId="4" fontId="7" fillId="0" borderId="0" xfId="0" applyNumberFormat="1" applyFont="1" applyFill="1" applyBorder="1"/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7" fontId="3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185" fontId="7" fillId="0" borderId="0" xfId="0" applyNumberFormat="1" applyFont="1" applyAlignment="1">
      <alignment horizontal="center"/>
    </xf>
    <xf numFmtId="185" fontId="0" fillId="0" borderId="0" xfId="0" applyNumberFormat="1" applyBorder="1"/>
    <xf numFmtId="4" fontId="0" fillId="7" borderId="0" xfId="0" applyNumberFormat="1" applyFill="1" applyBorder="1"/>
    <xf numFmtId="185" fontId="3" fillId="0" borderId="0" xfId="0" applyNumberFormat="1" applyFont="1" applyBorder="1" applyAlignment="1">
      <alignment horizontal="left"/>
    </xf>
    <xf numFmtId="4" fontId="0" fillId="7" borderId="0" xfId="0" applyNumberFormat="1" applyFill="1" applyBorder="1" applyAlignment="1">
      <alignment horizontal="left"/>
    </xf>
    <xf numFmtId="7" fontId="7" fillId="19" borderId="0" xfId="0" applyNumberFormat="1" applyFont="1" applyFill="1" applyBorder="1" applyProtection="1"/>
    <xf numFmtId="171" fontId="0" fillId="0" borderId="0" xfId="0" applyNumberFormat="1" applyBorder="1"/>
    <xf numFmtId="185" fontId="0" fillId="0" borderId="0" xfId="0" applyNumberFormat="1" applyBorder="1" applyAlignment="1" applyProtection="1">
      <alignment horizontal="right"/>
    </xf>
    <xf numFmtId="4" fontId="45" fillId="0" borderId="0" xfId="0" applyNumberFormat="1" applyFont="1" applyFill="1" applyBorder="1" applyAlignment="1">
      <alignment horizontal="right" vertical="top"/>
    </xf>
    <xf numFmtId="7" fontId="0" fillId="0" borderId="0" xfId="0" applyNumberFormat="1" applyBorder="1" applyProtection="1"/>
    <xf numFmtId="171" fontId="7" fillId="0" borderId="0" xfId="0" applyNumberFormat="1" applyFont="1" applyBorder="1"/>
    <xf numFmtId="10" fontId="0" fillId="0" borderId="0" xfId="0" applyNumberFormat="1" applyBorder="1"/>
    <xf numFmtId="4" fontId="0" fillId="7" borderId="0" xfId="0" applyNumberFormat="1" applyFill="1"/>
    <xf numFmtId="10" fontId="0" fillId="0" borderId="0" xfId="0" applyNumberFormat="1"/>
    <xf numFmtId="7" fontId="75" fillId="0" borderId="0" xfId="0" applyNumberFormat="1" applyFont="1"/>
    <xf numFmtId="7" fontId="7" fillId="0" borderId="0" xfId="0" applyNumberFormat="1" applyFont="1"/>
    <xf numFmtId="7" fontId="0" fillId="0" borderId="0" xfId="0" applyNumberFormat="1"/>
    <xf numFmtId="4" fontId="0" fillId="0" borderId="0" xfId="0" applyNumberFormat="1" applyAlignment="1">
      <alignment horizontal="center"/>
    </xf>
    <xf numFmtId="7" fontId="14" fillId="0" borderId="0" xfId="0" applyNumberFormat="1" applyFont="1" applyFill="1" applyBorder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10" borderId="19" xfId="0" applyFill="1" applyBorder="1"/>
    <xf numFmtId="0" fontId="76" fillId="10" borderId="20" xfId="0" applyFont="1" applyFill="1" applyBorder="1" applyAlignment="1">
      <alignment horizontal="center"/>
    </xf>
    <xf numFmtId="0" fontId="0" fillId="3" borderId="19" xfId="0" applyFill="1" applyBorder="1"/>
    <xf numFmtId="0" fontId="76" fillId="3" borderId="20" xfId="0" applyFont="1" applyFill="1" applyBorder="1" applyAlignment="1">
      <alignment horizontal="center"/>
    </xf>
    <xf numFmtId="0" fontId="5" fillId="0" borderId="0" xfId="0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3" fillId="0" borderId="0" xfId="0" applyFont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73" fillId="0" borderId="0" xfId="0" applyFont="1"/>
    <xf numFmtId="0" fontId="0" fillId="10" borderId="0" xfId="0" applyFill="1" applyBorder="1"/>
    <xf numFmtId="0" fontId="0" fillId="10" borderId="20" xfId="0" applyFill="1" applyBorder="1"/>
    <xf numFmtId="0" fontId="0" fillId="3" borderId="0" xfId="0" applyFill="1" applyBorder="1"/>
    <xf numFmtId="0" fontId="0" fillId="3" borderId="20" xfId="0" applyFill="1" applyBorder="1"/>
    <xf numFmtId="15" fontId="3" fillId="0" borderId="0" xfId="0" quotePrefix="1" applyNumberFormat="1" applyFont="1"/>
    <xf numFmtId="169" fontId="4" fillId="0" borderId="0" xfId="1" applyNumberFormat="1" applyFont="1"/>
    <xf numFmtId="0" fontId="0" fillId="0" borderId="0" xfId="0" applyAlignment="1">
      <alignment horizontal="left"/>
    </xf>
    <xf numFmtId="15" fontId="0" fillId="0" borderId="0" xfId="0" applyNumberFormat="1"/>
    <xf numFmtId="10" fontId="3" fillId="10" borderId="19" xfId="2" applyNumberFormat="1" applyFont="1" applyFill="1" applyBorder="1"/>
    <xf numFmtId="10" fontId="3" fillId="3" borderId="19" xfId="2" applyNumberFormat="1" applyFont="1" applyFill="1" applyBorder="1"/>
    <xf numFmtId="169" fontId="77" fillId="0" borderId="0" xfId="1" applyNumberFormat="1" applyFont="1"/>
    <xf numFmtId="14" fontId="0" fillId="0" borderId="0" xfId="0" applyNumberFormat="1" applyAlignment="1">
      <alignment horizontal="center"/>
    </xf>
    <xf numFmtId="14" fontId="3" fillId="0" borderId="0" xfId="0" quotePrefix="1" applyNumberFormat="1" applyFont="1" applyAlignment="1">
      <alignment horizontal="left"/>
    </xf>
    <xf numFmtId="15" fontId="0" fillId="0" borderId="0" xfId="0" quotePrefix="1" applyNumberFormat="1"/>
    <xf numFmtId="0" fontId="3" fillId="0" borderId="0" xfId="0" applyFont="1" applyAlignment="1">
      <alignment horizontal="right"/>
    </xf>
    <xf numFmtId="0" fontId="73" fillId="0" borderId="0" xfId="0" quotePrefix="1" applyFont="1" applyAlignment="1">
      <alignment horizontal="left"/>
    </xf>
    <xf numFmtId="15" fontId="0" fillId="10" borderId="19" xfId="0" applyNumberFormat="1" applyFill="1" applyBorder="1"/>
    <xf numFmtId="10" fontId="3" fillId="10" borderId="0" xfId="2" applyNumberFormat="1" applyFont="1" applyFill="1" applyBorder="1"/>
    <xf numFmtId="15" fontId="0" fillId="3" borderId="19" xfId="0" applyNumberFormat="1" applyFill="1" applyBorder="1"/>
    <xf numFmtId="10" fontId="3" fillId="3" borderId="0" xfId="2" applyNumberFormat="1" applyFont="1" applyFill="1" applyBorder="1"/>
    <xf numFmtId="0" fontId="0" fillId="0" borderId="0" xfId="0" quotePrefix="1"/>
    <xf numFmtId="166" fontId="3" fillId="0" borderId="0" xfId="2" applyNumberFormat="1" applyFont="1" applyAlignment="1">
      <alignment horizontal="right"/>
    </xf>
    <xf numFmtId="166" fontId="0" fillId="0" borderId="0" xfId="2" applyNumberFormat="1" applyFont="1" applyAlignment="1">
      <alignment horizontal="right"/>
    </xf>
    <xf numFmtId="0" fontId="3" fillId="0" borderId="0" xfId="0" applyFont="1"/>
    <xf numFmtId="169" fontId="0" fillId="0" borderId="0" xfId="0" applyNumberFormat="1"/>
    <xf numFmtId="171" fontId="3" fillId="0" borderId="0" xfId="2" applyNumberFormat="1" applyFont="1"/>
    <xf numFmtId="171" fontId="3" fillId="10" borderId="19" xfId="2" applyNumberFormat="1" applyFont="1" applyFill="1" applyBorder="1" applyAlignment="1">
      <alignment horizontal="right"/>
    </xf>
    <xf numFmtId="10" fontId="3" fillId="10" borderId="20" xfId="2" applyNumberFormat="1" applyFont="1" applyFill="1" applyBorder="1"/>
    <xf numFmtId="171" fontId="3" fillId="3" borderId="19" xfId="2" applyNumberFormat="1" applyFont="1" applyFill="1" applyBorder="1" applyAlignment="1">
      <alignment horizontal="right"/>
    </xf>
    <xf numFmtId="10" fontId="3" fillId="3" borderId="20" xfId="2" applyNumberFormat="1" applyFont="1" applyFill="1" applyBorder="1"/>
    <xf numFmtId="164" fontId="0" fillId="0" borderId="0" xfId="0" quotePrefix="1" applyNumberFormat="1" applyAlignment="1">
      <alignment horizontal="left"/>
    </xf>
    <xf numFmtId="164" fontId="0" fillId="0" borderId="0" xfId="0" applyNumberFormat="1" applyAlignment="1">
      <alignment horizontal="left"/>
    </xf>
    <xf numFmtId="171" fontId="3" fillId="18" borderId="0" xfId="2" applyNumberFormat="1" applyFont="1" applyFill="1"/>
    <xf numFmtId="0" fontId="0" fillId="0" borderId="0" xfId="0" quotePrefix="1" applyAlignment="1">
      <alignment horizontal="center"/>
    </xf>
    <xf numFmtId="171" fontId="3" fillId="0" borderId="0" xfId="0" applyNumberFormat="1" applyFont="1"/>
    <xf numFmtId="171" fontId="3" fillId="0" borderId="0" xfId="2" applyNumberFormat="1" applyFont="1" applyAlignment="1">
      <alignment horizontal="left"/>
    </xf>
    <xf numFmtId="171" fontId="3" fillId="0" borderId="0" xfId="0" applyNumberFormat="1" applyFont="1" applyFill="1"/>
    <xf numFmtId="171" fontId="3" fillId="10" borderId="0" xfId="2" applyNumberFormat="1" applyFont="1" applyFill="1" applyBorder="1"/>
    <xf numFmtId="197" fontId="4" fillId="0" borderId="0" xfId="66" applyNumberFormat="1" applyFont="1"/>
    <xf numFmtId="15" fontId="0" fillId="20" borderId="0" xfId="0" quotePrefix="1" applyNumberFormat="1" applyFill="1" applyAlignment="1">
      <alignment horizontal="left"/>
    </xf>
    <xf numFmtId="14" fontId="0" fillId="20" borderId="0" xfId="0" applyNumberFormat="1" applyFill="1"/>
    <xf numFmtId="0" fontId="0" fillId="20" borderId="0" xfId="0" applyFill="1"/>
    <xf numFmtId="0" fontId="3" fillId="20" borderId="0" xfId="0" applyFont="1" applyFill="1" applyAlignment="1">
      <alignment horizontal="center"/>
    </xf>
    <xf numFmtId="10" fontId="3" fillId="20" borderId="0" xfId="2" applyNumberFormat="1" applyFont="1" applyFill="1" applyAlignment="1">
      <alignment horizontal="right"/>
    </xf>
    <xf numFmtId="166" fontId="3" fillId="20" borderId="0" xfId="2" applyNumberFormat="1" applyFont="1" applyFill="1"/>
    <xf numFmtId="10" fontId="0" fillId="20" borderId="0" xfId="0" applyNumberFormat="1" applyFill="1"/>
    <xf numFmtId="169" fontId="4" fillId="20" borderId="0" xfId="1" applyNumberFormat="1" applyFont="1" applyFill="1"/>
    <xf numFmtId="14" fontId="0" fillId="0" borderId="0" xfId="0" quotePrefix="1" applyNumberFormat="1" applyAlignment="1">
      <alignment horizontal="center"/>
    </xf>
    <xf numFmtId="15" fontId="0" fillId="0" borderId="0" xfId="0" quotePrefix="1" applyNumberFormat="1" applyAlignment="1">
      <alignment horizontal="left"/>
    </xf>
    <xf numFmtId="15" fontId="0" fillId="0" borderId="0" xfId="0" applyNumberFormat="1" applyAlignment="1">
      <alignment horizontal="left"/>
    </xf>
    <xf numFmtId="10" fontId="0" fillId="0" borderId="0" xfId="2" applyNumberFormat="1" applyFont="1" applyAlignment="1">
      <alignment horizontal="right"/>
    </xf>
    <xf numFmtId="15" fontId="0" fillId="0" borderId="0" xfId="0" quotePrefix="1" applyNumberFormat="1" applyFill="1" applyAlignment="1">
      <alignment horizontal="left"/>
    </xf>
    <xf numFmtId="14" fontId="0" fillId="0" borderId="0" xfId="0" applyNumberFormat="1" applyFill="1"/>
    <xf numFmtId="10" fontId="0" fillId="0" borderId="0" xfId="2" applyNumberFormat="1" applyFont="1" applyFill="1" applyAlignment="1">
      <alignment horizontal="right"/>
    </xf>
    <xf numFmtId="166" fontId="0" fillId="0" borderId="0" xfId="2" applyNumberFormat="1" applyFont="1" applyFill="1"/>
    <xf numFmtId="10" fontId="0" fillId="0" borderId="0" xfId="0" applyNumberFormat="1" applyFill="1"/>
    <xf numFmtId="0" fontId="0" fillId="0" borderId="0" xfId="0" quotePrefix="1" applyFill="1" applyAlignment="1">
      <alignment horizontal="center"/>
    </xf>
    <xf numFmtId="15" fontId="0" fillId="0" borderId="0" xfId="0" applyNumberFormat="1" applyFill="1"/>
    <xf numFmtId="169" fontId="0" fillId="0" borderId="0" xfId="0" applyNumberFormat="1" applyFill="1"/>
    <xf numFmtId="171" fontId="3" fillId="0" borderId="0" xfId="2" applyNumberFormat="1" applyFont="1" applyFill="1"/>
    <xf numFmtId="0" fontId="3" fillId="0" borderId="0" xfId="0" applyFont="1" applyFill="1"/>
    <xf numFmtId="14" fontId="0" fillId="0" borderId="0" xfId="0" quotePrefix="1" applyNumberFormat="1" applyFill="1" applyAlignment="1">
      <alignment horizontal="center"/>
    </xf>
    <xf numFmtId="169" fontId="77" fillId="0" borderId="0" xfId="1" applyNumberFormat="1" applyFont="1" applyFill="1"/>
    <xf numFmtId="0" fontId="3" fillId="0" borderId="0" xfId="0" quotePrefix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9" fontId="5" fillId="0" borderId="0" xfId="0" applyNumberFormat="1" applyFont="1"/>
    <xf numFmtId="15" fontId="7" fillId="0" borderId="0" xfId="0" applyNumberFormat="1" applyFont="1"/>
    <xf numFmtId="169" fontId="7" fillId="0" borderId="0" xfId="0" applyNumberFormat="1" applyFont="1"/>
    <xf numFmtId="10" fontId="7" fillId="10" borderId="0" xfId="0" applyNumberFormat="1" applyFont="1" applyFill="1" applyBorder="1"/>
    <xf numFmtId="10" fontId="3" fillId="3" borderId="19" xfId="2" applyNumberFormat="1" applyFont="1" applyFill="1" applyBorder="1" applyAlignment="1">
      <alignment horizontal="right"/>
    </xf>
    <xf numFmtId="10" fontId="7" fillId="3" borderId="0" xfId="2" applyNumberFormat="1" applyFont="1" applyFill="1" applyBorder="1"/>
    <xf numFmtId="169" fontId="4" fillId="0" borderId="0" xfId="0" applyNumberFormat="1" applyFont="1"/>
    <xf numFmtId="10" fontId="7" fillId="3" borderId="0" xfId="0" applyNumberFormat="1" applyFont="1" applyFill="1" applyBorder="1"/>
    <xf numFmtId="0" fontId="4" fillId="0" borderId="0" xfId="0" applyFont="1"/>
    <xf numFmtId="15" fontId="0" fillId="0" borderId="0" xfId="0" quotePrefix="1" applyNumberFormat="1" applyFill="1"/>
    <xf numFmtId="166" fontId="3" fillId="0" borderId="0" xfId="2" applyNumberFormat="1" applyFont="1" applyFill="1" applyAlignment="1">
      <alignment horizontal="right"/>
    </xf>
    <xf numFmtId="0" fontId="0" fillId="0" borderId="0" xfId="0" quotePrefix="1" applyFill="1"/>
    <xf numFmtId="14" fontId="0" fillId="0" borderId="0" xfId="0" applyNumberFormat="1" applyFill="1" applyAlignment="1">
      <alignment horizontal="right"/>
    </xf>
    <xf numFmtId="166" fontId="3" fillId="0" borderId="0" xfId="2" applyNumberFormat="1" applyFont="1" applyFill="1"/>
    <xf numFmtId="0" fontId="0" fillId="21" borderId="0" xfId="0" applyFill="1"/>
    <xf numFmtId="0" fontId="0" fillId="0" borderId="0" xfId="0" applyFill="1" applyAlignment="1">
      <alignment horizontal="right"/>
    </xf>
    <xf numFmtId="10" fontId="4" fillId="10" borderId="0" xfId="2" applyNumberFormat="1" applyFont="1" applyFill="1" applyBorder="1"/>
    <xf numFmtId="10" fontId="4" fillId="3" borderId="0" xfId="2" applyNumberFormat="1" applyFont="1" applyFill="1" applyBorder="1"/>
    <xf numFmtId="169" fontId="4" fillId="0" borderId="0" xfId="0" applyNumberFormat="1" applyFont="1" applyBorder="1"/>
    <xf numFmtId="169" fontId="0" fillId="0" borderId="0" xfId="0" applyNumberFormat="1" applyBorder="1"/>
    <xf numFmtId="10" fontId="7" fillId="10" borderId="0" xfId="2" applyNumberFormat="1" applyFont="1" applyFill="1" applyBorder="1"/>
    <xf numFmtId="10" fontId="0" fillId="10" borderId="0" xfId="0" applyNumberFormat="1" applyFill="1" applyBorder="1"/>
    <xf numFmtId="10" fontId="0" fillId="10" borderId="20" xfId="0" applyNumberFormat="1" applyFill="1" applyBorder="1"/>
    <xf numFmtId="10" fontId="0" fillId="3" borderId="0" xfId="0" applyNumberFormat="1" applyFill="1" applyBorder="1"/>
    <xf numFmtId="10" fontId="0" fillId="3" borderId="20" xfId="0" applyNumberFormat="1" applyFill="1" applyBorder="1"/>
    <xf numFmtId="171" fontId="7" fillId="0" borderId="0" xfId="0" applyNumberFormat="1" applyFont="1"/>
    <xf numFmtId="171" fontId="7" fillId="10" borderId="19" xfId="2" applyNumberFormat="1" applyFont="1" applyFill="1" applyBorder="1" applyAlignment="1">
      <alignment horizontal="right"/>
    </xf>
    <xf numFmtId="0" fontId="7" fillId="10" borderId="0" xfId="0" applyFont="1" applyFill="1" applyBorder="1"/>
    <xf numFmtId="0" fontId="7" fillId="10" borderId="20" xfId="0" applyFont="1" applyFill="1" applyBorder="1"/>
    <xf numFmtId="171" fontId="7" fillId="3" borderId="19" xfId="2" applyNumberFormat="1" applyFont="1" applyFill="1" applyBorder="1" applyAlignment="1">
      <alignment horizontal="right"/>
    </xf>
    <xf numFmtId="0" fontId="7" fillId="3" borderId="0" xfId="0" applyFont="1" applyFill="1" applyBorder="1"/>
    <xf numFmtId="0" fontId="7" fillId="3" borderId="20" xfId="0" applyFont="1" applyFill="1" applyBorder="1"/>
    <xf numFmtId="169" fontId="0" fillId="10" borderId="0" xfId="0" applyNumberFormat="1" applyFill="1" applyBorder="1"/>
    <xf numFmtId="169" fontId="0" fillId="10" borderId="20" xfId="0" applyNumberFormat="1" applyFill="1" applyBorder="1"/>
    <xf numFmtId="169" fontId="0" fillId="3" borderId="0" xfId="0" applyNumberFormat="1" applyFill="1" applyBorder="1"/>
    <xf numFmtId="169" fontId="0" fillId="3" borderId="20" xfId="0" applyNumberFormat="1" applyFill="1" applyBorder="1"/>
    <xf numFmtId="169" fontId="0" fillId="0" borderId="0" xfId="0" applyNumberFormat="1" applyFill="1" applyBorder="1"/>
    <xf numFmtId="0" fontId="78" fillId="10" borderId="0" xfId="0" applyFont="1" applyFill="1" applyBorder="1"/>
    <xf numFmtId="0" fontId="78" fillId="3" borderId="0" xfId="0" applyFont="1" applyFill="1" applyBorder="1"/>
    <xf numFmtId="169" fontId="77" fillId="0" borderId="0" xfId="0" applyNumberFormat="1" applyFont="1"/>
    <xf numFmtId="171" fontId="0" fillId="10" borderId="19" xfId="0" applyNumberFormat="1" applyFill="1" applyBorder="1"/>
    <xf numFmtId="10" fontId="7" fillId="3" borderId="19" xfId="2" applyNumberFormat="1" applyFont="1" applyFill="1" applyBorder="1"/>
    <xf numFmtId="10" fontId="7" fillId="3" borderId="20" xfId="2" applyNumberFormat="1" applyFont="1" applyFill="1" applyBorder="1"/>
    <xf numFmtId="0" fontId="7" fillId="3" borderId="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69" fontId="0" fillId="3" borderId="0" xfId="0" applyNumberFormat="1" applyFill="1" applyBorder="1" applyAlignment="1">
      <alignment horizontal="center"/>
    </xf>
    <xf numFmtId="10" fontId="7" fillId="10" borderId="20" xfId="0" applyNumberFormat="1" applyFont="1" applyFill="1" applyBorder="1"/>
    <xf numFmtId="10" fontId="7" fillId="22" borderId="0" xfId="2" applyNumberFormat="1" applyFont="1" applyFill="1" applyBorder="1"/>
    <xf numFmtId="0" fontId="78" fillId="0" borderId="0" xfId="0" applyFont="1" applyBorder="1"/>
    <xf numFmtId="169" fontId="78" fillId="0" borderId="0" xfId="0" applyNumberFormat="1" applyFont="1"/>
    <xf numFmtId="0" fontId="78" fillId="0" borderId="0" xfId="0" applyFont="1"/>
    <xf numFmtId="0" fontId="79" fillId="0" borderId="0" xfId="0" applyFont="1" applyBorder="1"/>
    <xf numFmtId="0" fontId="7" fillId="10" borderId="0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20" xfId="0" applyFont="1" applyFill="1" applyBorder="1" applyAlignment="1">
      <alignment horizontal="right"/>
    </xf>
    <xf numFmtId="0" fontId="80" fillId="0" borderId="0" xfId="0" applyFont="1"/>
    <xf numFmtId="0" fontId="0" fillId="10" borderId="21" xfId="0" applyFill="1" applyBorder="1"/>
    <xf numFmtId="0" fontId="0" fillId="10" borderId="22" xfId="0" applyFill="1" applyBorder="1"/>
    <xf numFmtId="169" fontId="0" fillId="10" borderId="22" xfId="0" applyNumberFormat="1" applyFill="1" applyBorder="1" applyAlignment="1">
      <alignment horizontal="center"/>
    </xf>
    <xf numFmtId="169" fontId="0" fillId="10" borderId="24" xfId="0" applyNumberFormat="1" applyFill="1" applyBorder="1"/>
    <xf numFmtId="0" fontId="0" fillId="3" borderId="21" xfId="0" applyFill="1" applyBorder="1"/>
    <xf numFmtId="0" fontId="0" fillId="3" borderId="22" xfId="0" applyFill="1" applyBorder="1"/>
    <xf numFmtId="169" fontId="3" fillId="3" borderId="22" xfId="1" applyNumberFormat="1" applyFont="1" applyFill="1" applyBorder="1"/>
    <xf numFmtId="169" fontId="3" fillId="3" borderId="24" xfId="1" applyNumberFormat="1" applyFont="1" applyFill="1" applyBorder="1"/>
    <xf numFmtId="38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84" fontId="7" fillId="0" borderId="0" xfId="17" applyFont="1" applyAlignment="1">
      <alignment horizontal="center"/>
    </xf>
    <xf numFmtId="184" fontId="5" fillId="0" borderId="0" xfId="17" applyFont="1" applyAlignment="1">
      <alignment horizontal="center"/>
    </xf>
    <xf numFmtId="0" fontId="76" fillId="10" borderId="0" xfId="0" applyFont="1" applyFill="1" applyBorder="1" applyAlignment="1">
      <alignment horizontal="center"/>
    </xf>
    <xf numFmtId="0" fontId="76" fillId="3" borderId="0" xfId="0" applyFont="1" applyFill="1" applyBorder="1" applyAlignment="1">
      <alignment horizontal="center"/>
    </xf>
    <xf numFmtId="186" fontId="4" fillId="0" borderId="0" xfId="17" applyNumberFormat="1" applyFont="1" applyAlignment="1">
      <alignment horizontal="center"/>
    </xf>
    <xf numFmtId="43" fontId="41" fillId="0" borderId="0" xfId="17" applyNumberFormat="1" applyFont="1" applyProtection="1"/>
    <xf numFmtId="39" fontId="22" fillId="0" borderId="0" xfId="17" applyNumberFormat="1" applyFont="1" applyProtection="1"/>
    <xf numFmtId="43" fontId="22" fillId="0" borderId="0" xfId="17" applyNumberFormat="1" applyFont="1" applyProtection="1"/>
    <xf numFmtId="43" fontId="22" fillId="0" borderId="0" xfId="17" applyNumberFormat="1" applyFont="1" applyBorder="1" applyProtection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25" fillId="4" borderId="0" xfId="3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4" fillId="0" borderId="0" xfId="0" applyFont="1" applyFill="1" applyAlignment="1">
      <alignment wrapText="1"/>
    </xf>
    <xf numFmtId="0" fontId="27" fillId="0" borderId="6" xfId="0" applyFont="1" applyFill="1" applyBorder="1" applyAlignment="1">
      <alignment horizontal="center"/>
    </xf>
    <xf numFmtId="0" fontId="29" fillId="0" borderId="6" xfId="0" applyFont="1" applyBorder="1" applyAlignment="1"/>
    <xf numFmtId="0" fontId="0" fillId="0" borderId="6" xfId="0" applyBorder="1" applyAlignme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7" borderId="0" xfId="4" quotePrefix="1" applyFont="1" applyFill="1" applyAlignment="1">
      <alignment horizontal="center"/>
    </xf>
    <xf numFmtId="0" fontId="7" fillId="7" borderId="0" xfId="4" applyFont="1" applyFill="1" applyAlignment="1">
      <alignment horizontal="center"/>
    </xf>
    <xf numFmtId="175" fontId="7" fillId="7" borderId="0" xfId="4" quotePrefix="1" applyNumberFormat="1" applyFont="1" applyFill="1" applyAlignment="1">
      <alignment horizontal="center"/>
    </xf>
    <xf numFmtId="174" fontId="7" fillId="7" borderId="0" xfId="5" applyNumberFormat="1" applyFont="1" applyFill="1" applyAlignment="1">
      <alignment horizontal="center"/>
    </xf>
    <xf numFmtId="184" fontId="7" fillId="0" borderId="0" xfId="17" applyFont="1" applyAlignment="1">
      <alignment horizontal="center"/>
    </xf>
    <xf numFmtId="184" fontId="5" fillId="0" borderId="0" xfId="17" applyFont="1" applyAlignment="1">
      <alignment horizontal="center"/>
    </xf>
    <xf numFmtId="49" fontId="41" fillId="0" borderId="0" xfId="17" applyNumberFormat="1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6" fillId="10" borderId="0" xfId="0" applyFont="1" applyFill="1" applyBorder="1" applyAlignment="1">
      <alignment horizontal="center"/>
    </xf>
    <xf numFmtId="0" fontId="76" fillId="3" borderId="0" xfId="0" applyFont="1" applyFill="1" applyBorder="1" applyAlignment="1">
      <alignment horizontal="center"/>
    </xf>
  </cellXfs>
  <cellStyles count="191">
    <cellStyle name="20% - Accent3 2" xfId="20"/>
    <cellStyle name="Calculation 2" xfId="21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0" xfId="187"/>
    <cellStyle name="Comma 11" xfId="190"/>
    <cellStyle name="Comma 2" xfId="18"/>
    <cellStyle name="Comma 2 2" xfId="22"/>
    <cellStyle name="Comma 2 2 2" xfId="32"/>
    <cellStyle name="Comma 2 3" xfId="38"/>
    <cellStyle name="Comma 2 4" xfId="39"/>
    <cellStyle name="Comma 3" xfId="19"/>
    <cellStyle name="Comma 3 10" xfId="40"/>
    <cellStyle name="Comma 3 11" xfId="41"/>
    <cellStyle name="Comma 3 2" xfId="42"/>
    <cellStyle name="Comma 3 2 2" xfId="43"/>
    <cellStyle name="Comma 3 2 2 2" xfId="44"/>
    <cellStyle name="Comma 3 2 3" xfId="45"/>
    <cellStyle name="Comma 3 2 3 2" xfId="46"/>
    <cellStyle name="Comma 3 2 4" xfId="47"/>
    <cellStyle name="Comma 3 3" xfId="48"/>
    <cellStyle name="Comma 3 3 2" xfId="49"/>
    <cellStyle name="Comma 3 4" xfId="50"/>
    <cellStyle name="Comma 3 4 2" xfId="51"/>
    <cellStyle name="Comma 3 5" xfId="52"/>
    <cellStyle name="Comma 3 6" xfId="53"/>
    <cellStyle name="Comma 3 7" xfId="54"/>
    <cellStyle name="Comma 3 8" xfId="55"/>
    <cellStyle name="Comma 3 9" xfId="56"/>
    <cellStyle name="Comma 4" xfId="57"/>
    <cellStyle name="Comma 4 2" xfId="58"/>
    <cellStyle name="Comma 4 3" xfId="59"/>
    <cellStyle name="Comma 5" xfId="60"/>
    <cellStyle name="Comma 5 2" xfId="61"/>
    <cellStyle name="Comma 6" xfId="62"/>
    <cellStyle name="Comma 7" xfId="63"/>
    <cellStyle name="Comma 8" xfId="64"/>
    <cellStyle name="Comma 9" xfId="65"/>
    <cellStyle name="Comma0" xfId="6"/>
    <cellStyle name="Currency 10" xfId="66"/>
    <cellStyle name="Currency 11" xfId="186"/>
    <cellStyle name="Currency 2" xfId="5"/>
    <cellStyle name="Currency 2 2" xfId="7"/>
    <cellStyle name="Currency 2 3" xfId="67"/>
    <cellStyle name="Currency 2 4" xfId="68"/>
    <cellStyle name="Currency 3" xfId="31"/>
    <cellStyle name="Currency 3 2" xfId="69"/>
    <cellStyle name="Currency 4" xfId="70"/>
    <cellStyle name="Currency 4 2" xfId="71"/>
    <cellStyle name="Currency 5" xfId="72"/>
    <cellStyle name="Currency 6" xfId="73"/>
    <cellStyle name="Currency 7" xfId="74"/>
    <cellStyle name="Currency 8" xfId="75"/>
    <cellStyle name="Currency 9" xfId="76"/>
    <cellStyle name="Currency0" xfId="8"/>
    <cellStyle name="Date" xfId="9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ixed" xfId="10"/>
    <cellStyle name="Good" xfId="3" builtinId="26"/>
    <cellStyle name="Hyperlink" xfId="188" builtinId="8"/>
    <cellStyle name="Hyperlink 2" xfId="84"/>
    <cellStyle name="Input 2" xfId="23"/>
    <cellStyle name="LineItemPrompt" xfId="85"/>
    <cellStyle name="LineItemValue" xfId="86"/>
    <cellStyle name="Normal" xfId="0" builtinId="0"/>
    <cellStyle name="Normal 10" xfId="87"/>
    <cellStyle name="Normal 11" xfId="88"/>
    <cellStyle name="Normal 12" xfId="89"/>
    <cellStyle name="Normal 13" xfId="185"/>
    <cellStyle name="Normal 14" xfId="189"/>
    <cellStyle name="Normal 19" xfId="90"/>
    <cellStyle name="Normal 2" xfId="4"/>
    <cellStyle name="Normal 2 2" xfId="24"/>
    <cellStyle name="Normal 2 2 2" xfId="25"/>
    <cellStyle name="Normal 2 2 2 2" xfId="91"/>
    <cellStyle name="Normal 2 2 3" xfId="92"/>
    <cellStyle name="Normal 2 2 3 2" xfId="93"/>
    <cellStyle name="Normal 2 2 4" xfId="94"/>
    <cellStyle name="Normal 2 2 5" xfId="95"/>
    <cellStyle name="Normal 2 3" xfId="29"/>
    <cellStyle name="Normal 2 3 2" xfId="96"/>
    <cellStyle name="Normal 2 4" xfId="97"/>
    <cellStyle name="Normal 2 4 2" xfId="98"/>
    <cellStyle name="Normal 2 5" xfId="99"/>
    <cellStyle name="Normal 2 5 2" xfId="100"/>
    <cellStyle name="Normal 2 6" xfId="101"/>
    <cellStyle name="Normal 2 7" xfId="102"/>
    <cellStyle name="Normal 2 8" xfId="103"/>
    <cellStyle name="Normal 2 9" xfId="104"/>
    <cellStyle name="Normal 3" xfId="11"/>
    <cellStyle name="Normal 3 2" xfId="26"/>
    <cellStyle name="Normal 3 3" xfId="28"/>
    <cellStyle name="Normal 4" xfId="12"/>
    <cellStyle name="Normal 4 2" xfId="30"/>
    <cellStyle name="Normal 4 2 2" xfId="105"/>
    <cellStyle name="Normal 4 2 2 2" xfId="106"/>
    <cellStyle name="Normal 4 2 3" xfId="107"/>
    <cellStyle name="Normal 4 2 3 2" xfId="108"/>
    <cellStyle name="Normal 4 2 4" xfId="109"/>
    <cellStyle name="Normal 4 3" xfId="110"/>
    <cellStyle name="Normal 4 3 2" xfId="111"/>
    <cellStyle name="Normal 4 4" xfId="112"/>
    <cellStyle name="Normal 4 4 2" xfId="113"/>
    <cellStyle name="Normal 4 5" xfId="114"/>
    <cellStyle name="Normal 4 6" xfId="115"/>
    <cellStyle name="Normal 5" xfId="13"/>
    <cellStyle name="Normal 5 2" xfId="14"/>
    <cellStyle name="Normal 6" xfId="15"/>
    <cellStyle name="Normal 6 2" xfId="116"/>
    <cellStyle name="Normal 6 2 2" xfId="117"/>
    <cellStyle name="Normal 6 3" xfId="118"/>
    <cellStyle name="Normal 6 3 2" xfId="119"/>
    <cellStyle name="Normal 6 4" xfId="120"/>
    <cellStyle name="Normal 6 5" xfId="121"/>
    <cellStyle name="Normal 6 6" xfId="122"/>
    <cellStyle name="Normal 6 7" xfId="123"/>
    <cellStyle name="Normal 6 8" xfId="124"/>
    <cellStyle name="Normal 6 9" xfId="125"/>
    <cellStyle name="Normal 7" xfId="126"/>
    <cellStyle name="Normal 8" xfId="127"/>
    <cellStyle name="Normal 9" xfId="128"/>
    <cellStyle name="Normal_Input 2" xfId="17"/>
    <cellStyle name="OUTPUT AMOUNTS" xfId="129"/>
    <cellStyle name="OUTPUT COLUMN HEADINGS" xfId="130"/>
    <cellStyle name="OUTPUT LINE ITEMS" xfId="131"/>
    <cellStyle name="OUTPUT REPORT HEADING" xfId="132"/>
    <cellStyle name="OUTPUT REPORT TITLE" xfId="133"/>
    <cellStyle name="Percen - Style1" xfId="134"/>
    <cellStyle name="Percent" xfId="2" builtinId="5"/>
    <cellStyle name="Percent 10" xfId="135"/>
    <cellStyle name="Percent 2" xfId="16"/>
    <cellStyle name="Percent 2 2" xfId="27"/>
    <cellStyle name="Percent 2 2 2" xfId="136"/>
    <cellStyle name="Percent 2 2 2 2" xfId="137"/>
    <cellStyle name="Percent 2 2 3" xfId="138"/>
    <cellStyle name="Percent 2 2 3 2" xfId="139"/>
    <cellStyle name="Percent 2 2 4" xfId="140"/>
    <cellStyle name="Percent 2 3" xfId="141"/>
    <cellStyle name="Percent 2 3 2" xfId="142"/>
    <cellStyle name="Percent 2 4" xfId="143"/>
    <cellStyle name="Percent 2 4 2" xfId="144"/>
    <cellStyle name="Percent 2 5" xfId="145"/>
    <cellStyle name="Percent 2 5 2" xfId="146"/>
    <cellStyle name="Percent 2 6" xfId="147"/>
    <cellStyle name="Percent 2 7" xfId="148"/>
    <cellStyle name="Percent 3" xfId="149"/>
    <cellStyle name="Percent 3 2" xfId="150"/>
    <cellStyle name="Percent 4" xfId="151"/>
    <cellStyle name="Percent 4 2" xfId="152"/>
    <cellStyle name="Percent 4 2 2" xfId="153"/>
    <cellStyle name="Percent 4 2 2 2" xfId="154"/>
    <cellStyle name="Percent 4 2 3" xfId="155"/>
    <cellStyle name="Percent 4 2 3 2" xfId="156"/>
    <cellStyle name="Percent 4 2 4" xfId="157"/>
    <cellStyle name="Percent 4 3" xfId="158"/>
    <cellStyle name="Percent 4 3 2" xfId="159"/>
    <cellStyle name="Percent 4 4" xfId="160"/>
    <cellStyle name="Percent 4 4 2" xfId="161"/>
    <cellStyle name="Percent 4 5" xfId="162"/>
    <cellStyle name="Percent 5" xfId="163"/>
    <cellStyle name="Percent 6" xfId="164"/>
    <cellStyle name="Percent 7" xfId="165"/>
    <cellStyle name="Percent 8" xfId="166"/>
    <cellStyle name="Percent 9" xfId="167"/>
    <cellStyle name="PSChar" xfId="168"/>
    <cellStyle name="PSDec" xfId="169"/>
    <cellStyle name="ReportTitlePrompt" xfId="170"/>
    <cellStyle name="ReportTitleValue" xfId="171"/>
    <cellStyle name="RowAcctAbovePrompt" xfId="172"/>
    <cellStyle name="RowAcctSOBAbovePrompt" xfId="173"/>
    <cellStyle name="RowAcctSOBValue" xfId="174"/>
    <cellStyle name="RowAcctValue" xfId="175"/>
    <cellStyle name="RowAttrAbovePrompt" xfId="176"/>
    <cellStyle name="RowAttrValue" xfId="177"/>
    <cellStyle name="RowColSetAbovePrompt" xfId="178"/>
    <cellStyle name="RowColSetLeftPrompt" xfId="179"/>
    <cellStyle name="RowColSetValue" xfId="180"/>
    <cellStyle name="RowLeftPrompt" xfId="181"/>
    <cellStyle name="SampleUsingFormatMask" xfId="182"/>
    <cellStyle name="SampleWithNoFormatMask" xfId="183"/>
    <cellStyle name="UploadThisRowValue" xfId="184"/>
  </cellStyles>
  <dxfs count="0"/>
  <tableStyles count="0" defaultTableStyle="TableStyleMedium9" defaultPivotStyle="PivotStyleLight16"/>
  <colors>
    <mruColors>
      <color rgb="FF66FF33"/>
      <color rgb="FFCCFFCC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2</xdr:row>
          <xdr:rowOff>28575</xdr:rowOff>
        </xdr:from>
        <xdr:to>
          <xdr:col>10</xdr:col>
          <xdr:colOff>95250</xdr:colOff>
          <xdr:row>48</xdr:row>
          <xdr:rowOff>123825</xdr:rowOff>
        </xdr:to>
        <xdr:sp macro="" textlink="">
          <xdr:nvSpPr>
            <xdr:cNvPr id="1263620" name="Object 4" hidden="1">
              <a:extLst>
                <a:ext uri="{63B3BB69-23CF-44E3-9099-C40C66FF867C}">
                  <a14:compatExt spid="_x0000_s1263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JOURNAL%20ENTRIES\2014\01-%20Jan%202014\LG&amp;E\J178-0100-0114%20AMORTIZE%20DEBT%20DISCOUN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JOURNAL%20ENTRIES\2014\01-%20Jan%202014\LG&amp;E\J064-0100-0913%20AMORT%20LOSS%20ON%20REACQUIRED%20DEB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JOURNAL%20ENTRIES\2014\01-%20Jan%202014\LG&amp;E\J179-0100-0913%20REVOLVING%20CREDI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BT%20JOURNAL%20ENTRIES\2013\12-%20Dec%202013\LG&amp;E\J063-0100-0913%20AMORTIZE%20DEBT%20EXP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JOURNAL%20ENTRIES\2014\01-%20Jan%202014\LG&amp;E\J063-0100-0114%20AMORTIZE%20DEBT%20EX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178-0100"/>
      <sheetName val="Input"/>
      <sheetName val="Amort. Table"/>
      <sheetName val="orig file with debt disc ex"/>
      <sheetName val="$250M FMB 11-13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/>
      <sheetData sheetId="5">
        <row r="32">
          <cell r="D32">
            <v>14708.33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64-0100"/>
      <sheetName val="Loss Input"/>
      <sheetName val="Amortization Schedule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/>
      <sheetData sheetId="5">
        <row r="103">
          <cell r="CK103">
            <v>19116632.439999994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179-0100"/>
      <sheetName val="Input"/>
      <sheetName val="Amort. Table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/>
      <sheetData sheetId="5">
        <row r="54">
          <cell r="H54">
            <v>2910356.5875102039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63-0100"/>
      <sheetName val="Input"/>
      <sheetName val="Amortization Tables"/>
      <sheetName val="186004-2013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/>
      <sheetData sheetId="5">
        <row r="100">
          <cell r="AH100">
            <v>3225.61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63-0100"/>
      <sheetName val="Input"/>
      <sheetName val="Amortization Tables"/>
      <sheetName val="186004-2013"/>
      <sheetName val="December Add $250 FMB 11-4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/>
      <sheetData sheetId="5">
        <row r="85">
          <cell r="CR85">
            <v>4042.6644999999999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DerivativesCustomerSupport@wachovia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5">
    <tabColor rgb="FF00B050"/>
    <pageSetUpPr fitToPage="1"/>
  </sheetPr>
  <dimension ref="A1:V94"/>
  <sheetViews>
    <sheetView tabSelected="1" zoomScale="70" zoomScaleNormal="70" zoomScaleSheetLayoutView="80" workbookViewId="0">
      <selection activeCell="D62" sqref="D62"/>
    </sheetView>
  </sheetViews>
  <sheetFormatPr defaultColWidth="9.7109375" defaultRowHeight="15" x14ac:dyDescent="0.2"/>
  <cols>
    <col min="1" max="1" width="49.140625" style="1" customWidth="1"/>
    <col min="2" max="2" width="15.85546875" style="10" customWidth="1"/>
    <col min="3" max="3" width="8.140625" style="10" bestFit="1" customWidth="1"/>
    <col min="4" max="4" width="12.7109375" style="1" bestFit="1" customWidth="1"/>
    <col min="5" max="5" width="5.140625" style="1" customWidth="1"/>
    <col min="6" max="6" width="21.5703125" style="1" customWidth="1"/>
    <col min="7" max="7" width="5" style="72" bestFit="1" customWidth="1"/>
    <col min="8" max="8" width="19.85546875" style="1" customWidth="1"/>
    <col min="9" max="9" width="5.5703125" style="1" bestFit="1" customWidth="1"/>
    <col min="10" max="10" width="4.28515625" style="1" bestFit="1" customWidth="1"/>
    <col min="11" max="11" width="16.85546875" style="1" customWidth="1"/>
    <col min="12" max="12" width="5" style="1" bestFit="1" customWidth="1"/>
    <col min="13" max="13" width="16" style="1" customWidth="1"/>
    <col min="14" max="14" width="3.7109375" style="1" customWidth="1"/>
    <col min="15" max="15" width="16.5703125" style="1" customWidth="1"/>
    <col min="16" max="16" width="2.42578125" style="1" customWidth="1"/>
    <col min="17" max="17" width="17.42578125" style="1" bestFit="1" customWidth="1"/>
    <col min="18" max="18" width="1" style="1" customWidth="1"/>
    <col min="19" max="19" width="13.42578125" style="1" bestFit="1" customWidth="1"/>
    <col min="20" max="20" width="18.28515625" style="1" bestFit="1" customWidth="1"/>
    <col min="21" max="16384" width="9.7109375" style="1"/>
  </cols>
  <sheetData>
    <row r="1" spans="1:19" s="23" customFormat="1" ht="15.75" x14ac:dyDescent="0.25">
      <c r="A1" s="621" t="s">
        <v>19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</row>
    <row r="2" spans="1:19" s="23" customFormat="1" ht="15.75" x14ac:dyDescent="0.25">
      <c r="A2" s="621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</row>
    <row r="3" spans="1:19" s="23" customFormat="1" ht="15.75" x14ac:dyDescent="0.25">
      <c r="A3" s="623">
        <v>41578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</row>
    <row r="4" spans="1:19" s="14" customFormat="1" ht="15.75" x14ac:dyDescent="0.25">
      <c r="A4" s="631" t="s">
        <v>99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3"/>
      <c r="R4" s="633"/>
      <c r="S4" s="633"/>
    </row>
    <row r="5" spans="1:19" s="23" customFormat="1" ht="20.25" x14ac:dyDescent="0.3">
      <c r="A5" s="624" t="s">
        <v>47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6"/>
    </row>
    <row r="6" spans="1:19" x14ac:dyDescent="0.2">
      <c r="A6" s="75"/>
      <c r="B6" s="6"/>
      <c r="C6" s="6"/>
      <c r="D6" s="3"/>
      <c r="E6" s="3"/>
      <c r="F6" s="3"/>
      <c r="G6" s="6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1:19" ht="16.5" x14ac:dyDescent="0.25">
      <c r="A7" s="74"/>
      <c r="B7" s="27"/>
      <c r="C7" s="27"/>
      <c r="D7" s="28"/>
      <c r="E7" s="28"/>
      <c r="F7" s="28"/>
      <c r="G7" s="69"/>
      <c r="H7" s="627" t="s">
        <v>1</v>
      </c>
      <c r="I7" s="627"/>
      <c r="J7" s="627"/>
      <c r="K7" s="627"/>
      <c r="L7" s="627"/>
      <c r="M7" s="627"/>
      <c r="N7" s="627"/>
      <c r="O7" s="627"/>
      <c r="P7" s="627"/>
      <c r="Q7" s="627"/>
      <c r="R7" s="27"/>
      <c r="S7" s="30"/>
    </row>
    <row r="8" spans="1:19" ht="16.5" x14ac:dyDescent="0.25">
      <c r="A8" s="26"/>
      <c r="B8" s="27"/>
      <c r="C8" s="27"/>
      <c r="D8" s="28"/>
      <c r="E8" s="28"/>
      <c r="F8" s="28"/>
      <c r="G8" s="69"/>
      <c r="H8" s="28"/>
      <c r="I8" s="28"/>
      <c r="J8" s="28"/>
      <c r="K8" s="6" t="s">
        <v>2</v>
      </c>
      <c r="L8" s="27"/>
      <c r="M8" s="27" t="s">
        <v>3</v>
      </c>
      <c r="N8" s="27"/>
      <c r="O8" s="27" t="s">
        <v>65</v>
      </c>
      <c r="P8" s="28"/>
      <c r="Q8" s="27"/>
      <c r="R8" s="27"/>
      <c r="S8" s="30" t="s">
        <v>4</v>
      </c>
    </row>
    <row r="9" spans="1:19" ht="33" x14ac:dyDescent="0.25">
      <c r="A9" s="26"/>
      <c r="B9" s="31" t="s">
        <v>5</v>
      </c>
      <c r="C9" s="27"/>
      <c r="D9" s="31" t="s">
        <v>6</v>
      </c>
      <c r="E9" s="27"/>
      <c r="F9" s="31" t="s">
        <v>7</v>
      </c>
      <c r="G9" s="69"/>
      <c r="H9" s="123" t="s">
        <v>67</v>
      </c>
      <c r="I9" s="28"/>
      <c r="J9" s="28"/>
      <c r="K9" s="113" t="s">
        <v>79</v>
      </c>
      <c r="L9" s="27"/>
      <c r="M9" s="107" t="s">
        <v>64</v>
      </c>
      <c r="N9" s="107"/>
      <c r="O9" s="123" t="s">
        <v>66</v>
      </c>
      <c r="P9" s="28"/>
      <c r="Q9" s="123" t="s">
        <v>9</v>
      </c>
      <c r="R9" s="27"/>
      <c r="S9" s="58" t="s">
        <v>10</v>
      </c>
    </row>
    <row r="10" spans="1:19" ht="16.5" x14ac:dyDescent="0.25">
      <c r="A10" s="26" t="s">
        <v>32</v>
      </c>
      <c r="B10" s="59"/>
      <c r="C10" s="27"/>
      <c r="D10" s="60"/>
      <c r="E10" s="28"/>
      <c r="F10" s="34"/>
      <c r="G10" s="69"/>
      <c r="H10" s="34"/>
      <c r="I10" s="28"/>
      <c r="J10" s="28"/>
      <c r="K10" s="38"/>
      <c r="L10" s="38"/>
      <c r="M10" s="34"/>
      <c r="N10" s="34"/>
      <c r="O10" s="34"/>
      <c r="P10" s="34"/>
      <c r="Q10" s="34"/>
      <c r="R10" s="28"/>
      <c r="S10" s="61"/>
    </row>
    <row r="11" spans="1:19" ht="17.25" customHeight="1" x14ac:dyDescent="0.25">
      <c r="A11" s="26" t="s">
        <v>53</v>
      </c>
      <c r="B11" s="59">
        <v>46508</v>
      </c>
      <c r="C11" s="97" t="s">
        <v>113</v>
      </c>
      <c r="D11" s="102">
        <f>'$25M'!K189/100</f>
        <v>7.9830875000000082E-3</v>
      </c>
      <c r="E11" s="28" t="s">
        <v>11</v>
      </c>
      <c r="F11" s="83">
        <v>25000000</v>
      </c>
      <c r="G11" s="120">
        <v>5</v>
      </c>
      <c r="H11" s="83">
        <f t="shared" ref="H11:H23" si="0">ROUND(D11*F11,0)</f>
        <v>199577</v>
      </c>
      <c r="I11" s="83"/>
      <c r="J11" s="83"/>
      <c r="K11" s="83">
        <v>0</v>
      </c>
      <c r="L11" s="97" t="s">
        <v>89</v>
      </c>
      <c r="M11" s="90">
        <f>-ROUND('LG&amp;E Loss on Reacq Debt'!O12*12+'LG&amp;E Loss on Reacq Debt'!O13*12,0)</f>
        <v>135301</v>
      </c>
      <c r="N11" s="83"/>
      <c r="O11" s="83">
        <v>0</v>
      </c>
      <c r="P11" s="84"/>
      <c r="Q11" s="83">
        <f t="shared" ref="Q11:Q23" si="1">SUM(H11:O11)</f>
        <v>334878</v>
      </c>
      <c r="R11" s="28"/>
      <c r="S11" s="80">
        <f t="shared" ref="S11:S19" si="2">ROUND((Q11/F11),5)</f>
        <v>1.34E-2</v>
      </c>
    </row>
    <row r="12" spans="1:19" ht="17.25" customHeight="1" x14ac:dyDescent="0.25">
      <c r="A12" s="26" t="s">
        <v>54</v>
      </c>
      <c r="B12" s="59">
        <v>11171</v>
      </c>
      <c r="C12" s="97" t="s">
        <v>114</v>
      </c>
      <c r="D12" s="102">
        <f>'$83.335'!K190/100</f>
        <v>1.3902173913043485E-3</v>
      </c>
      <c r="E12" s="28" t="s">
        <v>11</v>
      </c>
      <c r="F12" s="90">
        <f>100000000-16665000</f>
        <v>83335000</v>
      </c>
      <c r="G12" s="13"/>
      <c r="H12" s="90">
        <f t="shared" si="0"/>
        <v>115854</v>
      </c>
      <c r="I12" s="97" t="s">
        <v>93</v>
      </c>
      <c r="J12" s="114" t="s">
        <v>111</v>
      </c>
      <c r="K12" s="90">
        <f>-ROUND('LG&amp;E Unamort Debt Exp'!L11*12,0)</f>
        <v>38707</v>
      </c>
      <c r="L12" s="97" t="s">
        <v>89</v>
      </c>
      <c r="M12" s="90">
        <f>-ROUND('LG&amp;E Loss on Reacq Debt'!O14*12,0)</f>
        <v>143700</v>
      </c>
      <c r="N12" s="97"/>
      <c r="O12" s="90">
        <f>ROUND(F12*0.0025,0)+97560.29</f>
        <v>305898.28999999998</v>
      </c>
      <c r="P12" s="13" t="s">
        <v>70</v>
      </c>
      <c r="Q12" s="90">
        <f t="shared" si="1"/>
        <v>604159.29</v>
      </c>
      <c r="R12" s="28"/>
      <c r="S12" s="80">
        <f t="shared" si="2"/>
        <v>7.2500000000000004E-3</v>
      </c>
    </row>
    <row r="13" spans="1:19" ht="17.25" customHeight="1" x14ac:dyDescent="0.25">
      <c r="A13" s="26" t="s">
        <v>55</v>
      </c>
      <c r="B13" s="59">
        <v>46631</v>
      </c>
      <c r="C13" s="97" t="s">
        <v>107</v>
      </c>
      <c r="D13" s="102">
        <f>'$10.1M'!K190/100</f>
        <v>1.1401086956521747E-3</v>
      </c>
      <c r="E13" s="28" t="s">
        <v>11</v>
      </c>
      <c r="F13" s="90">
        <v>10104000</v>
      </c>
      <c r="G13" s="13"/>
      <c r="H13" s="90">
        <f t="shared" si="0"/>
        <v>11520</v>
      </c>
      <c r="I13" s="97" t="s">
        <v>93</v>
      </c>
      <c r="J13" s="114" t="s">
        <v>111</v>
      </c>
      <c r="K13" s="90">
        <f>-ROUND('LG&amp;E Unamort Debt Exp'!L9*12,0)</f>
        <v>20393</v>
      </c>
      <c r="L13" s="97" t="s">
        <v>89</v>
      </c>
      <c r="M13" s="90">
        <v>0</v>
      </c>
      <c r="N13" s="97"/>
      <c r="O13" s="90">
        <f>ROUND(F13*0.0025,0)+10286</f>
        <v>35546</v>
      </c>
      <c r="P13" s="13" t="s">
        <v>70</v>
      </c>
      <c r="Q13" s="90">
        <f t="shared" si="1"/>
        <v>67459</v>
      </c>
      <c r="R13" s="28"/>
      <c r="S13" s="80">
        <f t="shared" si="2"/>
        <v>6.6800000000000002E-3</v>
      </c>
    </row>
    <row r="14" spans="1:19" ht="17.25" customHeight="1" x14ac:dyDescent="0.25">
      <c r="A14" s="26" t="s">
        <v>55</v>
      </c>
      <c r="B14" s="59">
        <v>46266</v>
      </c>
      <c r="C14" s="97" t="s">
        <v>84</v>
      </c>
      <c r="D14" s="102">
        <f>'$22.5M'!K190/100</f>
        <v>2.2576086956521734E-3</v>
      </c>
      <c r="E14" s="28" t="s">
        <v>11</v>
      </c>
      <c r="F14" s="90">
        <v>22500000</v>
      </c>
      <c r="G14" s="13"/>
      <c r="H14" s="90">
        <f t="shared" si="0"/>
        <v>50796</v>
      </c>
      <c r="I14" s="97" t="s">
        <v>93</v>
      </c>
      <c r="J14" s="114" t="s">
        <v>111</v>
      </c>
      <c r="K14" s="90">
        <f>-ROUND('LG&amp;E Unamort Debt Exp'!L12*12,0)</f>
        <v>9924</v>
      </c>
      <c r="L14" s="97" t="s">
        <v>89</v>
      </c>
      <c r="M14" s="90">
        <f>-ROUND('LG&amp;E Loss on Reacq Debt'!O20*12,0)</f>
        <v>77424</v>
      </c>
      <c r="N14" s="97"/>
      <c r="O14" s="90">
        <f>ROUND(F14*0.001,0)</f>
        <v>22500</v>
      </c>
      <c r="P14" s="13" t="s">
        <v>69</v>
      </c>
      <c r="Q14" s="90">
        <f t="shared" si="1"/>
        <v>160644</v>
      </c>
      <c r="R14" s="28"/>
      <c r="S14" s="80">
        <f t="shared" si="2"/>
        <v>7.1399999999999996E-3</v>
      </c>
    </row>
    <row r="15" spans="1:19" ht="17.25" customHeight="1" x14ac:dyDescent="0.25">
      <c r="A15" s="26" t="s">
        <v>56</v>
      </c>
      <c r="B15" s="59">
        <v>46266</v>
      </c>
      <c r="C15" s="97" t="s">
        <v>103</v>
      </c>
      <c r="D15" s="102">
        <f>'$27.5M'!K190/100</f>
        <v>2.2576086956521734E-3</v>
      </c>
      <c r="E15" s="28" t="s">
        <v>11</v>
      </c>
      <c r="F15" s="90">
        <v>27500000</v>
      </c>
      <c r="G15" s="13"/>
      <c r="H15" s="90">
        <f t="shared" si="0"/>
        <v>62084</v>
      </c>
      <c r="I15" s="97" t="s">
        <v>93</v>
      </c>
      <c r="J15" s="114" t="s">
        <v>111</v>
      </c>
      <c r="K15" s="90">
        <f>-ROUND('LG&amp;E Unamort Debt Exp'!L13*12,0)</f>
        <v>10790</v>
      </c>
      <c r="L15" s="97" t="s">
        <v>89</v>
      </c>
      <c r="M15" s="90">
        <f>-ROUND('LG&amp;E Loss on Reacq Debt'!O21*12,0)</f>
        <v>65400</v>
      </c>
      <c r="N15" s="97"/>
      <c r="O15" s="90">
        <f>ROUND(F15*0.001,0)</f>
        <v>27500</v>
      </c>
      <c r="P15" s="13" t="s">
        <v>69</v>
      </c>
      <c r="Q15" s="90">
        <f t="shared" si="1"/>
        <v>165774</v>
      </c>
      <c r="R15" s="28"/>
      <c r="S15" s="80">
        <f t="shared" si="2"/>
        <v>6.0299999999999998E-3</v>
      </c>
    </row>
    <row r="16" spans="1:19" ht="17.25" customHeight="1" x14ac:dyDescent="0.25">
      <c r="A16" s="26" t="s">
        <v>57</v>
      </c>
      <c r="B16" s="59">
        <v>46692</v>
      </c>
      <c r="C16" s="97" t="s">
        <v>85</v>
      </c>
      <c r="D16" s="102">
        <f>'$35M JC01B'!K190/100</f>
        <v>3.4798141925465875E-3</v>
      </c>
      <c r="E16" s="28" t="s">
        <v>11</v>
      </c>
      <c r="F16" s="90">
        <v>35000000</v>
      </c>
      <c r="G16" s="13"/>
      <c r="H16" s="90">
        <f t="shared" si="0"/>
        <v>121793</v>
      </c>
      <c r="I16" s="97" t="s">
        <v>93</v>
      </c>
      <c r="J16" s="114" t="s">
        <v>111</v>
      </c>
      <c r="K16" s="90">
        <f>-(ROUND('LG&amp;E Unamort Debt Exp'!L14*12,0))</f>
        <v>10995</v>
      </c>
      <c r="L16" s="97" t="s">
        <v>89</v>
      </c>
      <c r="M16" s="90">
        <f>-ROUND('LG&amp;E Loss on Reacq Debt'!O22*12,0)</f>
        <v>49056</v>
      </c>
      <c r="N16" s="97"/>
      <c r="O16" s="90">
        <f>ROUND(F16*0.001,0)</f>
        <v>35000</v>
      </c>
      <c r="P16" s="13" t="s">
        <v>69</v>
      </c>
      <c r="Q16" s="90">
        <f t="shared" si="1"/>
        <v>216844</v>
      </c>
      <c r="R16" s="28"/>
      <c r="S16" s="80">
        <f t="shared" si="2"/>
        <v>6.1999999999999998E-3</v>
      </c>
    </row>
    <row r="17" spans="1:19" ht="17.25" customHeight="1" x14ac:dyDescent="0.25">
      <c r="A17" s="26" t="s">
        <v>63</v>
      </c>
      <c r="B17" s="59">
        <v>46692</v>
      </c>
      <c r="C17" s="97" t="s">
        <v>90</v>
      </c>
      <c r="D17" s="102">
        <f>'$35M TC01B'!K190/100</f>
        <v>3.4304347826086949E-3</v>
      </c>
      <c r="E17" s="28" t="s">
        <v>11</v>
      </c>
      <c r="F17" s="90">
        <v>35000000</v>
      </c>
      <c r="G17" s="13"/>
      <c r="H17" s="90">
        <f t="shared" si="0"/>
        <v>120065</v>
      </c>
      <c r="I17" s="97" t="s">
        <v>93</v>
      </c>
      <c r="J17" s="114" t="s">
        <v>111</v>
      </c>
      <c r="K17" s="90">
        <f>-ROUND('LG&amp;E Unamort Debt Exp'!L15*12,0)</f>
        <v>10997</v>
      </c>
      <c r="L17" s="97" t="s">
        <v>89</v>
      </c>
      <c r="M17" s="90">
        <f>-ROUND('LG&amp;E Loss on Reacq Debt'!O23*12,0)</f>
        <v>48864</v>
      </c>
      <c r="N17" s="97"/>
      <c r="O17" s="90">
        <f>ROUND(F17*0.001,0)</f>
        <v>35000</v>
      </c>
      <c r="P17" s="13" t="s">
        <v>69</v>
      </c>
      <c r="Q17" s="90">
        <f t="shared" si="1"/>
        <v>214926</v>
      </c>
      <c r="R17" s="28"/>
      <c r="S17" s="80">
        <f t="shared" si="2"/>
        <v>6.1399999999999996E-3</v>
      </c>
    </row>
    <row r="18" spans="1:19" ht="17.25" customHeight="1" x14ac:dyDescent="0.25">
      <c r="A18" s="26" t="s">
        <v>58</v>
      </c>
      <c r="B18" s="59">
        <v>11963</v>
      </c>
      <c r="C18" s="97" t="s">
        <v>86</v>
      </c>
      <c r="D18" s="102">
        <f>'$41.665'!K190/100</f>
        <v>1.7798913043478265E-3</v>
      </c>
      <c r="E18" s="28" t="s">
        <v>11</v>
      </c>
      <c r="F18" s="90">
        <v>41665000</v>
      </c>
      <c r="G18" s="13"/>
      <c r="H18" s="90">
        <f t="shared" si="0"/>
        <v>74159</v>
      </c>
      <c r="I18" s="97" t="s">
        <v>93</v>
      </c>
      <c r="J18" s="114" t="s">
        <v>111</v>
      </c>
      <c r="K18" s="90">
        <f>-ROUND('LG&amp;E Unamort Debt Exp'!L16*12,0)</f>
        <v>37221</v>
      </c>
      <c r="L18" s="97" t="s">
        <v>89</v>
      </c>
      <c r="M18" s="90">
        <f>-ROUND('LG&amp;E Loss on Reacq Debt'!O24*12,0)</f>
        <v>55812</v>
      </c>
      <c r="N18" s="97"/>
      <c r="O18" s="90">
        <f>ROUND(F18*0.0025,0)+72105</f>
        <v>176268</v>
      </c>
      <c r="P18" s="13" t="s">
        <v>70</v>
      </c>
      <c r="Q18" s="90">
        <f t="shared" si="1"/>
        <v>343460</v>
      </c>
      <c r="R18" s="28"/>
      <c r="S18" s="80">
        <f t="shared" si="2"/>
        <v>8.2400000000000008E-3</v>
      </c>
    </row>
    <row r="19" spans="1:19" ht="17.25" customHeight="1" x14ac:dyDescent="0.25">
      <c r="A19" s="26" t="s">
        <v>59</v>
      </c>
      <c r="B19" s="59">
        <v>12328</v>
      </c>
      <c r="C19" s="97" t="s">
        <v>123</v>
      </c>
      <c r="D19" s="35">
        <v>1.6500000000000001E-2</v>
      </c>
      <c r="E19" s="28"/>
      <c r="F19" s="90">
        <v>128000000</v>
      </c>
      <c r="G19" s="119">
        <v>3</v>
      </c>
      <c r="H19" s="90">
        <f t="shared" si="0"/>
        <v>2112000</v>
      </c>
      <c r="I19" s="97" t="s">
        <v>93</v>
      </c>
      <c r="J19" s="114" t="s">
        <v>111</v>
      </c>
      <c r="K19" s="90">
        <f>-ROUND('LG&amp;E Unamort Debt Exp'!L17*12,0)</f>
        <v>55091</v>
      </c>
      <c r="L19" s="97" t="s">
        <v>89</v>
      </c>
      <c r="M19" s="90">
        <f>-ROUND(('LG&amp;E Loss on Reacq Debt'!O25+'LG&amp;E Loss on Reacq Debt'!O26)*12,0)</f>
        <v>313732</v>
      </c>
      <c r="N19" s="90"/>
      <c r="O19" s="90">
        <v>0</v>
      </c>
      <c r="P19" s="13" t="s">
        <v>68</v>
      </c>
      <c r="Q19" s="90">
        <f t="shared" si="1"/>
        <v>2480823</v>
      </c>
      <c r="R19" s="28"/>
      <c r="S19" s="80">
        <f t="shared" si="2"/>
        <v>1.9380000000000001E-2</v>
      </c>
    </row>
    <row r="20" spans="1:19" ht="17.25" customHeight="1" x14ac:dyDescent="0.25">
      <c r="A20" s="26" t="s">
        <v>60</v>
      </c>
      <c r="B20" s="59">
        <v>12816</v>
      </c>
      <c r="C20" s="97" t="s">
        <v>124</v>
      </c>
      <c r="D20" s="35">
        <v>5.7500000000000002E-2</v>
      </c>
      <c r="E20" s="28"/>
      <c r="F20" s="90">
        <v>40000000</v>
      </c>
      <c r="G20" s="119">
        <v>4</v>
      </c>
      <c r="H20" s="90">
        <f t="shared" si="0"/>
        <v>2300000</v>
      </c>
      <c r="I20" s="28"/>
      <c r="J20" s="28"/>
      <c r="K20" s="90">
        <v>0</v>
      </c>
      <c r="L20" s="97" t="s">
        <v>89</v>
      </c>
      <c r="M20" s="90">
        <f>-ROUND(('LG&amp;E Loss on Reacq Debt'!O27+'LG&amp;E Loss on Reacq Debt'!O28)*12,0)</f>
        <v>96444</v>
      </c>
      <c r="N20" s="90"/>
      <c r="O20" s="90">
        <v>0</v>
      </c>
      <c r="P20" s="13"/>
      <c r="Q20" s="90">
        <f t="shared" si="1"/>
        <v>2396444</v>
      </c>
      <c r="R20" s="28"/>
      <c r="S20" s="80">
        <f>ROUND((Q20/F20),5)</f>
        <v>5.9909999999999998E-2</v>
      </c>
    </row>
    <row r="21" spans="1:19" ht="17.25" customHeight="1" x14ac:dyDescent="0.25">
      <c r="A21" s="26" t="s">
        <v>51</v>
      </c>
      <c r="B21" s="59">
        <v>48731</v>
      </c>
      <c r="C21" s="97" t="s">
        <v>125</v>
      </c>
      <c r="D21" s="35">
        <v>4.5999999999999999E-2</v>
      </c>
      <c r="E21" s="28"/>
      <c r="F21" s="90">
        <v>60000000</v>
      </c>
      <c r="G21" s="13"/>
      <c r="H21" s="90">
        <f t="shared" si="0"/>
        <v>2760000</v>
      </c>
      <c r="I21" s="97" t="s">
        <v>93</v>
      </c>
      <c r="J21" s="114" t="s">
        <v>111</v>
      </c>
      <c r="K21" s="90">
        <f>-ROUND('LG&amp;E Unamort Debt Exp'!L10*12,0)</f>
        <v>47534</v>
      </c>
      <c r="L21" s="97" t="s">
        <v>89</v>
      </c>
      <c r="M21" s="90">
        <f>-ROUND('LG&amp;E Loss on Reacq Debt'!O19*12,0)</f>
        <v>6615</v>
      </c>
      <c r="N21" s="90"/>
      <c r="O21" s="90">
        <v>18270</v>
      </c>
      <c r="P21" s="13" t="s">
        <v>68</v>
      </c>
      <c r="Q21" s="90">
        <f t="shared" si="1"/>
        <v>2832419</v>
      </c>
      <c r="R21" s="28"/>
      <c r="S21" s="80">
        <f>ROUND((Q21/F21),5)</f>
        <v>4.7210000000000002E-2</v>
      </c>
    </row>
    <row r="22" spans="1:19" ht="17.25" customHeight="1" x14ac:dyDescent="0.25">
      <c r="A22" s="26" t="s">
        <v>61</v>
      </c>
      <c r="B22" s="59">
        <v>48731</v>
      </c>
      <c r="C22" s="97" t="s">
        <v>126</v>
      </c>
      <c r="D22" s="35">
        <v>1.15E-2</v>
      </c>
      <c r="E22" s="28"/>
      <c r="F22" s="90">
        <v>31000000</v>
      </c>
      <c r="G22" s="119">
        <v>4</v>
      </c>
      <c r="H22" s="90">
        <f t="shared" si="0"/>
        <v>356500</v>
      </c>
      <c r="I22" s="28"/>
      <c r="J22" s="28"/>
      <c r="K22" s="90">
        <v>0</v>
      </c>
      <c r="L22" s="97" t="s">
        <v>89</v>
      </c>
      <c r="M22" s="90">
        <f>-ROUND('LG&amp;E Loss on Reacq Debt'!O15*12+'LG&amp;E Loss on Reacq Debt'!O16*12,0)</f>
        <v>55683</v>
      </c>
      <c r="N22" s="116"/>
      <c r="O22" s="90">
        <v>0</v>
      </c>
      <c r="P22" s="13"/>
      <c r="Q22" s="90">
        <f t="shared" si="1"/>
        <v>412183</v>
      </c>
      <c r="R22" s="28"/>
      <c r="S22" s="80">
        <f>ROUND((Q22/F22),5)</f>
        <v>1.3299999999999999E-2</v>
      </c>
    </row>
    <row r="23" spans="1:19" ht="17.25" customHeight="1" x14ac:dyDescent="0.25">
      <c r="A23" s="26" t="s">
        <v>62</v>
      </c>
      <c r="B23" s="59">
        <v>48731</v>
      </c>
      <c r="C23" s="97" t="s">
        <v>127</v>
      </c>
      <c r="D23" s="35">
        <v>1.6E-2</v>
      </c>
      <c r="E23" s="28"/>
      <c r="F23" s="90">
        <v>35200000</v>
      </c>
      <c r="G23" s="119">
        <v>3</v>
      </c>
      <c r="H23" s="90">
        <f t="shared" si="0"/>
        <v>563200</v>
      </c>
      <c r="I23" s="97" t="s">
        <v>93</v>
      </c>
      <c r="J23" s="114" t="s">
        <v>111</v>
      </c>
      <c r="K23" s="90">
        <f>-ROUND('LG&amp;E Unamort Debt Exp'!L18*12,0)</f>
        <v>20686</v>
      </c>
      <c r="L23" s="97" t="s">
        <v>89</v>
      </c>
      <c r="M23" s="90">
        <f>-ROUND(('LG&amp;E Loss on Reacq Debt'!O17+'LG&amp;E Loss on Reacq Debt'!O18)*12,0)</f>
        <v>27531</v>
      </c>
      <c r="N23" s="90"/>
      <c r="O23" s="90">
        <v>0</v>
      </c>
      <c r="P23" s="13" t="s">
        <v>68</v>
      </c>
      <c r="Q23" s="90">
        <f t="shared" si="1"/>
        <v>611417</v>
      </c>
      <c r="R23" s="28"/>
      <c r="S23" s="80">
        <f>ROUND((Q23/F23),5)</f>
        <v>1.737E-2</v>
      </c>
    </row>
    <row r="24" spans="1:19" ht="17.25" customHeight="1" x14ac:dyDescent="0.25">
      <c r="A24" s="26" t="s">
        <v>12</v>
      </c>
      <c r="B24" s="59"/>
      <c r="C24" s="73"/>
      <c r="D24" s="95"/>
      <c r="E24" s="28"/>
      <c r="F24" s="90">
        <v>0</v>
      </c>
      <c r="G24" s="13" t="s">
        <v>35</v>
      </c>
      <c r="H24" s="90">
        <v>0</v>
      </c>
      <c r="I24" s="28"/>
      <c r="J24" s="28"/>
      <c r="K24" s="90">
        <v>0</v>
      </c>
      <c r="L24" s="97" t="s">
        <v>89</v>
      </c>
      <c r="M24" s="90">
        <f>-ROUND(('LG&amp;E Loss on Reacq Debt'!O8+'LG&amp;E Loss on Reacq Debt'!O10+'LG&amp;E Loss on Reacq Debt'!O11)*12,0)</f>
        <v>145956</v>
      </c>
      <c r="N24" s="119">
        <v>2</v>
      </c>
      <c r="O24" s="90"/>
      <c r="P24" s="13"/>
      <c r="Q24" s="90">
        <f>+K24+M24+O24</f>
        <v>145956</v>
      </c>
      <c r="R24" s="28"/>
      <c r="S24" s="80"/>
    </row>
    <row r="25" spans="1:19" x14ac:dyDescent="0.2">
      <c r="A25" s="2"/>
      <c r="C25" s="98"/>
      <c r="S25" s="4"/>
    </row>
    <row r="26" spans="1:19" ht="17.25" customHeight="1" x14ac:dyDescent="0.25">
      <c r="A26" s="26" t="s">
        <v>77</v>
      </c>
      <c r="B26" s="59"/>
      <c r="C26" s="73"/>
      <c r="D26" s="35"/>
      <c r="E26" s="28"/>
      <c r="F26" s="90"/>
      <c r="G26" s="13"/>
      <c r="H26" s="90"/>
      <c r="I26" s="28"/>
      <c r="J26" s="28"/>
      <c r="K26" s="90"/>
      <c r="L26" s="38"/>
      <c r="M26" s="90"/>
      <c r="N26" s="90"/>
      <c r="O26" s="90"/>
      <c r="P26" s="13"/>
      <c r="Q26" s="90"/>
      <c r="R26" s="28"/>
      <c r="S26" s="80"/>
    </row>
    <row r="27" spans="1:19" ht="17.25" customHeight="1" x14ac:dyDescent="0.25">
      <c r="A27" s="26" t="s">
        <v>76</v>
      </c>
      <c r="B27" s="59">
        <v>42323</v>
      </c>
      <c r="C27" s="97" t="s">
        <v>576</v>
      </c>
      <c r="D27" s="35">
        <v>1.6250000000000001E-2</v>
      </c>
      <c r="E27" s="28"/>
      <c r="F27" s="90">
        <v>250000000</v>
      </c>
      <c r="G27" s="13"/>
      <c r="H27" s="90">
        <f>ROUND(D27*F27,0)</f>
        <v>4062500</v>
      </c>
      <c r="I27" s="97" t="s">
        <v>88</v>
      </c>
      <c r="J27" s="114" t="s">
        <v>111</v>
      </c>
      <c r="K27" s="90">
        <f>-'LG&amp;E Unamort Debt Exp'!L19*12</f>
        <v>522243.12</v>
      </c>
      <c r="L27" s="38" t="s">
        <v>80</v>
      </c>
      <c r="M27" s="90">
        <v>0</v>
      </c>
      <c r="N27" s="90"/>
      <c r="O27" s="90">
        <v>0</v>
      </c>
      <c r="P27" s="13"/>
      <c r="Q27" s="90">
        <f>SUM(H27:O27)</f>
        <v>4584743.12</v>
      </c>
      <c r="R27" s="28"/>
      <c r="S27" s="80">
        <f>ROUND((Q27/F27),5)</f>
        <v>1.8339999999999999E-2</v>
      </c>
    </row>
    <row r="28" spans="1:19" ht="17.25" customHeight="1" x14ac:dyDescent="0.25">
      <c r="A28" s="26" t="s">
        <v>95</v>
      </c>
      <c r="B28" s="59">
        <v>42323</v>
      </c>
      <c r="C28" s="97" t="s">
        <v>576</v>
      </c>
      <c r="D28" s="35">
        <v>1.6250000000000001E-2</v>
      </c>
      <c r="E28" s="97" t="s">
        <v>93</v>
      </c>
      <c r="F28" s="104">
        <f>-'LG&amp;E Debt Disc'!M19</f>
        <v>-397125.09500000003</v>
      </c>
      <c r="H28" s="90"/>
      <c r="I28" s="97" t="s">
        <v>93</v>
      </c>
      <c r="J28" s="114" t="s">
        <v>112</v>
      </c>
      <c r="K28" s="90">
        <f>-'LG&amp;E Debt Disc'!K8*12</f>
        <v>176499.96</v>
      </c>
      <c r="L28" s="38" t="s">
        <v>80</v>
      </c>
      <c r="M28" s="90"/>
      <c r="N28" s="90"/>
      <c r="O28" s="90"/>
      <c r="P28" s="13"/>
      <c r="Q28" s="90">
        <f>SUM(H28:O28)</f>
        <v>176499.96</v>
      </c>
      <c r="R28" s="28"/>
      <c r="S28" s="80">
        <f>ROUND((Q28/F28),5)</f>
        <v>-0.44444</v>
      </c>
    </row>
    <row r="29" spans="1:19" ht="17.25" customHeight="1" x14ac:dyDescent="0.25">
      <c r="A29" s="26" t="s">
        <v>75</v>
      </c>
      <c r="B29" s="59">
        <v>51455</v>
      </c>
      <c r="C29" s="97" t="s">
        <v>576</v>
      </c>
      <c r="D29" s="35">
        <v>5.1249999999999997E-2</v>
      </c>
      <c r="E29" s="13"/>
      <c r="F29" s="90">
        <v>285000000</v>
      </c>
      <c r="H29" s="90">
        <f>ROUND(D29*F29,0)</f>
        <v>14606250</v>
      </c>
      <c r="I29" s="97" t="s">
        <v>88</v>
      </c>
      <c r="J29" s="114" t="s">
        <v>111</v>
      </c>
      <c r="K29" s="90">
        <f>-'LG&amp;E Unamort Debt Exp'!L20*12</f>
        <v>119249.28</v>
      </c>
      <c r="L29" s="38" t="s">
        <v>80</v>
      </c>
      <c r="M29" s="90">
        <v>0</v>
      </c>
      <c r="N29" s="90"/>
      <c r="O29" s="90">
        <v>0</v>
      </c>
      <c r="P29" s="13"/>
      <c r="Q29" s="90">
        <f>SUM(H29:O29)</f>
        <v>14725499.279999999</v>
      </c>
      <c r="R29" s="28"/>
      <c r="S29" s="80">
        <f>ROUND((Q29/F29),5)</f>
        <v>5.1670000000000001E-2</v>
      </c>
    </row>
    <row r="30" spans="1:19" ht="17.25" customHeight="1" x14ac:dyDescent="0.25">
      <c r="A30" s="26" t="s">
        <v>95</v>
      </c>
      <c r="B30" s="59">
        <v>51455</v>
      </c>
      <c r="C30" s="97" t="s">
        <v>576</v>
      </c>
      <c r="D30" s="35">
        <v>5.1249999999999997E-2</v>
      </c>
      <c r="E30" s="97" t="s">
        <v>93</v>
      </c>
      <c r="F30" s="104">
        <f>-'LG&amp;E Debt Disc'!M27</f>
        <v>-2816560.0949999997</v>
      </c>
      <c r="H30" s="90"/>
      <c r="I30" s="97" t="s">
        <v>93</v>
      </c>
      <c r="J30" s="114" t="s">
        <v>112</v>
      </c>
      <c r="K30" s="90">
        <f>-'LG&amp;E Debt Disc'!K9*12</f>
        <v>103359.95999999999</v>
      </c>
      <c r="L30" s="38" t="s">
        <v>80</v>
      </c>
      <c r="M30" s="90"/>
      <c r="N30" s="90"/>
      <c r="O30" s="90"/>
      <c r="P30" s="13"/>
      <c r="Q30" s="90">
        <f>SUM(H30:O30)</f>
        <v>103359.95999999999</v>
      </c>
      <c r="R30" s="28"/>
      <c r="S30" s="80">
        <f>ROUND((Q30/F30),5)</f>
        <v>-3.6700000000000003E-2</v>
      </c>
    </row>
    <row r="31" spans="1:19" ht="17.25" customHeight="1" x14ac:dyDescent="0.25">
      <c r="A31" s="26"/>
      <c r="B31" s="59"/>
      <c r="C31" s="97"/>
      <c r="D31" s="35"/>
      <c r="E31" s="28"/>
      <c r="F31" s="100"/>
      <c r="G31" s="97"/>
      <c r="H31" s="90"/>
      <c r="I31" s="97"/>
      <c r="J31" s="97"/>
      <c r="K31" s="90"/>
      <c r="L31" s="38"/>
      <c r="M31" s="90"/>
      <c r="N31" s="90"/>
      <c r="O31" s="90"/>
      <c r="P31" s="13"/>
      <c r="Q31" s="90"/>
      <c r="R31" s="28"/>
      <c r="S31" s="80"/>
    </row>
    <row r="32" spans="1:19" ht="17.25" customHeight="1" x14ac:dyDescent="0.25">
      <c r="A32" s="26" t="s">
        <v>104</v>
      </c>
      <c r="B32" s="59">
        <v>42090</v>
      </c>
      <c r="C32" s="97"/>
      <c r="D32" s="35"/>
      <c r="E32" s="28"/>
      <c r="F32" s="90"/>
      <c r="G32" s="13"/>
      <c r="H32" s="90"/>
      <c r="I32" s="97" t="s">
        <v>88</v>
      </c>
      <c r="J32" s="114" t="s">
        <v>111</v>
      </c>
      <c r="K32" s="90">
        <f>-'LG&amp;E Unamort Debt Exp'!L21*12</f>
        <v>2291.64</v>
      </c>
      <c r="L32" s="38"/>
      <c r="M32" s="90"/>
      <c r="N32" s="90"/>
      <c r="O32" s="90"/>
      <c r="P32" s="13"/>
      <c r="Q32" s="90">
        <f>+K32+M32+O32</f>
        <v>2291.64</v>
      </c>
      <c r="R32" s="28"/>
      <c r="S32" s="80"/>
    </row>
    <row r="33" spans="1:22" ht="17.25" customHeight="1" x14ac:dyDescent="0.25">
      <c r="A33" s="26" t="s">
        <v>81</v>
      </c>
      <c r="B33" s="59">
        <v>42662</v>
      </c>
      <c r="C33" s="27"/>
      <c r="D33" s="95"/>
      <c r="E33" s="28"/>
      <c r="F33" s="90"/>
      <c r="G33" s="13"/>
      <c r="H33" s="90"/>
      <c r="I33" s="97" t="s">
        <v>89</v>
      </c>
      <c r="J33" s="97"/>
      <c r="K33" s="115">
        <f>'LG&amp;E Revolving Credit Debt Exp'!M19</f>
        <v>712275.50413043471</v>
      </c>
      <c r="L33" s="119" t="s">
        <v>98</v>
      </c>
      <c r="M33" s="90"/>
      <c r="N33" s="97"/>
      <c r="O33" s="90">
        <v>625000</v>
      </c>
      <c r="P33" s="13" t="s">
        <v>109</v>
      </c>
      <c r="Q33" s="90">
        <f>+K33+M33+O33</f>
        <v>1337275.5041304347</v>
      </c>
      <c r="R33" s="28"/>
      <c r="S33" s="80"/>
    </row>
    <row r="34" spans="1:22" ht="17.25" customHeight="1" thickBot="1" x14ac:dyDescent="0.3">
      <c r="A34" s="26"/>
      <c r="B34" s="59"/>
      <c r="C34" s="27"/>
      <c r="D34" s="35"/>
      <c r="E34" s="28"/>
      <c r="F34" s="90"/>
      <c r="G34" s="13"/>
      <c r="H34" s="90"/>
      <c r="I34" s="28"/>
      <c r="J34" s="28"/>
      <c r="K34" s="90"/>
      <c r="L34" s="38"/>
      <c r="M34" s="90"/>
      <c r="N34" s="90"/>
      <c r="O34" s="90"/>
      <c r="P34" s="13"/>
      <c r="Q34" s="90"/>
      <c r="R34" s="28"/>
      <c r="S34" s="80"/>
    </row>
    <row r="35" spans="1:22" ht="17.25" thickBot="1" x14ac:dyDescent="0.3">
      <c r="A35" s="63" t="s">
        <v>29</v>
      </c>
      <c r="B35" s="76"/>
      <c r="C35" s="27"/>
      <c r="D35" s="62"/>
      <c r="E35" s="28"/>
      <c r="F35" s="85">
        <f>SUM(F11:F33)</f>
        <v>1106090314.8099999</v>
      </c>
      <c r="G35" s="86"/>
      <c r="H35" s="85">
        <f>SUM(H11:H33)</f>
        <v>27516298</v>
      </c>
      <c r="I35" s="83"/>
      <c r="J35" s="83"/>
      <c r="K35" s="85">
        <f>SUM(K11:K33)</f>
        <v>1898257.4641304344</v>
      </c>
      <c r="L35" s="83"/>
      <c r="M35" s="85">
        <f>SUM(M11:M33)</f>
        <v>1221518</v>
      </c>
      <c r="N35" s="85"/>
      <c r="O35" s="85">
        <f>SUM(O11:O33)</f>
        <v>1280982.29</v>
      </c>
      <c r="P35" s="83"/>
      <c r="Q35" s="85">
        <f>SUM(Q11:Q33)</f>
        <v>31917055.754130434</v>
      </c>
      <c r="R35" s="28"/>
      <c r="S35" s="81">
        <f>ROUND(+Q35/F48,5)</f>
        <v>2.886E-2</v>
      </c>
      <c r="V35" s="16"/>
    </row>
    <row r="36" spans="1:22" ht="16.5" x14ac:dyDescent="0.25">
      <c r="A36" s="26"/>
      <c r="B36" s="76"/>
      <c r="C36" s="27"/>
      <c r="D36" s="62"/>
      <c r="E36" s="28"/>
      <c r="F36" s="38"/>
      <c r="G36" s="70"/>
      <c r="H36" s="38"/>
      <c r="I36" s="28"/>
      <c r="J36" s="28"/>
      <c r="K36" s="38"/>
      <c r="L36" s="38"/>
      <c r="M36" s="34"/>
      <c r="N36" s="34"/>
      <c r="O36" s="34"/>
      <c r="P36" s="28"/>
      <c r="Q36" s="34"/>
      <c r="R36" s="28"/>
      <c r="S36" s="61"/>
      <c r="T36" s="77"/>
      <c r="U36" s="19"/>
    </row>
    <row r="37" spans="1:22" ht="16.5" x14ac:dyDescent="0.25">
      <c r="A37" s="26" t="s">
        <v>13</v>
      </c>
      <c r="B37" s="27"/>
      <c r="C37" s="27"/>
      <c r="D37" s="28"/>
      <c r="E37" s="28"/>
      <c r="F37" s="34"/>
      <c r="G37" s="69"/>
      <c r="H37" s="34"/>
      <c r="I37" s="28"/>
      <c r="J37" s="28"/>
      <c r="K37" s="66"/>
      <c r="L37" s="38"/>
      <c r="M37" s="38"/>
      <c r="N37" s="38"/>
      <c r="O37" s="38"/>
      <c r="P37" s="28"/>
      <c r="Q37" s="34"/>
      <c r="R37" s="28"/>
      <c r="S37" s="61"/>
      <c r="T37" s="77"/>
    </row>
    <row r="38" spans="1:22" ht="33" x14ac:dyDescent="0.25">
      <c r="A38" s="121" t="s">
        <v>128</v>
      </c>
      <c r="B38" s="59">
        <v>44136</v>
      </c>
      <c r="C38" s="118">
        <v>1</v>
      </c>
      <c r="E38" s="28"/>
      <c r="F38" s="34"/>
      <c r="G38" s="97" t="s">
        <v>87</v>
      </c>
      <c r="H38" s="103">
        <f>'LG&amp;E $83.335 Swap Interest'!CX840</f>
        <v>3709796.8031420764</v>
      </c>
      <c r="I38" s="83"/>
      <c r="J38" s="83"/>
      <c r="K38" s="83">
        <v>0</v>
      </c>
      <c r="L38" s="83"/>
      <c r="M38" s="83">
        <v>0</v>
      </c>
      <c r="N38" s="83"/>
      <c r="O38" s="83">
        <v>0</v>
      </c>
      <c r="P38" s="83"/>
      <c r="Q38" s="83">
        <f>SUM(H38:O38)</f>
        <v>3709796.8031420764</v>
      </c>
      <c r="R38" s="28"/>
      <c r="S38" s="61"/>
    </row>
    <row r="39" spans="1:22" ht="33" x14ac:dyDescent="0.25">
      <c r="A39" s="121" t="s">
        <v>129</v>
      </c>
      <c r="B39" s="59">
        <v>48853</v>
      </c>
      <c r="C39" s="118">
        <v>1</v>
      </c>
      <c r="E39" s="28"/>
      <c r="F39" s="34"/>
      <c r="G39" s="97" t="s">
        <v>88</v>
      </c>
      <c r="H39" s="105">
        <f>'LG&amp;E $128M Swap Interest'!W128</f>
        <v>1118903.5876231887</v>
      </c>
      <c r="I39" s="28"/>
      <c r="J39" s="28"/>
      <c r="K39" s="90">
        <v>0</v>
      </c>
      <c r="L39" s="38"/>
      <c r="M39" s="90">
        <v>0</v>
      </c>
      <c r="N39" s="90"/>
      <c r="O39" s="90">
        <v>0</v>
      </c>
      <c r="P39" s="28"/>
      <c r="Q39" s="90">
        <f>SUM(H39:O39)</f>
        <v>1118903.5876231887</v>
      </c>
      <c r="R39" s="28"/>
      <c r="S39" s="61"/>
      <c r="T39" s="77"/>
    </row>
    <row r="40" spans="1:22" ht="33" x14ac:dyDescent="0.25">
      <c r="A40" s="121" t="s">
        <v>130</v>
      </c>
      <c r="B40" s="59">
        <v>48853</v>
      </c>
      <c r="C40" s="118">
        <v>1</v>
      </c>
      <c r="E40" s="28"/>
      <c r="F40" s="34"/>
      <c r="G40" s="97" t="s">
        <v>91</v>
      </c>
      <c r="H40" s="105">
        <f>'LG&amp;E $128M Swap Interest'!AI128</f>
        <v>1115094.8919710144</v>
      </c>
      <c r="I40" s="28"/>
      <c r="J40" s="28"/>
      <c r="K40" s="90">
        <v>0</v>
      </c>
      <c r="L40" s="38"/>
      <c r="M40" s="90">
        <v>0</v>
      </c>
      <c r="N40" s="90"/>
      <c r="O40" s="90">
        <v>0</v>
      </c>
      <c r="P40" s="28"/>
      <c r="Q40" s="90">
        <f>SUM(H40:O40)</f>
        <v>1115094.8919710144</v>
      </c>
      <c r="R40" s="28"/>
      <c r="S40" s="61"/>
    </row>
    <row r="41" spans="1:22" ht="33.75" thickBot="1" x14ac:dyDescent="0.3">
      <c r="A41" s="121" t="s">
        <v>131</v>
      </c>
      <c r="B41" s="59">
        <v>48853</v>
      </c>
      <c r="C41" s="118">
        <v>1</v>
      </c>
      <c r="E41" s="28"/>
      <c r="F41" s="34"/>
      <c r="G41" s="97" t="s">
        <v>92</v>
      </c>
      <c r="H41" s="105">
        <f>'LG&amp;E $128M Swap Interest'!K128</f>
        <v>1130964.417514493</v>
      </c>
      <c r="I41" s="28"/>
      <c r="J41" s="28"/>
      <c r="K41" s="90">
        <v>0</v>
      </c>
      <c r="L41" s="38"/>
      <c r="M41" s="90">
        <v>0</v>
      </c>
      <c r="N41" s="90"/>
      <c r="O41" s="90">
        <v>0</v>
      </c>
      <c r="P41" s="28"/>
      <c r="Q41" s="90">
        <f>SUM(H41:O41)</f>
        <v>1130964.417514493</v>
      </c>
      <c r="R41" s="28"/>
      <c r="S41" s="61"/>
      <c r="T41" s="77"/>
    </row>
    <row r="42" spans="1:22" ht="17.25" thickBot="1" x14ac:dyDescent="0.3">
      <c r="A42" s="63" t="s">
        <v>31</v>
      </c>
      <c r="B42" s="59"/>
      <c r="C42" s="27"/>
      <c r="D42" s="28"/>
      <c r="E42" s="28"/>
      <c r="F42" s="34"/>
      <c r="G42" s="69"/>
      <c r="H42" s="85">
        <f>SUM(H38:H41)</f>
        <v>7074759.7002507718</v>
      </c>
      <c r="I42" s="83"/>
      <c r="J42" s="83"/>
      <c r="K42" s="85">
        <f>SUM(K38:K41)</f>
        <v>0</v>
      </c>
      <c r="L42" s="83"/>
      <c r="M42" s="85">
        <f>SUM(M38:M41)</f>
        <v>0</v>
      </c>
      <c r="N42" s="85"/>
      <c r="O42" s="85">
        <f>SUM(O38:O41)</f>
        <v>0</v>
      </c>
      <c r="P42" s="83"/>
      <c r="Q42" s="85">
        <f>SUM(Q38:Q41)</f>
        <v>7074759.7002507718</v>
      </c>
      <c r="R42" s="28"/>
      <c r="S42" s="81">
        <f>ROUND(+Q42/F48,5)</f>
        <v>6.4000000000000003E-3</v>
      </c>
    </row>
    <row r="43" spans="1:22" ht="16.5" x14ac:dyDescent="0.25">
      <c r="A43" s="26"/>
      <c r="B43" s="59"/>
      <c r="C43" s="27"/>
      <c r="D43" s="28"/>
      <c r="E43" s="28"/>
      <c r="F43" s="65"/>
      <c r="G43" s="69"/>
      <c r="H43" s="34"/>
      <c r="I43" s="28"/>
      <c r="J43" s="28"/>
      <c r="K43" s="38"/>
      <c r="L43" s="38"/>
      <c r="M43" s="38"/>
      <c r="N43" s="38"/>
      <c r="O43" s="38"/>
      <c r="P43" s="28"/>
      <c r="Q43" s="34"/>
      <c r="R43" s="28"/>
      <c r="S43" s="61"/>
      <c r="T43" s="77"/>
    </row>
    <row r="44" spans="1:22" ht="16.5" x14ac:dyDescent="0.25">
      <c r="A44" s="26" t="s">
        <v>78</v>
      </c>
      <c r="B44" s="59"/>
      <c r="C44" s="118"/>
      <c r="D44" s="35"/>
      <c r="E44" s="28"/>
      <c r="F44" s="83">
        <v>0</v>
      </c>
      <c r="G44" s="87"/>
      <c r="H44" s="83">
        <v>0</v>
      </c>
      <c r="I44" s="83"/>
      <c r="J44" s="83"/>
      <c r="K44" s="83">
        <v>0</v>
      </c>
      <c r="L44" s="83"/>
      <c r="M44" s="83">
        <v>0</v>
      </c>
      <c r="N44" s="83"/>
      <c r="O44" s="83">
        <v>0</v>
      </c>
      <c r="P44" s="83"/>
      <c r="Q44" s="83">
        <f>SUM(H44,K44,O44)</f>
        <v>0</v>
      </c>
      <c r="R44" s="28"/>
      <c r="S44" s="80"/>
    </row>
    <row r="45" spans="1:22" ht="17.25" thickBot="1" x14ac:dyDescent="0.3">
      <c r="A45" s="26"/>
      <c r="B45" s="59"/>
      <c r="C45" s="27"/>
      <c r="D45" s="35"/>
      <c r="E45" s="28"/>
      <c r="F45" s="90"/>
      <c r="G45" s="69"/>
      <c r="H45" s="34"/>
      <c r="I45" s="28"/>
      <c r="J45" s="28"/>
      <c r="K45" s="90">
        <v>0</v>
      </c>
      <c r="L45" s="64"/>
      <c r="M45" s="90">
        <v>0</v>
      </c>
      <c r="N45" s="90"/>
      <c r="O45" s="90">
        <v>0</v>
      </c>
      <c r="P45" s="28"/>
      <c r="Q45" s="90">
        <f>SUM(H45,K45,O45)</f>
        <v>0</v>
      </c>
      <c r="R45" s="28"/>
      <c r="S45" s="80"/>
    </row>
    <row r="46" spans="1:22" ht="17.25" thickBot="1" x14ac:dyDescent="0.3">
      <c r="A46" s="63" t="s">
        <v>30</v>
      </c>
      <c r="B46" s="59"/>
      <c r="C46" s="27"/>
      <c r="D46" s="60"/>
      <c r="E46" s="28"/>
      <c r="F46" s="85">
        <f>SUM(F44:F45)</f>
        <v>0</v>
      </c>
      <c r="G46" s="87"/>
      <c r="H46" s="85">
        <f>SUM(H44:H45)</f>
        <v>0</v>
      </c>
      <c r="I46" s="83"/>
      <c r="J46" s="83"/>
      <c r="K46" s="85">
        <f>SUM(K45:K45)</f>
        <v>0</v>
      </c>
      <c r="L46" s="83"/>
      <c r="M46" s="85">
        <f>SUM(M45:M45)</f>
        <v>0</v>
      </c>
      <c r="N46" s="85"/>
      <c r="O46" s="85">
        <f>SUM(O45:O45)</f>
        <v>0</v>
      </c>
      <c r="P46" s="83"/>
      <c r="Q46" s="85">
        <f>SUM(Q44:Q45)</f>
        <v>0</v>
      </c>
      <c r="R46" s="28"/>
      <c r="S46" s="81">
        <f>ROUND(+Q46/F48,5)</f>
        <v>0</v>
      </c>
    </row>
    <row r="47" spans="1:22" ht="17.25" thickBot="1" x14ac:dyDescent="0.3">
      <c r="A47" s="26"/>
      <c r="B47" s="27"/>
      <c r="C47" s="27"/>
      <c r="D47" s="62"/>
      <c r="E47" s="28"/>
      <c r="F47" s="34"/>
      <c r="G47" s="69"/>
      <c r="H47" s="34"/>
      <c r="I47" s="28"/>
      <c r="J47" s="28"/>
      <c r="K47" s="38"/>
      <c r="L47" s="38"/>
      <c r="M47" s="34"/>
      <c r="N47" s="34"/>
      <c r="O47" s="34"/>
      <c r="P47" s="34"/>
      <c r="Q47" s="34"/>
      <c r="R47" s="28"/>
      <c r="S47" s="61"/>
    </row>
    <row r="48" spans="1:22" ht="17.25" thickBot="1" x14ac:dyDescent="0.3">
      <c r="A48" s="26"/>
      <c r="B48" s="27"/>
      <c r="C48" s="27"/>
      <c r="D48" s="62" t="s">
        <v>9</v>
      </c>
      <c r="E48" s="28"/>
      <c r="F48" s="88">
        <f>F35+F46</f>
        <v>1106090314.8099999</v>
      </c>
      <c r="G48" s="87"/>
      <c r="H48" s="88">
        <f>H35+H42+H46</f>
        <v>34591057.700250775</v>
      </c>
      <c r="I48" s="83"/>
      <c r="J48" s="83"/>
      <c r="K48" s="88">
        <f>K35+K42+K46</f>
        <v>1898257.4641304344</v>
      </c>
      <c r="L48" s="83"/>
      <c r="M48" s="88">
        <f>M35+M42+M46</f>
        <v>1221518</v>
      </c>
      <c r="N48" s="88"/>
      <c r="O48" s="88">
        <f>O35+O42+O46</f>
        <v>1280982.29</v>
      </c>
      <c r="P48" s="83"/>
      <c r="Q48" s="88">
        <f>Q35+Q42+Q46</f>
        <v>38991815.454381205</v>
      </c>
      <c r="R48" s="28"/>
      <c r="S48" s="81">
        <f>ROUND(+Q48/F48,5)</f>
        <v>3.5249999999999997E-2</v>
      </c>
      <c r="U48" s="17"/>
    </row>
    <row r="49" spans="1:19" ht="15.75" thickTop="1" x14ac:dyDescent="0.2">
      <c r="A49" s="7"/>
      <c r="B49" s="101"/>
      <c r="C49" s="101"/>
      <c r="D49" s="24"/>
      <c r="E49" s="8"/>
      <c r="F49" s="22"/>
      <c r="G49" s="71"/>
      <c r="H49" s="22"/>
      <c r="I49" s="8"/>
      <c r="J49" s="8"/>
      <c r="K49" s="22"/>
      <c r="L49" s="22"/>
      <c r="M49" s="97"/>
      <c r="N49" s="97"/>
      <c r="O49" s="22"/>
      <c r="P49" s="22"/>
      <c r="Q49" s="22"/>
      <c r="R49" s="8"/>
      <c r="S49" s="25"/>
    </row>
    <row r="50" spans="1:19" ht="15.75" x14ac:dyDescent="0.25">
      <c r="D50" s="20"/>
      <c r="F50" s="15"/>
      <c r="H50" s="15"/>
      <c r="I50" s="114"/>
      <c r="J50" s="114"/>
      <c r="K50" s="15"/>
      <c r="L50" s="97"/>
      <c r="M50" s="117"/>
      <c r="N50" s="122"/>
      <c r="O50" s="15"/>
      <c r="P50" s="15"/>
      <c r="Q50" s="15"/>
      <c r="S50" s="18"/>
    </row>
    <row r="51" spans="1:19" ht="15.75" x14ac:dyDescent="0.25">
      <c r="D51" s="20"/>
      <c r="F51" s="15"/>
      <c r="H51" s="15"/>
      <c r="I51" s="114" t="s">
        <v>111</v>
      </c>
      <c r="J51" s="114"/>
      <c r="K51" s="15">
        <f>SUMIF($J$12:$J$33,"{a}",$K$12:$K$33)</f>
        <v>906122.04</v>
      </c>
      <c r="L51" s="97" t="s">
        <v>93</v>
      </c>
      <c r="M51" s="15"/>
      <c r="N51" s="15"/>
      <c r="O51" s="15"/>
      <c r="P51" s="15"/>
      <c r="Q51" s="15"/>
      <c r="S51" s="18"/>
    </row>
    <row r="52" spans="1:19" ht="15.75" x14ac:dyDescent="0.25">
      <c r="A52" s="17"/>
      <c r="D52" s="20"/>
      <c r="F52" s="15"/>
      <c r="H52" s="15"/>
      <c r="I52" s="114" t="s">
        <v>112</v>
      </c>
      <c r="K52" s="15">
        <f>SUMIF($J$12:$J$33,"{b}",$K$12:$K$33)</f>
        <v>279859.92</v>
      </c>
      <c r="L52" s="97" t="s">
        <v>97</v>
      </c>
      <c r="M52" s="15"/>
      <c r="N52" s="15"/>
      <c r="O52" s="15"/>
      <c r="P52" s="15"/>
      <c r="Q52" s="15"/>
      <c r="S52" s="18"/>
    </row>
    <row r="53" spans="1:19" x14ac:dyDescent="0.2">
      <c r="D53" s="20"/>
      <c r="F53" s="15"/>
      <c r="H53" s="15"/>
      <c r="K53" s="15"/>
      <c r="L53" s="15"/>
      <c r="M53" s="15"/>
      <c r="N53" s="15"/>
      <c r="O53" s="15"/>
      <c r="P53" s="15"/>
      <c r="Q53" s="15"/>
      <c r="S53" s="18"/>
    </row>
    <row r="54" spans="1:19" s="21" customFormat="1" ht="20.25" x14ac:dyDescent="0.3">
      <c r="A54" s="624" t="s">
        <v>83</v>
      </c>
      <c r="B54" s="634"/>
      <c r="C54" s="634"/>
      <c r="D54" s="634"/>
      <c r="E54" s="634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5"/>
    </row>
    <row r="55" spans="1:19" x14ac:dyDescent="0.2">
      <c r="A55" s="2"/>
      <c r="B55" s="6"/>
      <c r="C55" s="6"/>
      <c r="D55" s="3"/>
      <c r="E55" s="3"/>
      <c r="F55" s="3"/>
      <c r="G55" s="69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</row>
    <row r="56" spans="1:19" ht="16.5" x14ac:dyDescent="0.25">
      <c r="A56" s="26"/>
      <c r="B56" s="27"/>
      <c r="C56" s="27"/>
      <c r="D56" s="28"/>
      <c r="E56" s="28"/>
      <c r="F56" s="28"/>
      <c r="G56" s="69"/>
      <c r="H56" s="627" t="s">
        <v>1</v>
      </c>
      <c r="I56" s="627"/>
      <c r="J56" s="627"/>
      <c r="K56" s="627"/>
      <c r="L56" s="627"/>
      <c r="M56" s="627"/>
      <c r="N56" s="627"/>
      <c r="O56" s="627"/>
      <c r="P56" s="627"/>
      <c r="Q56" s="627"/>
      <c r="R56" s="28"/>
      <c r="S56" s="29"/>
    </row>
    <row r="57" spans="1:19" ht="16.5" x14ac:dyDescent="0.25">
      <c r="A57" s="26"/>
      <c r="B57" s="27"/>
      <c r="C57" s="27"/>
      <c r="D57" s="28"/>
      <c r="E57" s="28"/>
      <c r="F57" s="28"/>
      <c r="G57" s="6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30" t="s">
        <v>4</v>
      </c>
    </row>
    <row r="58" spans="1:19" ht="16.5" x14ac:dyDescent="0.25">
      <c r="A58" s="26"/>
      <c r="B58" s="27" t="s">
        <v>20</v>
      </c>
      <c r="C58" s="27"/>
      <c r="D58" s="31" t="s">
        <v>36</v>
      </c>
      <c r="E58" s="28"/>
      <c r="F58" s="31" t="s">
        <v>37</v>
      </c>
      <c r="G58" s="69"/>
      <c r="H58" s="31" t="s">
        <v>38</v>
      </c>
      <c r="I58" s="27"/>
      <c r="J58" s="27"/>
      <c r="K58" s="31" t="s">
        <v>39</v>
      </c>
      <c r="L58" s="27"/>
      <c r="M58" s="31" t="s">
        <v>40</v>
      </c>
      <c r="N58" s="31"/>
      <c r="O58" s="31" t="s">
        <v>8</v>
      </c>
      <c r="P58" s="27"/>
      <c r="Q58" s="31" t="s">
        <v>41</v>
      </c>
      <c r="R58" s="28"/>
      <c r="S58" s="32" t="s">
        <v>42</v>
      </c>
    </row>
    <row r="59" spans="1:19" ht="16.5" x14ac:dyDescent="0.25">
      <c r="A59" s="26"/>
      <c r="B59" s="27"/>
      <c r="C59" s="27"/>
      <c r="D59" s="28"/>
      <c r="E59" s="28"/>
      <c r="F59" s="28"/>
      <c r="G59" s="6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33"/>
    </row>
    <row r="60" spans="1:19" ht="20.25" x14ac:dyDescent="0.3">
      <c r="A60" s="26" t="s">
        <v>15</v>
      </c>
      <c r="B60" s="27" t="s">
        <v>21</v>
      </c>
      <c r="C60" s="97" t="s">
        <v>108</v>
      </c>
      <c r="D60" s="112">
        <f>'LG&amp;E MONEY POOL'!G191</f>
        <v>3.0000000000000001E-3</v>
      </c>
      <c r="E60" s="67" t="s">
        <v>11</v>
      </c>
      <c r="F60" s="453">
        <f>'LG&amp;E MONEY POOL'!E191</f>
        <v>0</v>
      </c>
      <c r="G60" s="87"/>
      <c r="H60" s="83">
        <f>ROUND(D60*F60,0)</f>
        <v>0</v>
      </c>
      <c r="I60" s="83"/>
      <c r="J60" s="83"/>
      <c r="K60" s="89">
        <v>0</v>
      </c>
      <c r="L60" s="89"/>
      <c r="M60" s="89">
        <v>0</v>
      </c>
      <c r="N60" s="89"/>
      <c r="O60" s="89">
        <v>0</v>
      </c>
      <c r="P60" s="83"/>
      <c r="Q60" s="83">
        <f>SUM(H60:O60)</f>
        <v>0</v>
      </c>
      <c r="R60" s="28"/>
      <c r="S60" s="80">
        <f>IF(F60=0,0,(ROUND((Q60/F60),5)))</f>
        <v>0</v>
      </c>
    </row>
    <row r="61" spans="1:19" ht="20.25" x14ac:dyDescent="0.3">
      <c r="A61" s="26" t="s">
        <v>82</v>
      </c>
      <c r="B61" s="27"/>
      <c r="C61" s="27"/>
      <c r="D61" s="35"/>
      <c r="E61" s="67"/>
      <c r="F61" s="90">
        <v>0</v>
      </c>
      <c r="G61" s="87"/>
      <c r="H61" s="90">
        <f t="shared" ref="H61" si="3">ROUND(D61*F61,0)</f>
        <v>0</v>
      </c>
      <c r="I61" s="83"/>
      <c r="J61" s="83"/>
      <c r="K61" s="96">
        <v>0</v>
      </c>
      <c r="L61" s="89"/>
      <c r="M61" s="96">
        <v>0</v>
      </c>
      <c r="N61" s="96"/>
      <c r="O61" s="96">
        <v>0</v>
      </c>
      <c r="P61" s="83"/>
      <c r="Q61" s="90">
        <f>SUM(H61:O61)</f>
        <v>0</v>
      </c>
      <c r="R61" s="28"/>
      <c r="S61" s="80">
        <f>IF(F61=0,0,(ROUND((Q61/F61),5)))</f>
        <v>0</v>
      </c>
    </row>
    <row r="62" spans="1:19" ht="16.5" x14ac:dyDescent="0.25">
      <c r="A62" s="26" t="s">
        <v>105</v>
      </c>
      <c r="B62" s="27" t="s">
        <v>106</v>
      </c>
      <c r="C62" s="97" t="s">
        <v>102</v>
      </c>
      <c r="D62" s="102">
        <v>3.192E-3</v>
      </c>
      <c r="E62" s="28"/>
      <c r="F62" s="111">
        <v>74873931.989999995</v>
      </c>
      <c r="G62" s="69"/>
      <c r="H62" s="37">
        <f>F62*D62</f>
        <v>238997.59091207999</v>
      </c>
      <c r="I62" s="28"/>
      <c r="J62" s="28"/>
      <c r="K62" s="109">
        <v>0</v>
      </c>
      <c r="L62" s="28"/>
      <c r="M62" s="109">
        <v>0</v>
      </c>
      <c r="N62" s="109"/>
      <c r="O62" s="109">
        <v>0</v>
      </c>
      <c r="P62" s="28"/>
      <c r="Q62" s="37">
        <f>SUM(H62:O62)</f>
        <v>238997.59091207999</v>
      </c>
      <c r="R62" s="28"/>
      <c r="S62" s="110">
        <f>IF(F62=0,0,(ROUND((Q62/F62),5)))</f>
        <v>3.1900000000000001E-3</v>
      </c>
    </row>
    <row r="63" spans="1:19" ht="17.25" thickBot="1" x14ac:dyDescent="0.3">
      <c r="A63" s="26"/>
      <c r="B63" s="27"/>
      <c r="C63" s="27"/>
      <c r="D63" s="28"/>
      <c r="E63" s="28"/>
      <c r="F63" s="38"/>
      <c r="G63" s="69"/>
      <c r="H63" s="38"/>
      <c r="I63" s="28"/>
      <c r="J63" s="28"/>
      <c r="K63" s="28"/>
      <c r="L63" s="28"/>
      <c r="M63" s="38"/>
      <c r="N63" s="38"/>
      <c r="O63" s="38"/>
      <c r="P63" s="28"/>
      <c r="Q63" s="38"/>
      <c r="R63" s="28"/>
      <c r="S63" s="39"/>
    </row>
    <row r="64" spans="1:19" ht="17.25" thickBot="1" x14ac:dyDescent="0.3">
      <c r="A64" s="26"/>
      <c r="B64" s="27"/>
      <c r="C64" s="27"/>
      <c r="D64" s="28" t="s">
        <v>9</v>
      </c>
      <c r="E64" s="28"/>
      <c r="F64" s="88">
        <f>SUM(F60:F63)</f>
        <v>74873931.989999995</v>
      </c>
      <c r="G64" s="87"/>
      <c r="H64" s="88">
        <f>SUM(H60:H63)</f>
        <v>238997.59091207999</v>
      </c>
      <c r="I64" s="83"/>
      <c r="J64" s="83"/>
      <c r="K64" s="91">
        <f>SUM(K62:K63)</f>
        <v>0</v>
      </c>
      <c r="L64" s="89"/>
      <c r="M64" s="91">
        <f>SUM(M62:M63)</f>
        <v>0</v>
      </c>
      <c r="N64" s="91"/>
      <c r="O64" s="91">
        <f>SUM(O62:O63)</f>
        <v>0</v>
      </c>
      <c r="P64" s="83"/>
      <c r="Q64" s="88">
        <f>SUM(Q60:Q63)</f>
        <v>238997.59091207999</v>
      </c>
      <c r="R64" s="28"/>
      <c r="S64" s="82">
        <f>IF(F64=0,0,(ROUND(Q64/F64,5)))</f>
        <v>3.1900000000000001E-3</v>
      </c>
    </row>
    <row r="65" spans="1:19" ht="17.25" thickTop="1" x14ac:dyDescent="0.25">
      <c r="A65" s="40"/>
      <c r="B65" s="123"/>
      <c r="C65" s="123"/>
      <c r="D65" s="41"/>
      <c r="E65" s="41"/>
      <c r="F65" s="41"/>
      <c r="G65" s="71"/>
      <c r="H65" s="36"/>
      <c r="I65" s="41"/>
      <c r="J65" s="41"/>
      <c r="K65" s="41"/>
      <c r="L65" s="41"/>
      <c r="M65" s="36"/>
      <c r="N65" s="36"/>
      <c r="O65" s="36"/>
      <c r="P65" s="41"/>
      <c r="Q65" s="41"/>
      <c r="R65" s="41"/>
      <c r="S65" s="42"/>
    </row>
    <row r="66" spans="1:19" ht="17.25" thickBot="1" x14ac:dyDescent="0.3">
      <c r="A66" s="43"/>
      <c r="B66" s="44"/>
      <c r="C66" s="44"/>
      <c r="D66" s="45"/>
      <c r="E66" s="43"/>
      <c r="F66" s="46"/>
      <c r="H66" s="46"/>
      <c r="I66" s="43"/>
      <c r="J66" s="43"/>
      <c r="K66" s="43"/>
      <c r="L66" s="43"/>
      <c r="M66" s="43"/>
      <c r="N66" s="43"/>
      <c r="O66" s="43"/>
      <c r="P66" s="43"/>
      <c r="Q66" s="46"/>
      <c r="R66" s="43"/>
      <c r="S66" s="43"/>
    </row>
    <row r="67" spans="1:19" ht="17.25" thickBot="1" x14ac:dyDescent="0.3">
      <c r="A67" s="43" t="s">
        <v>33</v>
      </c>
      <c r="B67" s="44"/>
      <c r="C67" s="44"/>
      <c r="D67" s="45"/>
      <c r="E67" s="43"/>
      <c r="F67" s="92">
        <f>F48+F64</f>
        <v>1180964246.8</v>
      </c>
      <c r="G67" s="93"/>
      <c r="H67" s="92">
        <f>H48+H64</f>
        <v>34830055.291162856</v>
      </c>
      <c r="I67" s="94"/>
      <c r="J67" s="94"/>
      <c r="K67" s="92">
        <f>K48+K64</f>
        <v>1898257.4641304344</v>
      </c>
      <c r="L67" s="94"/>
      <c r="M67" s="92">
        <f>M48+M64</f>
        <v>1221518</v>
      </c>
      <c r="N67" s="92"/>
      <c r="O67" s="92">
        <f>O48+O64</f>
        <v>1280982.29</v>
      </c>
      <c r="P67" s="94"/>
      <c r="Q67" s="92">
        <f>Q48+Q64</f>
        <v>39230813.045293286</v>
      </c>
      <c r="R67" s="43"/>
      <c r="S67" s="82">
        <f>ROUND(Q67/(F48+F64),5)</f>
        <v>3.322E-2</v>
      </c>
    </row>
    <row r="68" spans="1:19" ht="17.25" thickTop="1" x14ac:dyDescent="0.25">
      <c r="A68" s="43"/>
      <c r="B68" s="44"/>
      <c r="C68" s="44"/>
      <c r="D68" s="45"/>
      <c r="E68" s="43"/>
      <c r="F68" s="46"/>
      <c r="H68" s="46"/>
      <c r="I68" s="43"/>
      <c r="J68" s="43"/>
      <c r="K68" s="43"/>
      <c r="L68" s="43"/>
      <c r="M68" s="43"/>
      <c r="N68" s="43"/>
      <c r="O68" s="43"/>
      <c r="P68" s="43"/>
      <c r="Q68" s="46"/>
      <c r="R68" s="43"/>
      <c r="S68" s="106" t="s">
        <v>101</v>
      </c>
    </row>
    <row r="69" spans="1:19" ht="23.25" x14ac:dyDescent="0.35">
      <c r="A69" s="68" t="s">
        <v>100</v>
      </c>
      <c r="B69" s="44"/>
      <c r="C69" s="44"/>
      <c r="D69" s="45"/>
      <c r="E69" s="43"/>
      <c r="F69" s="46"/>
      <c r="H69" s="46"/>
      <c r="I69" s="43"/>
      <c r="J69" s="43"/>
      <c r="K69" s="43"/>
      <c r="L69" s="43"/>
      <c r="M69" s="43"/>
      <c r="N69" s="43"/>
      <c r="O69" s="43"/>
      <c r="P69" s="43"/>
      <c r="Q69" s="99" t="s">
        <v>115</v>
      </c>
      <c r="R69" s="43"/>
      <c r="S69" s="47">
        <v>3.3910000000000003E-2</v>
      </c>
    </row>
    <row r="70" spans="1:19" ht="16.5" x14ac:dyDescent="0.25">
      <c r="A70" s="43" t="s">
        <v>96</v>
      </c>
      <c r="B70" s="44"/>
      <c r="C70" s="44"/>
      <c r="D70" s="43"/>
      <c r="E70" s="43"/>
      <c r="F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ht="16.5" x14ac:dyDescent="0.25">
      <c r="A71" s="43"/>
      <c r="B71" s="44"/>
      <c r="C71" s="44"/>
      <c r="D71" s="43"/>
      <c r="E71" s="43"/>
      <c r="F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ht="16.5" x14ac:dyDescent="0.25">
      <c r="A72" s="43" t="s">
        <v>116</v>
      </c>
      <c r="B72" s="44"/>
      <c r="C72" s="44"/>
      <c r="D72" s="43"/>
      <c r="E72" s="43"/>
      <c r="F72" s="46"/>
      <c r="H72" s="46"/>
      <c r="I72" s="43"/>
      <c r="J72" s="43"/>
      <c r="K72" s="44" t="s">
        <v>48</v>
      </c>
      <c r="L72" s="43"/>
      <c r="M72" s="48" t="s">
        <v>17</v>
      </c>
      <c r="N72" s="48"/>
      <c r="O72" s="48" t="s">
        <v>17</v>
      </c>
      <c r="P72" s="43"/>
      <c r="Q72" s="44" t="s">
        <v>16</v>
      </c>
    </row>
    <row r="73" spans="1:19" ht="16.5" x14ac:dyDescent="0.25">
      <c r="A73" s="43"/>
      <c r="B73" s="44"/>
      <c r="C73" s="44"/>
      <c r="D73" s="43"/>
      <c r="E73" s="43"/>
      <c r="F73" s="46"/>
      <c r="H73" s="46"/>
      <c r="I73" s="43"/>
      <c r="J73" s="43"/>
      <c r="K73" s="44" t="s">
        <v>49</v>
      </c>
      <c r="L73" s="43"/>
      <c r="M73" s="48" t="s">
        <v>22</v>
      </c>
      <c r="N73" s="48"/>
      <c r="O73" s="48" t="s">
        <v>22</v>
      </c>
      <c r="P73" s="43"/>
      <c r="Q73" s="44" t="s">
        <v>18</v>
      </c>
    </row>
    <row r="74" spans="1:19" ht="16.5" x14ac:dyDescent="0.25">
      <c r="A74" s="49"/>
      <c r="B74" s="50" t="s">
        <v>43</v>
      </c>
      <c r="C74" s="44"/>
      <c r="D74" s="49"/>
      <c r="E74" s="43"/>
      <c r="F74" s="43"/>
      <c r="H74" s="51" t="s">
        <v>44</v>
      </c>
      <c r="I74" s="43"/>
      <c r="J74" s="43"/>
      <c r="K74" s="52" t="s">
        <v>50</v>
      </c>
      <c r="L74" s="43"/>
      <c r="M74" s="52" t="s">
        <v>45</v>
      </c>
      <c r="N74" s="52"/>
      <c r="O74" s="52" t="s">
        <v>45</v>
      </c>
      <c r="P74" s="43"/>
      <c r="Q74" s="53" t="s">
        <v>46</v>
      </c>
    </row>
    <row r="75" spans="1:19" ht="16.5" x14ac:dyDescent="0.25">
      <c r="A75" s="43"/>
      <c r="B75" s="54" t="s">
        <v>24</v>
      </c>
      <c r="C75" s="44"/>
      <c r="D75" s="43"/>
      <c r="E75" s="43"/>
      <c r="F75" s="46"/>
      <c r="H75" s="46">
        <v>83335000</v>
      </c>
      <c r="I75" s="43"/>
      <c r="J75" s="43"/>
      <c r="K75" s="55">
        <v>44136</v>
      </c>
      <c r="L75" s="56"/>
      <c r="M75" s="108">
        <v>5.4949999999999999E-2</v>
      </c>
      <c r="N75" s="108"/>
      <c r="O75" s="108">
        <v>5.4949999999999999E-2</v>
      </c>
      <c r="P75" s="43"/>
      <c r="Q75" s="1" t="s">
        <v>23</v>
      </c>
    </row>
    <row r="76" spans="1:19" ht="16.5" x14ac:dyDescent="0.25">
      <c r="A76" s="43"/>
      <c r="B76" s="54" t="s">
        <v>94</v>
      </c>
      <c r="C76" s="44"/>
      <c r="D76" s="43"/>
      <c r="E76" s="43"/>
      <c r="F76" s="46"/>
      <c r="H76" s="46">
        <v>32000000</v>
      </c>
      <c r="I76" s="43"/>
      <c r="J76" s="43"/>
      <c r="K76" s="55">
        <v>48853</v>
      </c>
      <c r="L76" s="56"/>
      <c r="M76" s="108">
        <v>3.6569999999999998E-2</v>
      </c>
      <c r="N76" s="108"/>
      <c r="O76" s="108">
        <v>3.6569999999999998E-2</v>
      </c>
      <c r="P76" s="43"/>
      <c r="Q76" s="9" t="s">
        <v>25</v>
      </c>
    </row>
    <row r="77" spans="1:19" ht="16.5" x14ac:dyDescent="0.25">
      <c r="A77" s="43"/>
      <c r="B77" s="54" t="s">
        <v>94</v>
      </c>
      <c r="C77" s="44"/>
      <c r="D77" s="43"/>
      <c r="E77" s="43"/>
      <c r="F77" s="46"/>
      <c r="H77" s="46">
        <v>32000000</v>
      </c>
      <c r="I77" s="43"/>
      <c r="J77" s="43"/>
      <c r="K77" s="55">
        <v>48853</v>
      </c>
      <c r="L77" s="56"/>
      <c r="M77" s="108">
        <v>3.6450000000000003E-2</v>
      </c>
      <c r="N77" s="108"/>
      <c r="O77" s="108">
        <v>3.6450000000000003E-2</v>
      </c>
      <c r="P77" s="43"/>
      <c r="Q77" s="9" t="s">
        <v>25</v>
      </c>
    </row>
    <row r="78" spans="1:19" ht="16.5" x14ac:dyDescent="0.25">
      <c r="A78" s="43"/>
      <c r="B78" s="54" t="s">
        <v>94</v>
      </c>
      <c r="C78" s="44"/>
      <c r="D78" s="43"/>
      <c r="E78" s="43"/>
      <c r="F78" s="46"/>
      <c r="H78" s="57">
        <v>32000000</v>
      </c>
      <c r="I78" s="43"/>
      <c r="J78" s="43"/>
      <c r="K78" s="55">
        <v>48853</v>
      </c>
      <c r="L78" s="56"/>
      <c r="M78" s="108">
        <v>3.6949999999999997E-2</v>
      </c>
      <c r="N78" s="108"/>
      <c r="O78" s="108">
        <v>3.6949999999999997E-2</v>
      </c>
      <c r="P78" s="43"/>
      <c r="Q78" s="9" t="s">
        <v>25</v>
      </c>
    </row>
    <row r="79" spans="1:19" ht="17.25" thickBot="1" x14ac:dyDescent="0.3">
      <c r="A79" s="43"/>
      <c r="B79" s="44"/>
      <c r="C79" s="44"/>
      <c r="D79" s="43"/>
      <c r="E79" s="43"/>
      <c r="F79" s="46"/>
      <c r="H79" s="79">
        <f>SUM(H75:H78)</f>
        <v>179335000</v>
      </c>
      <c r="I79" s="43"/>
      <c r="J79" s="43"/>
      <c r="K79" s="43"/>
      <c r="L79" s="43"/>
      <c r="M79" s="47"/>
      <c r="N79" s="47"/>
      <c r="O79" s="47"/>
      <c r="P79" s="43"/>
      <c r="Q79" s="43"/>
    </row>
    <row r="80" spans="1:19" ht="33" customHeight="1" thickTop="1" x14ac:dyDescent="0.25">
      <c r="A80" s="630" t="s">
        <v>117</v>
      </c>
      <c r="B80" s="629"/>
      <c r="C80" s="629"/>
      <c r="D80" s="629"/>
      <c r="E80" s="629"/>
      <c r="F80" s="629"/>
      <c r="H80" s="46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ht="16.5" customHeight="1" x14ac:dyDescent="0.25">
      <c r="A81" s="630" t="s">
        <v>118</v>
      </c>
      <c r="B81" s="629"/>
      <c r="C81" s="629"/>
      <c r="D81" s="629"/>
      <c r="E81" s="629"/>
      <c r="F81" s="629"/>
      <c r="H81" s="46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ht="16.5" customHeight="1" x14ac:dyDescent="0.25">
      <c r="A82" s="630" t="s">
        <v>119</v>
      </c>
      <c r="B82" s="629"/>
      <c r="C82" s="629"/>
      <c r="D82" s="629"/>
      <c r="E82" s="629"/>
      <c r="F82" s="629"/>
      <c r="H82" s="43"/>
      <c r="I82" s="43"/>
      <c r="J82" s="43"/>
      <c r="K82" s="43"/>
      <c r="L82" s="43"/>
      <c r="M82" s="46"/>
      <c r="N82" s="46"/>
      <c r="O82" s="46"/>
      <c r="P82" s="46"/>
      <c r="Q82" s="43"/>
      <c r="R82" s="43"/>
      <c r="S82" s="43"/>
    </row>
    <row r="83" spans="1:19" ht="16.5" customHeight="1" x14ac:dyDescent="0.25">
      <c r="A83" s="630" t="s">
        <v>122</v>
      </c>
      <c r="B83" s="629"/>
      <c r="C83" s="629"/>
      <c r="D83" s="629"/>
      <c r="E83" s="629"/>
      <c r="F83" s="629"/>
      <c r="H83" s="43"/>
      <c r="I83" s="43"/>
      <c r="J83" s="43"/>
      <c r="K83" s="43"/>
      <c r="L83" s="43"/>
      <c r="M83" s="46"/>
      <c r="N83" s="46"/>
      <c r="O83" s="46"/>
      <c r="P83" s="46"/>
      <c r="Q83" s="43"/>
      <c r="R83" s="43"/>
      <c r="S83" s="43"/>
    </row>
    <row r="84" spans="1:19" ht="30" customHeight="1" x14ac:dyDescent="0.25">
      <c r="A84" s="630" t="s">
        <v>120</v>
      </c>
      <c r="B84" s="629"/>
      <c r="C84" s="629"/>
      <c r="D84" s="629"/>
      <c r="E84" s="629"/>
      <c r="F84" s="629"/>
      <c r="H84" s="43"/>
      <c r="I84" s="43"/>
      <c r="J84" s="43"/>
      <c r="K84" s="43"/>
      <c r="L84" s="43"/>
      <c r="M84" s="46"/>
      <c r="N84" s="46"/>
      <c r="O84" s="46"/>
      <c r="P84" s="46"/>
      <c r="Q84" s="43"/>
      <c r="R84" s="43"/>
      <c r="S84" s="43"/>
    </row>
    <row r="85" spans="1:19" ht="16.5" x14ac:dyDescent="0.25">
      <c r="A85" s="628" t="s">
        <v>121</v>
      </c>
      <c r="B85" s="629"/>
      <c r="C85" s="629"/>
      <c r="D85" s="629"/>
      <c r="E85" s="629"/>
      <c r="F85" s="629"/>
      <c r="H85" s="43"/>
      <c r="I85" s="43"/>
      <c r="J85" s="43"/>
      <c r="K85" s="43"/>
      <c r="L85" s="43"/>
      <c r="M85" s="46"/>
      <c r="N85" s="46"/>
      <c r="O85" s="46"/>
      <c r="P85" s="46"/>
      <c r="Q85" s="43"/>
      <c r="R85" s="43"/>
      <c r="S85" s="43"/>
    </row>
    <row r="86" spans="1:19" ht="16.5" x14ac:dyDescent="0.25">
      <c r="A86" s="43" t="s">
        <v>26</v>
      </c>
      <c r="B86" s="44"/>
      <c r="C86" s="44"/>
      <c r="D86" s="43"/>
      <c r="E86" s="43"/>
      <c r="F86" s="43"/>
      <c r="H86" s="43"/>
      <c r="I86" s="43"/>
      <c r="J86" s="43"/>
      <c r="K86" s="43"/>
      <c r="L86" s="43"/>
      <c r="M86" s="46"/>
      <c r="N86" s="46"/>
      <c r="O86" s="46"/>
      <c r="P86" s="46"/>
      <c r="Q86" s="43"/>
      <c r="R86" s="43"/>
      <c r="S86" s="43"/>
    </row>
    <row r="87" spans="1:19" ht="16.5" x14ac:dyDescent="0.25">
      <c r="A87" s="43"/>
      <c r="B87" s="44"/>
      <c r="C87" s="44"/>
      <c r="D87" s="43"/>
      <c r="E87" s="43"/>
      <c r="F87" s="43"/>
      <c r="H87" s="43"/>
      <c r="I87" s="43"/>
      <c r="J87" s="43"/>
      <c r="K87" s="43"/>
      <c r="L87" s="43"/>
      <c r="M87" s="46"/>
      <c r="N87" s="46"/>
      <c r="O87" s="46"/>
      <c r="P87" s="46"/>
      <c r="Q87" s="43"/>
      <c r="R87" s="43"/>
      <c r="S87" s="43"/>
    </row>
    <row r="88" spans="1:19" ht="16.5" x14ac:dyDescent="0.25">
      <c r="A88" s="43"/>
      <c r="B88" s="44"/>
      <c r="C88" s="44"/>
      <c r="D88" s="43"/>
      <c r="E88" s="43"/>
      <c r="F88" s="43"/>
      <c r="H88" s="43"/>
      <c r="K88" s="43"/>
      <c r="L88" s="43"/>
      <c r="O88" s="43"/>
      <c r="P88" s="43"/>
      <c r="Q88" s="43"/>
      <c r="R88" s="43"/>
      <c r="S88" s="43"/>
    </row>
    <row r="89" spans="1:19" ht="16.5" x14ac:dyDescent="0.25">
      <c r="A89" s="43" t="s">
        <v>73</v>
      </c>
      <c r="B89" s="44"/>
      <c r="C89" s="44"/>
      <c r="D89" s="43"/>
      <c r="E89" s="43"/>
      <c r="F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 ht="16.5" x14ac:dyDescent="0.25">
      <c r="A90" s="43" t="s">
        <v>71</v>
      </c>
      <c r="B90" s="44"/>
      <c r="C90" s="44"/>
      <c r="D90" s="43"/>
      <c r="E90" s="43"/>
      <c r="F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 ht="16.5" x14ac:dyDescent="0.25">
      <c r="A91" s="43" t="s">
        <v>72</v>
      </c>
      <c r="B91" s="44"/>
      <c r="C91" s="44"/>
      <c r="D91" s="43"/>
      <c r="E91" s="43"/>
      <c r="F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 ht="16.5" x14ac:dyDescent="0.25">
      <c r="A92" s="43" t="s">
        <v>74</v>
      </c>
      <c r="B92" s="44"/>
      <c r="C92" s="44"/>
      <c r="D92" s="43"/>
      <c r="E92" s="43"/>
      <c r="F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 ht="16.5" x14ac:dyDescent="0.25">
      <c r="A93" s="43" t="s">
        <v>110</v>
      </c>
      <c r="B93" s="44"/>
      <c r="C93" s="44"/>
      <c r="D93" s="43"/>
      <c r="E93" s="43"/>
      <c r="F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19" ht="16.5" x14ac:dyDescent="0.25">
      <c r="A94" s="43"/>
      <c r="B94" s="44"/>
      <c r="C94" s="44"/>
      <c r="D94" s="43"/>
      <c r="E94" s="43"/>
      <c r="F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</sheetData>
  <mergeCells count="14">
    <mergeCell ref="A85:F85"/>
    <mergeCell ref="A84:F84"/>
    <mergeCell ref="A4:S4"/>
    <mergeCell ref="H56:Q56"/>
    <mergeCell ref="A80:F80"/>
    <mergeCell ref="A81:F81"/>
    <mergeCell ref="A82:F82"/>
    <mergeCell ref="A83:F83"/>
    <mergeCell ref="A54:S54"/>
    <mergeCell ref="A1:S1"/>
    <mergeCell ref="A2:S2"/>
    <mergeCell ref="A3:S3"/>
    <mergeCell ref="A5:S5"/>
    <mergeCell ref="H7:Q7"/>
  </mergeCells>
  <pageMargins left="0.5" right="0" top="0.5" bottom="0.5" header="0.5" footer="0.25"/>
  <pageSetup scale="42" orientation="portrait" r:id="rId1"/>
  <headerFooter alignWithMargins="0"/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>
    <pageSetUpPr fitToPage="1"/>
  </sheetPr>
  <dimension ref="A1:S22"/>
  <sheetViews>
    <sheetView topLeftCell="B1" zoomScaleNormal="100" workbookViewId="0">
      <selection activeCell="I36" sqref="I36"/>
    </sheetView>
  </sheetViews>
  <sheetFormatPr defaultColWidth="10.28515625" defaultRowHeight="12.75" x14ac:dyDescent="0.2"/>
  <cols>
    <col min="1" max="1" width="0" style="168" hidden="1" customWidth="1"/>
    <col min="2" max="2" width="38.7109375" style="168" customWidth="1"/>
    <col min="3" max="3" width="25.42578125" style="168" customWidth="1"/>
    <col min="4" max="4" width="10.28515625" style="168" customWidth="1"/>
    <col min="5" max="5" width="1" style="168" customWidth="1"/>
    <col min="6" max="6" width="11.7109375" style="168" customWidth="1"/>
    <col min="7" max="7" width="11.140625" style="168" bestFit="1" customWidth="1"/>
    <col min="8" max="8" width="12.140625" style="168" customWidth="1"/>
    <col min="9" max="9" width="15.7109375" style="168" bestFit="1" customWidth="1"/>
    <col min="10" max="10" width="13.140625" style="168" customWidth="1"/>
    <col min="11" max="11" width="15.42578125" style="168" bestFit="1" customWidth="1"/>
    <col min="12" max="12" width="13.7109375" style="168" bestFit="1" customWidth="1"/>
    <col min="13" max="13" width="16.140625" style="168" customWidth="1"/>
    <col min="14" max="14" width="17.28515625" style="168" customWidth="1"/>
    <col min="15" max="15" width="6.140625" style="168" customWidth="1"/>
    <col min="16" max="16" width="8.5703125" style="168" customWidth="1"/>
    <col min="17" max="18" width="10.28515625" style="168" customWidth="1"/>
    <col min="19" max="19" width="5.7109375" style="168" customWidth="1"/>
    <col min="20" max="16384" width="10.28515625" style="168"/>
  </cols>
  <sheetData>
    <row r="1" spans="1:19" x14ac:dyDescent="0.2">
      <c r="B1" s="640" t="s">
        <v>27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9" x14ac:dyDescent="0.2">
      <c r="B2" s="640" t="s">
        <v>145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19" x14ac:dyDescent="0.2">
      <c r="C3" s="169"/>
      <c r="D3" s="170"/>
      <c r="E3" s="170"/>
      <c r="F3" s="170"/>
      <c r="G3" s="170"/>
      <c r="H3" s="170"/>
      <c r="I3" s="170"/>
      <c r="J3" s="170"/>
      <c r="K3" s="170"/>
    </row>
    <row r="5" spans="1:19" x14ac:dyDescent="0.2">
      <c r="L5" s="170" t="s">
        <v>146</v>
      </c>
      <c r="M5" s="171"/>
    </row>
    <row r="6" spans="1:19" x14ac:dyDescent="0.2">
      <c r="F6" s="172" t="s">
        <v>147</v>
      </c>
      <c r="G6" s="172" t="s">
        <v>148</v>
      </c>
      <c r="H6" s="172" t="s">
        <v>149</v>
      </c>
      <c r="I6" s="170" t="s">
        <v>150</v>
      </c>
      <c r="J6" s="172" t="s">
        <v>151</v>
      </c>
      <c r="L6" s="170" t="s">
        <v>152</v>
      </c>
      <c r="M6" s="173" t="s">
        <v>153</v>
      </c>
      <c r="N6" s="170" t="s">
        <v>150</v>
      </c>
    </row>
    <row r="7" spans="1:19" s="174" customFormat="1" x14ac:dyDescent="0.2">
      <c r="F7" s="175" t="s">
        <v>154</v>
      </c>
      <c r="G7" s="176" t="s">
        <v>155</v>
      </c>
      <c r="H7" s="176" t="s">
        <v>155</v>
      </c>
      <c r="I7" s="177">
        <v>41547</v>
      </c>
      <c r="J7" s="176" t="s">
        <v>156</v>
      </c>
      <c r="K7" s="176" t="s">
        <v>157</v>
      </c>
      <c r="L7" s="178" t="s">
        <v>158</v>
      </c>
      <c r="M7" s="179" t="s">
        <v>159</v>
      </c>
      <c r="N7" s="177">
        <v>41578</v>
      </c>
    </row>
    <row r="8" spans="1:19" s="174" customFormat="1" ht="15.75" customHeight="1" x14ac:dyDescent="0.2">
      <c r="B8" s="174" t="s">
        <v>160</v>
      </c>
      <c r="C8" s="184" t="s">
        <v>52</v>
      </c>
      <c r="G8" s="180"/>
      <c r="H8" s="180"/>
      <c r="I8" s="185"/>
      <c r="K8" s="181"/>
      <c r="L8" s="181"/>
      <c r="M8" s="186"/>
      <c r="N8" s="182"/>
      <c r="P8" s="183"/>
      <c r="Q8" s="183"/>
      <c r="R8" s="183"/>
      <c r="S8" s="183"/>
    </row>
    <row r="9" spans="1:19" s="174" customFormat="1" x14ac:dyDescent="0.2">
      <c r="B9" s="174" t="s">
        <v>163</v>
      </c>
      <c r="C9" s="184" t="s">
        <v>164</v>
      </c>
      <c r="D9" s="174" t="s">
        <v>165</v>
      </c>
      <c r="E9" s="175" t="s">
        <v>166</v>
      </c>
      <c r="F9" s="187">
        <v>46630</v>
      </c>
      <c r="G9" s="180">
        <v>181119</v>
      </c>
      <c r="H9" s="180">
        <v>428059</v>
      </c>
      <c r="I9" s="188">
        <v>283795.41999999981</v>
      </c>
      <c r="J9" s="189"/>
      <c r="K9" s="190">
        <f>+I9+J9</f>
        <v>283795.41999999981</v>
      </c>
      <c r="L9" s="191">
        <v>-1699.38</v>
      </c>
      <c r="M9" s="192"/>
      <c r="N9" s="193">
        <f t="shared" ref="N9:N22" si="0">SUM(K9:M9)</f>
        <v>282096.0399999998</v>
      </c>
      <c r="O9" s="182"/>
      <c r="P9" s="183"/>
      <c r="Q9" s="183"/>
      <c r="R9" s="183"/>
    </row>
    <row r="10" spans="1:19" s="174" customFormat="1" x14ac:dyDescent="0.2">
      <c r="A10" s="174" t="s">
        <v>168</v>
      </c>
      <c r="B10" s="174" t="s">
        <v>169</v>
      </c>
      <c r="C10" s="184" t="s">
        <v>170</v>
      </c>
      <c r="E10" s="175"/>
      <c r="F10" s="187">
        <v>48730</v>
      </c>
      <c r="G10" s="180">
        <v>181127</v>
      </c>
      <c r="H10" s="180">
        <v>428035</v>
      </c>
      <c r="I10" s="188">
        <v>934843.46000000206</v>
      </c>
      <c r="J10" s="189"/>
      <c r="K10" s="190">
        <f>+I10+J10</f>
        <v>934843.46000000206</v>
      </c>
      <c r="L10" s="196">
        <v>-3961.2</v>
      </c>
      <c r="M10" s="192"/>
      <c r="N10" s="193">
        <f t="shared" si="0"/>
        <v>930882.2600000021</v>
      </c>
      <c r="O10" s="182"/>
      <c r="P10" s="183"/>
      <c r="Q10" s="183"/>
      <c r="R10" s="183"/>
      <c r="S10" s="183"/>
    </row>
    <row r="11" spans="1:19" s="174" customFormat="1" x14ac:dyDescent="0.2">
      <c r="B11" s="174" t="s">
        <v>172</v>
      </c>
      <c r="C11" s="198" t="s">
        <v>173</v>
      </c>
      <c r="E11" s="175" t="s">
        <v>174</v>
      </c>
      <c r="F11" s="187">
        <v>47694</v>
      </c>
      <c r="G11" s="180">
        <v>181129</v>
      </c>
      <c r="H11" s="180">
        <v>428076</v>
      </c>
      <c r="I11" s="188">
        <v>651574.23000000056</v>
      </c>
      <c r="J11" s="189"/>
      <c r="K11" s="194">
        <f>I11+J11</f>
        <v>651574.23000000056</v>
      </c>
      <c r="L11" s="191">
        <v>-3225.61</v>
      </c>
      <c r="M11" s="193"/>
      <c r="N11" s="193">
        <f t="shared" si="0"/>
        <v>648348.62000000058</v>
      </c>
      <c r="O11" s="182"/>
    </row>
    <row r="12" spans="1:19" s="174" customFormat="1" x14ac:dyDescent="0.2">
      <c r="B12" s="174" t="s">
        <v>175</v>
      </c>
      <c r="C12" s="199" t="s">
        <v>176</v>
      </c>
      <c r="D12" s="183" t="s">
        <v>165</v>
      </c>
      <c r="E12" s="200" t="s">
        <v>177</v>
      </c>
      <c r="F12" s="187">
        <v>46265</v>
      </c>
      <c r="G12" s="195">
        <v>181180</v>
      </c>
      <c r="H12" s="195">
        <v>428080</v>
      </c>
      <c r="I12" s="188">
        <v>128182.07999999961</v>
      </c>
      <c r="J12" s="189"/>
      <c r="K12" s="190">
        <f t="shared" ref="K12:K21" si="1">+I12+J12</f>
        <v>128182.07999999961</v>
      </c>
      <c r="L12" s="196">
        <v>-826.98</v>
      </c>
      <c r="M12" s="192"/>
      <c r="N12" s="193">
        <f t="shared" si="0"/>
        <v>127355.09999999961</v>
      </c>
      <c r="O12" s="182"/>
      <c r="P12" s="183"/>
      <c r="Q12" s="183"/>
      <c r="R12" s="183"/>
    </row>
    <row r="13" spans="1:19" s="174" customFormat="1" x14ac:dyDescent="0.2">
      <c r="B13" s="174" t="s">
        <v>178</v>
      </c>
      <c r="C13" s="199" t="s">
        <v>179</v>
      </c>
      <c r="D13" s="183" t="s">
        <v>165</v>
      </c>
      <c r="E13" s="200" t="s">
        <v>180</v>
      </c>
      <c r="F13" s="187">
        <v>46265</v>
      </c>
      <c r="G13" s="195">
        <v>181181</v>
      </c>
      <c r="H13" s="195">
        <v>428081</v>
      </c>
      <c r="I13" s="188">
        <v>139370.50999999946</v>
      </c>
      <c r="J13" s="189"/>
      <c r="K13" s="190">
        <f t="shared" si="1"/>
        <v>139370.50999999946</v>
      </c>
      <c r="L13" s="196">
        <v>-899.17</v>
      </c>
      <c r="M13" s="192"/>
      <c r="N13" s="193">
        <f t="shared" si="0"/>
        <v>138471.33999999944</v>
      </c>
      <c r="O13" s="182"/>
      <c r="P13" s="183"/>
      <c r="Q13" s="183"/>
      <c r="R13" s="183"/>
    </row>
    <row r="14" spans="1:19" s="174" customFormat="1" x14ac:dyDescent="0.2">
      <c r="B14" s="174" t="s">
        <v>181</v>
      </c>
      <c r="C14" s="184" t="s">
        <v>182</v>
      </c>
      <c r="D14" s="174" t="s">
        <v>165</v>
      </c>
      <c r="E14" s="175" t="s">
        <v>183</v>
      </c>
      <c r="F14" s="187">
        <v>46691</v>
      </c>
      <c r="G14" s="180">
        <v>181182</v>
      </c>
      <c r="H14" s="180">
        <v>428082</v>
      </c>
      <c r="I14" s="188">
        <v>154849.79000000044</v>
      </c>
      <c r="J14" s="189"/>
      <c r="K14" s="190">
        <f t="shared" si="1"/>
        <v>154849.79000000044</v>
      </c>
      <c r="L14" s="196">
        <v>-916.27</v>
      </c>
      <c r="M14" s="193"/>
      <c r="N14" s="193">
        <f t="shared" si="0"/>
        <v>153933.52000000046</v>
      </c>
      <c r="O14" s="182"/>
      <c r="P14" s="183"/>
      <c r="Q14" s="183"/>
      <c r="R14" s="183"/>
      <c r="S14" s="183"/>
    </row>
    <row r="15" spans="1:19" s="174" customFormat="1" x14ac:dyDescent="0.2">
      <c r="B15" s="174" t="s">
        <v>184</v>
      </c>
      <c r="C15" s="184" t="s">
        <v>185</v>
      </c>
      <c r="D15" s="174" t="s">
        <v>165</v>
      </c>
      <c r="E15" s="175" t="s">
        <v>186</v>
      </c>
      <c r="F15" s="187">
        <v>46691</v>
      </c>
      <c r="G15" s="180">
        <v>181183</v>
      </c>
      <c r="H15" s="180">
        <v>428083</v>
      </c>
      <c r="I15" s="188">
        <v>154875.19999999946</v>
      </c>
      <c r="J15" s="189"/>
      <c r="K15" s="190">
        <f t="shared" si="1"/>
        <v>154875.19999999946</v>
      </c>
      <c r="L15" s="196">
        <v>-916.42</v>
      </c>
      <c r="M15" s="192"/>
      <c r="N15" s="193">
        <f t="shared" si="0"/>
        <v>153958.77999999945</v>
      </c>
      <c r="O15" s="182"/>
      <c r="P15" s="183"/>
      <c r="Q15" s="183"/>
      <c r="R15" s="183"/>
      <c r="S15" s="183"/>
    </row>
    <row r="16" spans="1:19" s="174" customFormat="1" x14ac:dyDescent="0.2">
      <c r="B16" s="174" t="s">
        <v>187</v>
      </c>
      <c r="C16" s="184" t="s">
        <v>188</v>
      </c>
      <c r="D16" s="174" t="s">
        <v>165</v>
      </c>
      <c r="E16" s="175" t="s">
        <v>189</v>
      </c>
      <c r="F16" s="187">
        <v>48487</v>
      </c>
      <c r="G16" s="180">
        <v>181189</v>
      </c>
      <c r="H16" s="180">
        <v>428089</v>
      </c>
      <c r="I16" s="188">
        <v>707206.94999999879</v>
      </c>
      <c r="J16" s="189"/>
      <c r="K16" s="190">
        <f t="shared" si="1"/>
        <v>707206.94999999879</v>
      </c>
      <c r="L16" s="196">
        <v>-3101.78</v>
      </c>
      <c r="M16" s="192"/>
      <c r="N16" s="193">
        <f t="shared" si="0"/>
        <v>704105.16999999876</v>
      </c>
      <c r="O16" s="182"/>
      <c r="P16" s="183"/>
      <c r="Q16" s="183"/>
      <c r="R16" s="183"/>
      <c r="S16" s="183"/>
    </row>
    <row r="17" spans="1:19" s="174" customFormat="1" x14ac:dyDescent="0.2">
      <c r="B17" s="201" t="s">
        <v>190</v>
      </c>
      <c r="C17" s="184" t="s">
        <v>191</v>
      </c>
      <c r="E17" s="175"/>
      <c r="F17" s="187">
        <v>48852</v>
      </c>
      <c r="G17" s="180">
        <v>181190</v>
      </c>
      <c r="H17" s="180">
        <v>428091</v>
      </c>
      <c r="I17" s="188">
        <v>1101824.4700000007</v>
      </c>
      <c r="J17" s="189"/>
      <c r="K17" s="190">
        <f t="shared" si="1"/>
        <v>1101824.4700000007</v>
      </c>
      <c r="L17" s="196">
        <v>-4590.93</v>
      </c>
      <c r="M17" s="192"/>
      <c r="N17" s="193">
        <f t="shared" si="0"/>
        <v>1097233.5400000007</v>
      </c>
      <c r="O17" s="182"/>
      <c r="P17" s="183"/>
      <c r="Q17" s="183"/>
      <c r="R17" s="183"/>
      <c r="S17" s="183"/>
    </row>
    <row r="18" spans="1:19" s="174" customFormat="1" x14ac:dyDescent="0.2">
      <c r="B18" s="201" t="s">
        <v>192</v>
      </c>
      <c r="C18" s="201" t="s">
        <v>193</v>
      </c>
      <c r="E18" s="175"/>
      <c r="F18" s="187">
        <v>48730</v>
      </c>
      <c r="G18" s="180">
        <v>181126</v>
      </c>
      <c r="H18" s="180">
        <v>428031</v>
      </c>
      <c r="I18" s="188">
        <v>406821.48</v>
      </c>
      <c r="J18" s="189"/>
      <c r="K18" s="190">
        <f t="shared" si="1"/>
        <v>406821.48</v>
      </c>
      <c r="L18" s="196">
        <v>-1723.82</v>
      </c>
      <c r="M18" s="192"/>
      <c r="N18" s="193">
        <f t="shared" si="0"/>
        <v>405097.66</v>
      </c>
      <c r="O18" s="182"/>
      <c r="P18" s="183"/>
      <c r="Q18" s="183"/>
      <c r="R18" s="183"/>
      <c r="S18" s="183"/>
    </row>
    <row r="19" spans="1:19" s="174" customFormat="1" x14ac:dyDescent="0.2">
      <c r="A19" s="174" t="s">
        <v>194</v>
      </c>
      <c r="B19" s="202" t="s">
        <v>195</v>
      </c>
      <c r="C19" s="184" t="s">
        <v>196</v>
      </c>
      <c r="D19" s="174" t="s">
        <v>165</v>
      </c>
      <c r="E19" s="175" t="s">
        <v>197</v>
      </c>
      <c r="F19" s="187">
        <v>42338</v>
      </c>
      <c r="G19" s="180">
        <v>181020</v>
      </c>
      <c r="H19" s="180">
        <v>428020</v>
      </c>
      <c r="I19" s="188">
        <v>1105874.6400000004</v>
      </c>
      <c r="J19" s="197">
        <v>0</v>
      </c>
      <c r="K19" s="194">
        <f t="shared" si="1"/>
        <v>1105874.6400000004</v>
      </c>
      <c r="L19" s="191">
        <v>-43520.26</v>
      </c>
      <c r="M19" s="193"/>
      <c r="N19" s="193">
        <f t="shared" si="0"/>
        <v>1062354.3800000004</v>
      </c>
      <c r="O19" s="182"/>
      <c r="P19" s="183"/>
      <c r="Q19" s="183"/>
      <c r="R19" s="183"/>
      <c r="S19" s="183"/>
    </row>
    <row r="20" spans="1:19" s="174" customFormat="1" x14ac:dyDescent="0.2">
      <c r="A20" s="174" t="s">
        <v>198</v>
      </c>
      <c r="B20" s="202" t="s">
        <v>199</v>
      </c>
      <c r="C20" s="184" t="s">
        <v>200</v>
      </c>
      <c r="D20" s="174" t="s">
        <v>165</v>
      </c>
      <c r="E20" s="175" t="s">
        <v>201</v>
      </c>
      <c r="F20" s="187">
        <v>51470</v>
      </c>
      <c r="G20" s="180">
        <v>181021</v>
      </c>
      <c r="H20" s="180">
        <v>428221</v>
      </c>
      <c r="I20" s="188">
        <v>3233975.6700000013</v>
      </c>
      <c r="J20" s="197">
        <v>0</v>
      </c>
      <c r="K20" s="190">
        <f t="shared" si="1"/>
        <v>3233975.6700000013</v>
      </c>
      <c r="L20" s="203">
        <v>-9937.44</v>
      </c>
      <c r="M20" s="204"/>
      <c r="N20" s="193">
        <f t="shared" si="0"/>
        <v>3224038.2300000014</v>
      </c>
      <c r="O20" s="182"/>
      <c r="P20" s="183"/>
      <c r="Q20" s="183"/>
      <c r="R20" s="183"/>
      <c r="S20" s="183"/>
    </row>
    <row r="21" spans="1:19" s="174" customFormat="1" x14ac:dyDescent="0.2">
      <c r="B21" s="205" t="s">
        <v>202</v>
      </c>
      <c r="C21" s="184" t="s">
        <v>203</v>
      </c>
      <c r="E21" s="175"/>
      <c r="F21" s="187">
        <v>42090</v>
      </c>
      <c r="G21" s="180">
        <v>181014</v>
      </c>
      <c r="H21" s="180">
        <v>428014</v>
      </c>
      <c r="I21" s="188">
        <v>3385.4499999999971</v>
      </c>
      <c r="J21" s="197">
        <v>0</v>
      </c>
      <c r="K21" s="190">
        <f t="shared" si="1"/>
        <v>3385.4499999999971</v>
      </c>
      <c r="L21" s="203">
        <v>-190.97</v>
      </c>
      <c r="M21" s="204"/>
      <c r="N21" s="193">
        <f t="shared" si="0"/>
        <v>3194.4799999999973</v>
      </c>
      <c r="O21" s="182"/>
      <c r="P21" s="183"/>
      <c r="Q21" s="183"/>
      <c r="R21" s="183"/>
      <c r="S21" s="183"/>
    </row>
    <row r="22" spans="1:19" s="174" customFormat="1" x14ac:dyDescent="0.2">
      <c r="C22" s="174" t="s">
        <v>9</v>
      </c>
      <c r="G22" s="206"/>
      <c r="H22" s="206"/>
      <c r="I22" s="207">
        <f>SUM(I8:I21)</f>
        <v>9006579.3500000015</v>
      </c>
      <c r="J22" s="207">
        <f>SUM(J8:J21)</f>
        <v>0</v>
      </c>
      <c r="K22" s="207">
        <f>SUM(K8:K21)</f>
        <v>9006579.3500000015</v>
      </c>
      <c r="L22" s="207">
        <f>SUM(L8:L21)</f>
        <v>-75510.23000000001</v>
      </c>
      <c r="M22" s="207">
        <f>SUM(M8:M21)</f>
        <v>0</v>
      </c>
      <c r="N22" s="208">
        <f t="shared" si="0"/>
        <v>8931069.120000001</v>
      </c>
      <c r="O22" s="209"/>
      <c r="P22" s="183"/>
      <c r="Q22" s="183"/>
      <c r="R22" s="183"/>
      <c r="S22" s="183"/>
    </row>
  </sheetData>
  <mergeCells count="2">
    <mergeCell ref="B1:N1"/>
    <mergeCell ref="B2:N2"/>
  </mergeCells>
  <printOptions horizontalCentered="1"/>
  <pageMargins left="0.25" right="0.25" top="0.7" bottom="0.5" header="0.5" footer="0.25"/>
  <pageSetup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/>
  <dimension ref="A1:V404"/>
  <sheetViews>
    <sheetView topLeftCell="A22" zoomScale="80" zoomScaleNormal="80" workbookViewId="0">
      <selection activeCell="I32" sqref="I32"/>
    </sheetView>
  </sheetViews>
  <sheetFormatPr defaultColWidth="10.28515625" defaultRowHeight="15" x14ac:dyDescent="0.2"/>
  <cols>
    <col min="1" max="1" width="46" style="228" bestFit="1" customWidth="1"/>
    <col min="2" max="2" width="28.140625" style="228" customWidth="1"/>
    <col min="3" max="3" width="8.28515625" style="228" hidden="1" customWidth="1"/>
    <col min="4" max="4" width="28.5703125" style="228" bestFit="1" customWidth="1"/>
    <col min="5" max="5" width="16.5703125" style="228" bestFit="1" customWidth="1"/>
    <col min="6" max="6" width="16.140625" style="228" customWidth="1"/>
    <col min="7" max="7" width="15.140625" style="228" bestFit="1" customWidth="1"/>
    <col min="8" max="8" width="15.7109375" style="228" bestFit="1" customWidth="1"/>
    <col min="9" max="9" width="16.85546875" style="228" bestFit="1" customWidth="1"/>
    <col min="10" max="10" width="2.140625" style="228" customWidth="1"/>
    <col min="11" max="11" width="15.140625" style="269" bestFit="1" customWidth="1"/>
    <col min="12" max="12" width="2.28515625" style="228" customWidth="1"/>
    <col min="13" max="13" width="16.5703125" style="228" customWidth="1"/>
    <col min="14" max="14" width="2.28515625" style="228" customWidth="1"/>
    <col min="15" max="15" width="17" style="228" bestFit="1" customWidth="1"/>
    <col min="16" max="16" width="1.7109375" style="228" customWidth="1"/>
    <col min="17" max="17" width="18.28515625" style="228" bestFit="1" customWidth="1"/>
    <col min="18" max="18" width="10.42578125" style="229" bestFit="1" customWidth="1"/>
    <col min="19" max="19" width="14.85546875" style="228" bestFit="1" customWidth="1"/>
    <col min="20" max="20" width="10.28515625" style="228" customWidth="1"/>
    <col min="21" max="21" width="12.140625" style="230" customWidth="1"/>
    <col min="22" max="16384" width="10.28515625" style="228"/>
  </cols>
  <sheetData>
    <row r="1" spans="1:22" ht="15.75" x14ac:dyDescent="0.25">
      <c r="B1" s="641" t="s">
        <v>209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</row>
    <row r="2" spans="1:22" ht="15.75" x14ac:dyDescent="0.25">
      <c r="B2" s="641" t="s">
        <v>210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</row>
    <row r="3" spans="1:22" x14ac:dyDescent="0.2"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</row>
    <row r="4" spans="1:22" s="231" customFormat="1" ht="15.75" x14ac:dyDescent="0.25">
      <c r="K4" s="232"/>
      <c r="O4" s="612" t="s">
        <v>211</v>
      </c>
      <c r="P4" s="612"/>
      <c r="R4" s="233"/>
      <c r="U4" s="234"/>
    </row>
    <row r="5" spans="1:22" s="231" customFormat="1" ht="15.75" x14ac:dyDescent="0.25">
      <c r="A5" s="612" t="s">
        <v>212</v>
      </c>
      <c r="E5" s="612" t="s">
        <v>213</v>
      </c>
      <c r="F5" s="612" t="s">
        <v>214</v>
      </c>
      <c r="G5" s="612" t="s">
        <v>215</v>
      </c>
      <c r="H5" s="612" t="s">
        <v>216</v>
      </c>
      <c r="I5" s="612" t="s">
        <v>150</v>
      </c>
      <c r="K5" s="232"/>
      <c r="O5" s="612" t="s">
        <v>152</v>
      </c>
      <c r="P5" s="612"/>
      <c r="Q5" s="612" t="s">
        <v>150</v>
      </c>
      <c r="R5" s="233"/>
      <c r="U5" s="234"/>
    </row>
    <row r="6" spans="1:22" s="231" customFormat="1" ht="15.75" x14ac:dyDescent="0.25">
      <c r="A6" s="612" t="s">
        <v>217</v>
      </c>
      <c r="B6" s="235" t="s">
        <v>218</v>
      </c>
      <c r="D6" s="235" t="s">
        <v>219</v>
      </c>
      <c r="E6" s="236" t="s">
        <v>211</v>
      </c>
      <c r="F6" s="236" t="s">
        <v>220</v>
      </c>
      <c r="G6" s="237" t="s">
        <v>155</v>
      </c>
      <c r="H6" s="237" t="s">
        <v>155</v>
      </c>
      <c r="I6" s="238">
        <v>41547</v>
      </c>
      <c r="J6" s="235"/>
      <c r="K6" s="239" t="s">
        <v>221</v>
      </c>
      <c r="L6" s="235"/>
      <c r="M6" s="236" t="s">
        <v>157</v>
      </c>
      <c r="N6" s="235"/>
      <c r="O6" s="236" t="s">
        <v>158</v>
      </c>
      <c r="P6" s="236"/>
      <c r="Q6" s="238">
        <v>41578</v>
      </c>
      <c r="R6" s="233"/>
      <c r="U6" s="234"/>
    </row>
    <row r="7" spans="1:22" x14ac:dyDescent="0.2">
      <c r="I7" s="240"/>
      <c r="K7" s="241"/>
      <c r="M7" s="240"/>
      <c r="O7" s="242"/>
      <c r="P7" s="242"/>
    </row>
    <row r="8" spans="1:22" ht="15.75" x14ac:dyDescent="0.25">
      <c r="A8" s="228" t="s">
        <v>222</v>
      </c>
      <c r="B8" s="244" t="s">
        <v>223</v>
      </c>
      <c r="C8" s="245" t="s">
        <v>577</v>
      </c>
      <c r="D8" s="245" t="s">
        <v>578</v>
      </c>
      <c r="E8" s="270">
        <v>42156</v>
      </c>
      <c r="F8" s="615"/>
      <c r="G8" s="612">
        <v>189004</v>
      </c>
      <c r="H8" s="612">
        <v>428104</v>
      </c>
      <c r="I8" s="616">
        <v>55089.540000000008</v>
      </c>
      <c r="M8" s="230">
        <f t="shared" ref="M8:M28" si="0">SUM(I8:L8)</f>
        <v>55089.540000000008</v>
      </c>
      <c r="O8" s="617">
        <v>-2625</v>
      </c>
      <c r="P8" s="617"/>
      <c r="Q8" s="250">
        <f t="shared" ref="Q8:Q28" si="1">SUM(M8:O8)</f>
        <v>52464.540000000008</v>
      </c>
      <c r="V8" s="266"/>
    </row>
    <row r="9" spans="1:22" ht="15.75" x14ac:dyDescent="0.25">
      <c r="A9" s="228" t="s">
        <v>224</v>
      </c>
      <c r="B9" s="268" t="s">
        <v>225</v>
      </c>
      <c r="C9" s="228" t="s">
        <v>167</v>
      </c>
      <c r="E9" s="270">
        <v>41456</v>
      </c>
      <c r="F9" s="615">
        <v>41501</v>
      </c>
      <c r="G9" s="612">
        <v>189008</v>
      </c>
      <c r="H9" s="612">
        <v>428108</v>
      </c>
      <c r="I9" s="616">
        <v>-1.8189894035458565E-12</v>
      </c>
      <c r="K9" s="267"/>
      <c r="M9" s="230">
        <f t="shared" si="0"/>
        <v>-1.8189894035458565E-12</v>
      </c>
      <c r="O9" s="617">
        <v>0</v>
      </c>
      <c r="P9" s="617"/>
      <c r="Q9" s="250">
        <f t="shared" si="1"/>
        <v>-1.8189894035458565E-12</v>
      </c>
      <c r="V9" s="266"/>
    </row>
    <row r="10" spans="1:22" ht="15.75" x14ac:dyDescent="0.25">
      <c r="A10" s="228" t="s">
        <v>226</v>
      </c>
      <c r="B10" s="268" t="s">
        <v>227</v>
      </c>
      <c r="C10" s="228" t="s">
        <v>161</v>
      </c>
      <c r="E10" s="270">
        <v>42948</v>
      </c>
      <c r="F10" s="615">
        <v>42979</v>
      </c>
      <c r="G10" s="612">
        <v>189009</v>
      </c>
      <c r="H10" s="612">
        <v>428109</v>
      </c>
      <c r="I10" s="616">
        <v>44920.639999999999</v>
      </c>
      <c r="M10" s="230">
        <f t="shared" si="0"/>
        <v>44920.639999999999</v>
      </c>
      <c r="O10" s="617">
        <v>-956</v>
      </c>
      <c r="P10" s="617"/>
      <c r="Q10" s="250">
        <f t="shared" si="1"/>
        <v>43964.639999999999</v>
      </c>
      <c r="V10" s="266"/>
    </row>
    <row r="11" spans="1:22" ht="15.75" x14ac:dyDescent="0.25">
      <c r="A11" s="228" t="s">
        <v>228</v>
      </c>
      <c r="B11" s="268" t="s">
        <v>229</v>
      </c>
      <c r="C11" s="228" t="s">
        <v>162</v>
      </c>
      <c r="E11" s="270">
        <v>42948</v>
      </c>
      <c r="F11" s="615">
        <v>42979</v>
      </c>
      <c r="G11" s="612">
        <v>189010</v>
      </c>
      <c r="H11" s="612">
        <v>428110</v>
      </c>
      <c r="I11" s="616">
        <v>403284</v>
      </c>
      <c r="K11" s="267"/>
      <c r="M11" s="230">
        <f t="shared" si="0"/>
        <v>403284</v>
      </c>
      <c r="O11" s="618">
        <v>-8582</v>
      </c>
      <c r="P11" s="618"/>
      <c r="Q11" s="250">
        <f t="shared" si="1"/>
        <v>394702</v>
      </c>
      <c r="R11" s="261"/>
      <c r="V11" s="266"/>
    </row>
    <row r="12" spans="1:22" ht="15.75" x14ac:dyDescent="0.25">
      <c r="A12" s="228" t="s">
        <v>230</v>
      </c>
      <c r="B12" s="268" t="s">
        <v>231</v>
      </c>
      <c r="C12" s="228" t="s">
        <v>171</v>
      </c>
      <c r="D12" s="228" t="s">
        <v>232</v>
      </c>
      <c r="E12" s="270">
        <v>46478</v>
      </c>
      <c r="F12" s="615">
        <v>46508</v>
      </c>
      <c r="G12" s="612">
        <v>189024</v>
      </c>
      <c r="H12" s="612">
        <v>428124</v>
      </c>
      <c r="I12" s="616">
        <v>1100487.04</v>
      </c>
      <c r="K12" s="267"/>
      <c r="M12" s="230">
        <f t="shared" si="0"/>
        <v>1100487.04</v>
      </c>
      <c r="O12" s="253">
        <v>-6752</v>
      </c>
      <c r="P12" s="618"/>
      <c r="Q12" s="250">
        <f t="shared" si="1"/>
        <v>1093735.04</v>
      </c>
      <c r="R12" s="261"/>
      <c r="V12" s="266"/>
    </row>
    <row r="13" spans="1:22" s="243" customFormat="1" ht="15.75" x14ac:dyDescent="0.25">
      <c r="A13" s="243" t="s">
        <v>233</v>
      </c>
      <c r="B13" s="243" t="s">
        <v>232</v>
      </c>
      <c r="E13" s="246">
        <v>46478</v>
      </c>
      <c r="F13" s="247">
        <v>46508</v>
      </c>
      <c r="G13" s="248">
        <v>189128</v>
      </c>
      <c r="H13" s="248">
        <v>428128</v>
      </c>
      <c r="I13" s="249">
        <v>737268.16999999958</v>
      </c>
      <c r="K13" s="255">
        <v>0</v>
      </c>
      <c r="M13" s="251">
        <f t="shared" si="0"/>
        <v>737268.16999999958</v>
      </c>
      <c r="O13" s="253">
        <v>-4523.12</v>
      </c>
      <c r="P13" s="253"/>
      <c r="Q13" s="250">
        <f t="shared" si="1"/>
        <v>732745.04999999958</v>
      </c>
      <c r="R13" s="254"/>
      <c r="U13" s="251"/>
      <c r="V13" s="227"/>
    </row>
    <row r="14" spans="1:22" ht="15.75" x14ac:dyDescent="0.25">
      <c r="A14" s="228" t="s">
        <v>234</v>
      </c>
      <c r="B14" s="268" t="s">
        <v>235</v>
      </c>
      <c r="C14" s="228" t="s">
        <v>174</v>
      </c>
      <c r="D14" s="268" t="s">
        <v>236</v>
      </c>
      <c r="E14" s="270">
        <v>47665</v>
      </c>
      <c r="F14" s="615">
        <v>11171</v>
      </c>
      <c r="G14" s="612">
        <v>189025</v>
      </c>
      <c r="H14" s="612">
        <v>428125</v>
      </c>
      <c r="I14" s="616">
        <v>2418802.52</v>
      </c>
      <c r="K14" s="267"/>
      <c r="M14" s="230">
        <f t="shared" si="0"/>
        <v>2418802.52</v>
      </c>
      <c r="O14" s="619">
        <v>-11975</v>
      </c>
      <c r="P14" s="619"/>
      <c r="Q14" s="250">
        <f t="shared" si="1"/>
        <v>2406827.52</v>
      </c>
      <c r="R14" s="261"/>
      <c r="V14" s="266"/>
    </row>
    <row r="15" spans="1:22" s="243" customFormat="1" ht="15.75" x14ac:dyDescent="0.25">
      <c r="A15" s="243" t="s">
        <v>237</v>
      </c>
      <c r="B15" s="243" t="s">
        <v>238</v>
      </c>
      <c r="D15" s="243" t="s">
        <v>239</v>
      </c>
      <c r="E15" s="246">
        <v>48700</v>
      </c>
      <c r="F15" s="247">
        <v>42979</v>
      </c>
      <c r="G15" s="248">
        <v>189030</v>
      </c>
      <c r="H15" s="248">
        <v>428130</v>
      </c>
      <c r="I15" s="249">
        <v>98381.800000000207</v>
      </c>
      <c r="K15" s="257"/>
      <c r="L15" s="227"/>
      <c r="M15" s="230">
        <f t="shared" si="0"/>
        <v>98381.800000000207</v>
      </c>
      <c r="N15" s="227"/>
      <c r="O15" s="256">
        <v>-416.87</v>
      </c>
      <c r="P15" s="256"/>
      <c r="Q15" s="250">
        <f t="shared" si="1"/>
        <v>97964.930000000211</v>
      </c>
      <c r="R15" s="261"/>
      <c r="S15" s="228"/>
      <c r="T15" s="228"/>
      <c r="U15" s="230"/>
      <c r="V15" s="227"/>
    </row>
    <row r="16" spans="1:22" s="243" customFormat="1" ht="15.75" x14ac:dyDescent="0.25">
      <c r="A16" s="243" t="s">
        <v>240</v>
      </c>
      <c r="B16" s="243" t="s">
        <v>239</v>
      </c>
      <c r="E16" s="246">
        <v>48700</v>
      </c>
      <c r="F16" s="247">
        <v>12206</v>
      </c>
      <c r="G16" s="248">
        <v>189125</v>
      </c>
      <c r="H16" s="248">
        <v>428127</v>
      </c>
      <c r="I16" s="249">
        <v>996706.36000000127</v>
      </c>
      <c r="K16" s="257">
        <v>0</v>
      </c>
      <c r="L16" s="227"/>
      <c r="M16" s="230">
        <f t="shared" si="0"/>
        <v>996706.36000000127</v>
      </c>
      <c r="N16" s="227"/>
      <c r="O16" s="256">
        <v>-4223.34</v>
      </c>
      <c r="P16" s="256"/>
      <c r="Q16" s="250">
        <f t="shared" si="1"/>
        <v>992483.0200000013</v>
      </c>
      <c r="R16" s="261"/>
      <c r="S16" s="228"/>
      <c r="T16" s="228"/>
      <c r="U16" s="230"/>
      <c r="V16" s="227"/>
    </row>
    <row r="17" spans="1:22" s="243" customFormat="1" ht="15.75" x14ac:dyDescent="0.25">
      <c r="A17" s="243" t="s">
        <v>241</v>
      </c>
      <c r="B17" s="243" t="s">
        <v>242</v>
      </c>
      <c r="D17" s="243" t="s">
        <v>243</v>
      </c>
      <c r="E17" s="246">
        <v>48700</v>
      </c>
      <c r="F17" s="247">
        <v>41487</v>
      </c>
      <c r="G17" s="248">
        <v>189031</v>
      </c>
      <c r="H17" s="248">
        <v>128131</v>
      </c>
      <c r="I17" s="249">
        <v>55716.170000000144</v>
      </c>
      <c r="K17" s="257"/>
      <c r="M17" s="230">
        <f t="shared" si="0"/>
        <v>55716.170000000144</v>
      </c>
      <c r="O17" s="256">
        <v>-236.09</v>
      </c>
      <c r="P17" s="256"/>
      <c r="Q17" s="250">
        <f t="shared" si="1"/>
        <v>55480.080000000147</v>
      </c>
      <c r="R17" s="261"/>
      <c r="S17" s="228"/>
      <c r="T17" s="228"/>
      <c r="U17" s="230"/>
      <c r="V17" s="227"/>
    </row>
    <row r="18" spans="1:22" s="243" customFormat="1" ht="15.75" x14ac:dyDescent="0.25">
      <c r="A18" s="243" t="s">
        <v>244</v>
      </c>
      <c r="B18" s="243" t="s">
        <v>243</v>
      </c>
      <c r="E18" s="246">
        <v>48700</v>
      </c>
      <c r="F18" s="247">
        <v>12206</v>
      </c>
      <c r="G18" s="248">
        <v>189126</v>
      </c>
      <c r="H18" s="248">
        <v>428126</v>
      </c>
      <c r="I18" s="249">
        <v>485721.83999999973</v>
      </c>
      <c r="K18" s="257"/>
      <c r="M18" s="230">
        <f t="shared" si="0"/>
        <v>485721.83999999973</v>
      </c>
      <c r="O18" s="256">
        <v>-2058.15</v>
      </c>
      <c r="P18" s="256"/>
      <c r="Q18" s="250">
        <f t="shared" si="1"/>
        <v>483663.68999999971</v>
      </c>
      <c r="R18" s="261"/>
      <c r="S18" s="228"/>
      <c r="T18" s="228"/>
      <c r="U18" s="230"/>
      <c r="V18" s="227"/>
    </row>
    <row r="19" spans="1:22" s="243" customFormat="1" ht="15.75" x14ac:dyDescent="0.25">
      <c r="A19" s="243" t="s">
        <v>245</v>
      </c>
      <c r="B19" s="243" t="s">
        <v>246</v>
      </c>
      <c r="D19" s="243" t="s">
        <v>247</v>
      </c>
      <c r="E19" s="246">
        <v>48700</v>
      </c>
      <c r="F19" s="247">
        <v>42979</v>
      </c>
      <c r="G19" s="248">
        <v>189035</v>
      </c>
      <c r="H19" s="248">
        <v>428135</v>
      </c>
      <c r="I19" s="249">
        <v>130095.63999999998</v>
      </c>
      <c r="K19" s="257"/>
      <c r="L19" s="227"/>
      <c r="M19" s="230">
        <f t="shared" si="0"/>
        <v>130095.63999999998</v>
      </c>
      <c r="N19" s="227"/>
      <c r="O19" s="256">
        <v>-551.25</v>
      </c>
      <c r="P19" s="256"/>
      <c r="Q19" s="250">
        <f t="shared" si="1"/>
        <v>129544.38999999998</v>
      </c>
      <c r="R19" s="261"/>
      <c r="S19" s="228"/>
      <c r="T19" s="228"/>
      <c r="U19" s="230"/>
      <c r="V19" s="227"/>
    </row>
    <row r="20" spans="1:22" ht="15.75" customHeight="1" x14ac:dyDescent="0.25">
      <c r="A20" s="228" t="s">
        <v>248</v>
      </c>
      <c r="B20" s="228" t="s">
        <v>249</v>
      </c>
      <c r="C20" s="243" t="s">
        <v>177</v>
      </c>
      <c r="D20" s="244" t="s">
        <v>250</v>
      </c>
      <c r="E20" s="270">
        <v>46235</v>
      </c>
      <c r="F20" s="247">
        <v>46266</v>
      </c>
      <c r="G20" s="248">
        <v>189080</v>
      </c>
      <c r="H20" s="248">
        <v>428180</v>
      </c>
      <c r="I20" s="249">
        <v>1000116.6000000001</v>
      </c>
      <c r="J20" s="243"/>
      <c r="K20" s="252"/>
      <c r="L20" s="243"/>
      <c r="M20" s="230">
        <f t="shared" si="0"/>
        <v>1000116.6000000001</v>
      </c>
      <c r="N20" s="243"/>
      <c r="O20" s="256">
        <v>-6452</v>
      </c>
      <c r="P20" s="256"/>
      <c r="Q20" s="250">
        <f t="shared" si="1"/>
        <v>993664.60000000009</v>
      </c>
      <c r="R20" s="261"/>
      <c r="V20" s="266"/>
    </row>
    <row r="21" spans="1:22" ht="15.75" customHeight="1" x14ac:dyDescent="0.25">
      <c r="A21" s="228" t="s">
        <v>251</v>
      </c>
      <c r="B21" s="228" t="s">
        <v>252</v>
      </c>
      <c r="C21" s="243" t="s">
        <v>180</v>
      </c>
      <c r="D21" s="244" t="s">
        <v>253</v>
      </c>
      <c r="E21" s="270">
        <v>46235</v>
      </c>
      <c r="F21" s="247">
        <v>46266</v>
      </c>
      <c r="G21" s="248">
        <v>189081</v>
      </c>
      <c r="H21" s="248">
        <v>428181</v>
      </c>
      <c r="I21" s="249">
        <v>844674.97</v>
      </c>
      <c r="J21" s="243"/>
      <c r="K21" s="252"/>
      <c r="L21" s="243"/>
      <c r="M21" s="230">
        <f t="shared" si="0"/>
        <v>844674.97</v>
      </c>
      <c r="N21" s="243"/>
      <c r="O21" s="256">
        <v>-5450</v>
      </c>
      <c r="P21" s="256"/>
      <c r="Q21" s="250">
        <f t="shared" si="1"/>
        <v>839224.97</v>
      </c>
      <c r="R21" s="261"/>
      <c r="V21" s="266"/>
    </row>
    <row r="22" spans="1:22" ht="15.75" customHeight="1" x14ac:dyDescent="0.25">
      <c r="A22" s="228" t="s">
        <v>254</v>
      </c>
      <c r="B22" s="228" t="s">
        <v>255</v>
      </c>
      <c r="C22" s="243" t="s">
        <v>183</v>
      </c>
      <c r="D22" s="244" t="s">
        <v>256</v>
      </c>
      <c r="E22" s="270">
        <v>46661</v>
      </c>
      <c r="F22" s="247">
        <v>46692</v>
      </c>
      <c r="G22" s="248">
        <v>189082</v>
      </c>
      <c r="H22" s="248">
        <v>428182</v>
      </c>
      <c r="I22" s="249">
        <v>690731.21</v>
      </c>
      <c r="J22" s="243"/>
      <c r="K22" s="252"/>
      <c r="L22" s="243"/>
      <c r="M22" s="230">
        <f t="shared" si="0"/>
        <v>690731.21</v>
      </c>
      <c r="N22" s="243"/>
      <c r="O22" s="256">
        <v>-4088</v>
      </c>
      <c r="P22" s="256"/>
      <c r="Q22" s="250">
        <f t="shared" si="1"/>
        <v>686643.21</v>
      </c>
      <c r="R22" s="261"/>
    </row>
    <row r="23" spans="1:22" ht="15.75" x14ac:dyDescent="0.25">
      <c r="A23" s="228" t="s">
        <v>257</v>
      </c>
      <c r="B23" s="228" t="s">
        <v>258</v>
      </c>
      <c r="C23" s="243" t="s">
        <v>186</v>
      </c>
      <c r="D23" s="244" t="s">
        <v>259</v>
      </c>
      <c r="E23" s="270">
        <v>46661</v>
      </c>
      <c r="F23" s="247">
        <v>46692</v>
      </c>
      <c r="G23" s="248">
        <v>189083</v>
      </c>
      <c r="H23" s="248">
        <v>428183</v>
      </c>
      <c r="I23" s="249">
        <v>688190.61</v>
      </c>
      <c r="J23" s="243"/>
      <c r="K23" s="252"/>
      <c r="L23" s="243"/>
      <c r="M23" s="230">
        <f t="shared" si="0"/>
        <v>688190.61</v>
      </c>
      <c r="N23" s="243"/>
      <c r="O23" s="256">
        <v>-4072</v>
      </c>
      <c r="P23" s="256"/>
      <c r="Q23" s="250">
        <f t="shared" si="1"/>
        <v>684118.61</v>
      </c>
      <c r="R23" s="261"/>
      <c r="V23" s="266"/>
    </row>
    <row r="24" spans="1:22" s="243" customFormat="1" ht="15.75" x14ac:dyDescent="0.25">
      <c r="A24" s="243" t="s">
        <v>260</v>
      </c>
      <c r="B24" s="244" t="s">
        <v>261</v>
      </c>
      <c r="C24" s="243" t="s">
        <v>189</v>
      </c>
      <c r="D24" s="244" t="s">
        <v>262</v>
      </c>
      <c r="E24" s="270">
        <v>48458</v>
      </c>
      <c r="F24" s="247">
        <v>11963</v>
      </c>
      <c r="G24" s="248">
        <v>189089</v>
      </c>
      <c r="H24" s="248">
        <v>428189</v>
      </c>
      <c r="I24" s="249">
        <v>1060551.08</v>
      </c>
      <c r="K24" s="257"/>
      <c r="L24" s="227"/>
      <c r="M24" s="230">
        <f t="shared" si="0"/>
        <v>1060551.08</v>
      </c>
      <c r="N24" s="227"/>
      <c r="O24" s="256">
        <v>-4651</v>
      </c>
      <c r="P24" s="256"/>
      <c r="Q24" s="250">
        <f t="shared" si="1"/>
        <v>1055900.08</v>
      </c>
      <c r="R24" s="261"/>
      <c r="S24" s="228"/>
      <c r="T24" s="228"/>
      <c r="U24" s="230"/>
      <c r="V24" s="227"/>
    </row>
    <row r="25" spans="1:22" s="243" customFormat="1" ht="15.75" x14ac:dyDescent="0.25">
      <c r="A25" s="243" t="s">
        <v>579</v>
      </c>
      <c r="B25" s="244" t="s">
        <v>580</v>
      </c>
      <c r="C25" s="243" t="s">
        <v>197</v>
      </c>
      <c r="D25" s="243" t="s">
        <v>263</v>
      </c>
      <c r="E25" s="246">
        <v>48792</v>
      </c>
      <c r="F25" s="247">
        <v>12328</v>
      </c>
      <c r="G25" s="248">
        <v>189090</v>
      </c>
      <c r="H25" s="248">
        <v>428191</v>
      </c>
      <c r="I25" s="249">
        <v>3803743.55</v>
      </c>
      <c r="K25" s="257"/>
      <c r="L25" s="227"/>
      <c r="M25" s="230">
        <f t="shared" si="0"/>
        <v>3803743.55</v>
      </c>
      <c r="N25" s="227"/>
      <c r="O25" s="256">
        <v>-15915.25</v>
      </c>
      <c r="P25" s="256"/>
      <c r="Q25" s="250">
        <f t="shared" si="1"/>
        <v>3787828.3</v>
      </c>
      <c r="R25" s="261"/>
      <c r="S25" s="228"/>
      <c r="T25" s="228"/>
      <c r="U25" s="230"/>
      <c r="V25" s="227"/>
    </row>
    <row r="26" spans="1:22" s="243" customFormat="1" ht="15.75" x14ac:dyDescent="0.25">
      <c r="A26" s="243" t="s">
        <v>264</v>
      </c>
      <c r="B26" s="243" t="s">
        <v>263</v>
      </c>
      <c r="D26" s="244"/>
      <c r="E26" s="246">
        <v>48792</v>
      </c>
      <c r="F26" s="247"/>
      <c r="G26" s="248">
        <v>189190</v>
      </c>
      <c r="H26" s="248">
        <v>428192</v>
      </c>
      <c r="I26" s="249">
        <v>2444751.0199999954</v>
      </c>
      <c r="K26" s="257"/>
      <c r="L26" s="227"/>
      <c r="M26" s="230">
        <f t="shared" si="0"/>
        <v>2444751.0199999954</v>
      </c>
      <c r="N26" s="227"/>
      <c r="O26" s="256">
        <v>-10229.09</v>
      </c>
      <c r="P26" s="256"/>
      <c r="Q26" s="250">
        <f t="shared" si="1"/>
        <v>2434521.9299999955</v>
      </c>
      <c r="R26" s="261"/>
      <c r="S26" s="228"/>
      <c r="T26" s="228"/>
      <c r="U26" s="230"/>
      <c r="V26" s="227"/>
    </row>
    <row r="27" spans="1:22" s="243" customFormat="1" ht="15.75" x14ac:dyDescent="0.25">
      <c r="A27" s="243" t="s">
        <v>265</v>
      </c>
      <c r="B27" s="243" t="s">
        <v>266</v>
      </c>
      <c r="C27" s="243" t="s">
        <v>201</v>
      </c>
      <c r="D27" s="244" t="s">
        <v>267</v>
      </c>
      <c r="E27" s="246">
        <v>49310</v>
      </c>
      <c r="F27" s="247">
        <v>12816</v>
      </c>
      <c r="G27" s="248">
        <v>189094</v>
      </c>
      <c r="H27" s="248">
        <v>428194</v>
      </c>
      <c r="I27" s="258">
        <v>999340.32000000007</v>
      </c>
      <c r="J27" s="227"/>
      <c r="K27" s="257"/>
      <c r="L27" s="227"/>
      <c r="M27" s="230">
        <f t="shared" si="0"/>
        <v>999340.32000000007</v>
      </c>
      <c r="N27" s="227"/>
      <c r="O27" s="256">
        <v>-3904</v>
      </c>
      <c r="P27" s="256"/>
      <c r="Q27" s="250">
        <f t="shared" si="1"/>
        <v>995436.32000000007</v>
      </c>
      <c r="R27" s="261"/>
      <c r="S27" s="227"/>
      <c r="T27" s="227"/>
      <c r="U27" s="230"/>
      <c r="V27" s="227"/>
    </row>
    <row r="28" spans="1:22" s="243" customFormat="1" ht="15.75" x14ac:dyDescent="0.25">
      <c r="A28" s="243" t="s">
        <v>268</v>
      </c>
      <c r="B28" s="244" t="s">
        <v>267</v>
      </c>
      <c r="E28" s="246">
        <v>49310</v>
      </c>
      <c r="F28" s="247"/>
      <c r="G28" s="248">
        <v>189194</v>
      </c>
      <c r="H28" s="248">
        <v>428196</v>
      </c>
      <c r="I28" s="258">
        <v>1058059.3599999985</v>
      </c>
      <c r="J28" s="227"/>
      <c r="K28" s="257"/>
      <c r="L28" s="227"/>
      <c r="M28" s="230">
        <f t="shared" si="0"/>
        <v>1058059.3599999985</v>
      </c>
      <c r="N28" s="227"/>
      <c r="O28" s="256">
        <v>-4133.04</v>
      </c>
      <c r="P28" s="256"/>
      <c r="Q28" s="250">
        <f t="shared" si="1"/>
        <v>1053926.3199999984</v>
      </c>
      <c r="R28" s="261"/>
      <c r="S28" s="227"/>
      <c r="T28" s="227"/>
      <c r="U28" s="230"/>
      <c r="V28" s="227"/>
    </row>
    <row r="29" spans="1:22" s="243" customFormat="1" ht="15.75" x14ac:dyDescent="0.25">
      <c r="E29" s="246"/>
      <c r="F29" s="247"/>
      <c r="G29" s="248"/>
      <c r="H29" s="248"/>
      <c r="I29" s="249"/>
      <c r="K29" s="259"/>
      <c r="L29" s="227"/>
      <c r="M29" s="230"/>
      <c r="N29" s="227"/>
      <c r="O29" s="260"/>
      <c r="P29" s="260"/>
      <c r="Q29" s="250"/>
      <c r="R29" s="261"/>
      <c r="S29" s="227"/>
      <c r="T29" s="227"/>
      <c r="U29" s="230"/>
      <c r="V29" s="227"/>
    </row>
    <row r="30" spans="1:22" x14ac:dyDescent="0.2">
      <c r="B30" s="228" t="s">
        <v>9</v>
      </c>
      <c r="I30" s="262">
        <f>SUM(I8:I29)</f>
        <v>19116632.439999994</v>
      </c>
      <c r="J30" s="263"/>
      <c r="K30" s="262">
        <f>SUM(K8:K29)</f>
        <v>0</v>
      </c>
      <c r="L30" s="262"/>
      <c r="M30" s="262">
        <f>SUM(M8:M29)</f>
        <v>19116632.439999994</v>
      </c>
      <c r="N30" s="263"/>
      <c r="O30" s="262">
        <f>SUM(O8:O29)</f>
        <v>-101793.2</v>
      </c>
      <c r="P30" s="262"/>
      <c r="Q30" s="262">
        <f>SUM(Q8:Q29)</f>
        <v>19014839.239999995</v>
      </c>
      <c r="R30" s="264"/>
      <c r="S30" s="265"/>
      <c r="T30" s="266"/>
      <c r="V30" s="266"/>
    </row>
    <row r="31" spans="1:22" x14ac:dyDescent="0.2">
      <c r="F31" s="270"/>
      <c r="K31" s="228"/>
      <c r="R31" s="228"/>
      <c r="U31" s="228"/>
    </row>
    <row r="32" spans="1:22" x14ac:dyDescent="0.2">
      <c r="F32" s="270"/>
      <c r="K32" s="228"/>
      <c r="R32" s="228"/>
      <c r="U32" s="228"/>
    </row>
    <row r="33" spans="6:21" x14ac:dyDescent="0.2">
      <c r="F33" s="270"/>
      <c r="K33" s="228"/>
      <c r="R33" s="228"/>
      <c r="U33" s="228"/>
    </row>
    <row r="34" spans="6:21" x14ac:dyDescent="0.2">
      <c r="F34" s="270"/>
      <c r="K34" s="228"/>
      <c r="R34" s="228"/>
      <c r="U34" s="228"/>
    </row>
    <row r="35" spans="6:21" x14ac:dyDescent="0.2">
      <c r="F35" s="270"/>
      <c r="K35" s="228"/>
      <c r="R35" s="228"/>
      <c r="U35" s="228"/>
    </row>
    <row r="36" spans="6:21" x14ac:dyDescent="0.2">
      <c r="F36" s="270"/>
      <c r="K36" s="228"/>
      <c r="R36" s="228"/>
      <c r="U36" s="228"/>
    </row>
    <row r="37" spans="6:21" x14ac:dyDescent="0.2">
      <c r="F37" s="270"/>
      <c r="K37" s="228"/>
      <c r="R37" s="228"/>
      <c r="U37" s="228"/>
    </row>
    <row r="38" spans="6:21" x14ac:dyDescent="0.2">
      <c r="F38" s="270"/>
      <c r="K38" s="228"/>
      <c r="R38" s="228"/>
      <c r="U38" s="228"/>
    </row>
    <row r="39" spans="6:21" x14ac:dyDescent="0.2">
      <c r="F39" s="270"/>
      <c r="K39" s="228"/>
      <c r="R39" s="228"/>
      <c r="U39" s="228"/>
    </row>
    <row r="40" spans="6:21" x14ac:dyDescent="0.2">
      <c r="F40" s="270"/>
      <c r="K40" s="228"/>
      <c r="R40" s="228"/>
      <c r="U40" s="228"/>
    </row>
    <row r="41" spans="6:21" x14ac:dyDescent="0.2">
      <c r="F41" s="270"/>
      <c r="K41" s="228"/>
      <c r="R41" s="228"/>
      <c r="U41" s="228"/>
    </row>
    <row r="42" spans="6:21" x14ac:dyDescent="0.2">
      <c r="F42" s="270"/>
      <c r="K42" s="228"/>
      <c r="R42" s="228"/>
      <c r="U42" s="228"/>
    </row>
    <row r="43" spans="6:21" x14ac:dyDescent="0.2">
      <c r="F43" s="270"/>
      <c r="K43" s="228"/>
      <c r="R43" s="228"/>
      <c r="U43" s="228"/>
    </row>
    <row r="44" spans="6:21" x14ac:dyDescent="0.2">
      <c r="F44" s="270"/>
      <c r="K44" s="228"/>
      <c r="R44" s="228"/>
      <c r="U44" s="228"/>
    </row>
    <row r="45" spans="6:21" x14ac:dyDescent="0.2">
      <c r="F45" s="270"/>
      <c r="K45" s="228"/>
      <c r="R45" s="228"/>
      <c r="U45" s="228"/>
    </row>
    <row r="46" spans="6:21" x14ac:dyDescent="0.2">
      <c r="F46" s="270"/>
      <c r="K46" s="228"/>
      <c r="R46" s="228"/>
      <c r="U46" s="228"/>
    </row>
    <row r="47" spans="6:21" x14ac:dyDescent="0.2">
      <c r="F47" s="270"/>
      <c r="K47" s="228"/>
      <c r="R47" s="228"/>
      <c r="U47" s="228"/>
    </row>
    <row r="48" spans="6:21" x14ac:dyDescent="0.2">
      <c r="F48" s="270"/>
      <c r="K48" s="228"/>
      <c r="R48" s="228"/>
      <c r="U48" s="228"/>
    </row>
    <row r="49" spans="6:21" x14ac:dyDescent="0.2">
      <c r="F49" s="270"/>
      <c r="K49" s="228"/>
      <c r="R49" s="228"/>
      <c r="U49" s="228"/>
    </row>
    <row r="50" spans="6:21" x14ac:dyDescent="0.2">
      <c r="F50" s="270"/>
      <c r="K50" s="228"/>
      <c r="R50" s="228"/>
      <c r="U50" s="228"/>
    </row>
    <row r="51" spans="6:21" x14ac:dyDescent="0.2">
      <c r="F51" s="270"/>
      <c r="K51" s="228"/>
      <c r="R51" s="228"/>
      <c r="U51" s="228"/>
    </row>
    <row r="52" spans="6:21" x14ac:dyDescent="0.2">
      <c r="F52" s="270"/>
      <c r="K52" s="228"/>
      <c r="R52" s="228"/>
      <c r="U52" s="228"/>
    </row>
    <row r="53" spans="6:21" x14ac:dyDescent="0.2">
      <c r="F53" s="270"/>
      <c r="K53" s="228"/>
      <c r="R53" s="228"/>
      <c r="U53" s="228"/>
    </row>
    <row r="54" spans="6:21" x14ac:dyDescent="0.2">
      <c r="F54" s="270"/>
      <c r="K54" s="228"/>
      <c r="R54" s="228"/>
      <c r="U54" s="228"/>
    </row>
    <row r="55" spans="6:21" x14ac:dyDescent="0.2">
      <c r="F55" s="270"/>
      <c r="K55" s="228"/>
      <c r="R55" s="228"/>
      <c r="U55" s="228"/>
    </row>
    <row r="56" spans="6:21" x14ac:dyDescent="0.2">
      <c r="F56" s="270"/>
      <c r="K56" s="228"/>
      <c r="R56" s="228"/>
      <c r="U56" s="228"/>
    </row>
    <row r="57" spans="6:21" x14ac:dyDescent="0.2">
      <c r="F57" s="270"/>
      <c r="K57" s="228"/>
      <c r="R57" s="228"/>
      <c r="U57" s="228"/>
    </row>
    <row r="58" spans="6:21" x14ac:dyDescent="0.2">
      <c r="F58" s="270"/>
      <c r="K58" s="228"/>
      <c r="R58" s="228"/>
      <c r="U58" s="228"/>
    </row>
    <row r="59" spans="6:21" x14ac:dyDescent="0.2">
      <c r="F59" s="270"/>
      <c r="K59" s="228"/>
      <c r="R59" s="228"/>
      <c r="U59" s="228"/>
    </row>
    <row r="60" spans="6:21" x14ac:dyDescent="0.2">
      <c r="F60" s="270"/>
      <c r="K60" s="228"/>
      <c r="R60" s="228"/>
      <c r="U60" s="228"/>
    </row>
    <row r="61" spans="6:21" x14ac:dyDescent="0.2">
      <c r="F61" s="270"/>
      <c r="K61" s="228"/>
      <c r="R61" s="228"/>
      <c r="U61" s="228"/>
    </row>
    <row r="62" spans="6:21" x14ac:dyDescent="0.2">
      <c r="F62" s="270"/>
      <c r="K62" s="228"/>
      <c r="R62" s="228"/>
      <c r="U62" s="228"/>
    </row>
    <row r="63" spans="6:21" x14ac:dyDescent="0.2">
      <c r="F63" s="270"/>
      <c r="K63" s="228"/>
      <c r="R63" s="228"/>
      <c r="U63" s="228"/>
    </row>
    <row r="64" spans="6:21" x14ac:dyDescent="0.2">
      <c r="F64" s="270"/>
      <c r="K64" s="228"/>
      <c r="R64" s="228"/>
      <c r="U64" s="228"/>
    </row>
    <row r="65" spans="6:21" x14ac:dyDescent="0.2">
      <c r="F65" s="270"/>
      <c r="K65" s="228"/>
      <c r="R65" s="228"/>
      <c r="U65" s="228"/>
    </row>
    <row r="66" spans="6:21" x14ac:dyDescent="0.2">
      <c r="F66" s="270"/>
      <c r="K66" s="228"/>
      <c r="R66" s="228"/>
      <c r="U66" s="228"/>
    </row>
    <row r="67" spans="6:21" x14ac:dyDescent="0.2">
      <c r="F67" s="270"/>
      <c r="K67" s="228"/>
      <c r="R67" s="228"/>
      <c r="U67" s="228"/>
    </row>
    <row r="68" spans="6:21" x14ac:dyDescent="0.2">
      <c r="F68" s="270"/>
      <c r="K68" s="228"/>
      <c r="R68" s="228"/>
      <c r="U68" s="228"/>
    </row>
    <row r="69" spans="6:21" x14ac:dyDescent="0.2">
      <c r="F69" s="270"/>
      <c r="K69" s="228"/>
      <c r="R69" s="228"/>
      <c r="U69" s="228"/>
    </row>
    <row r="70" spans="6:21" x14ac:dyDescent="0.2">
      <c r="F70" s="270"/>
      <c r="K70" s="228"/>
      <c r="R70" s="228"/>
      <c r="U70" s="228"/>
    </row>
    <row r="71" spans="6:21" x14ac:dyDescent="0.2">
      <c r="F71" s="270"/>
      <c r="K71" s="228"/>
      <c r="R71" s="228"/>
      <c r="U71" s="228"/>
    </row>
    <row r="72" spans="6:21" x14ac:dyDescent="0.2">
      <c r="F72" s="270"/>
      <c r="K72" s="228"/>
      <c r="R72" s="228"/>
      <c r="U72" s="228"/>
    </row>
    <row r="73" spans="6:21" x14ac:dyDescent="0.2">
      <c r="F73" s="270"/>
      <c r="K73" s="228"/>
      <c r="R73" s="228"/>
      <c r="U73" s="228"/>
    </row>
    <row r="74" spans="6:21" x14ac:dyDescent="0.2">
      <c r="F74" s="270"/>
      <c r="K74" s="228"/>
      <c r="R74" s="228"/>
      <c r="U74" s="228"/>
    </row>
    <row r="75" spans="6:21" x14ac:dyDescent="0.2">
      <c r="F75" s="270"/>
      <c r="K75" s="228"/>
      <c r="R75" s="228"/>
      <c r="U75" s="228"/>
    </row>
    <row r="76" spans="6:21" x14ac:dyDescent="0.2">
      <c r="F76" s="270"/>
      <c r="K76" s="228"/>
      <c r="R76" s="228"/>
      <c r="U76" s="228"/>
    </row>
    <row r="77" spans="6:21" x14ac:dyDescent="0.2">
      <c r="F77" s="270"/>
      <c r="K77" s="228"/>
      <c r="R77" s="228"/>
      <c r="U77" s="228"/>
    </row>
    <row r="78" spans="6:21" x14ac:dyDescent="0.2">
      <c r="F78" s="270"/>
      <c r="K78" s="228"/>
      <c r="R78" s="228"/>
      <c r="U78" s="228"/>
    </row>
    <row r="79" spans="6:21" x14ac:dyDescent="0.2">
      <c r="F79" s="270"/>
      <c r="K79" s="228"/>
      <c r="R79" s="228"/>
      <c r="U79" s="228"/>
    </row>
    <row r="80" spans="6:21" x14ac:dyDescent="0.2">
      <c r="F80" s="270"/>
      <c r="K80" s="228"/>
      <c r="R80" s="228"/>
      <c r="U80" s="228"/>
    </row>
    <row r="81" spans="6:21" x14ac:dyDescent="0.2">
      <c r="F81" s="270"/>
      <c r="K81" s="228"/>
      <c r="R81" s="228"/>
      <c r="U81" s="228"/>
    </row>
    <row r="82" spans="6:21" x14ac:dyDescent="0.2">
      <c r="F82" s="270"/>
      <c r="K82" s="228"/>
      <c r="R82" s="228"/>
      <c r="U82" s="228"/>
    </row>
    <row r="83" spans="6:21" x14ac:dyDescent="0.2">
      <c r="F83" s="270"/>
      <c r="K83" s="228"/>
      <c r="R83" s="228"/>
      <c r="U83" s="228"/>
    </row>
    <row r="84" spans="6:21" x14ac:dyDescent="0.2">
      <c r="F84" s="270"/>
      <c r="K84" s="228"/>
      <c r="R84" s="228"/>
      <c r="U84" s="228"/>
    </row>
    <row r="85" spans="6:21" x14ac:dyDescent="0.2">
      <c r="F85" s="270"/>
      <c r="K85" s="228"/>
      <c r="R85" s="228"/>
      <c r="U85" s="228"/>
    </row>
    <row r="86" spans="6:21" x14ac:dyDescent="0.2">
      <c r="F86" s="270"/>
      <c r="K86" s="228"/>
      <c r="R86" s="228"/>
      <c r="U86" s="228"/>
    </row>
    <row r="87" spans="6:21" x14ac:dyDescent="0.2">
      <c r="F87" s="270"/>
      <c r="K87" s="228"/>
      <c r="R87" s="228"/>
      <c r="U87" s="228"/>
    </row>
    <row r="88" spans="6:21" x14ac:dyDescent="0.2">
      <c r="F88" s="270"/>
      <c r="K88" s="228"/>
      <c r="R88" s="228"/>
      <c r="U88" s="228"/>
    </row>
    <row r="89" spans="6:21" x14ac:dyDescent="0.2">
      <c r="F89" s="270"/>
      <c r="K89" s="228"/>
      <c r="R89" s="228"/>
      <c r="U89" s="228"/>
    </row>
    <row r="90" spans="6:21" x14ac:dyDescent="0.2">
      <c r="F90" s="270"/>
      <c r="K90" s="228"/>
      <c r="R90" s="228"/>
      <c r="U90" s="228"/>
    </row>
    <row r="91" spans="6:21" x14ac:dyDescent="0.2">
      <c r="F91" s="270"/>
      <c r="K91" s="228"/>
      <c r="R91" s="228"/>
      <c r="U91" s="228"/>
    </row>
    <row r="92" spans="6:21" x14ac:dyDescent="0.2">
      <c r="F92" s="270"/>
      <c r="K92" s="228"/>
      <c r="R92" s="228"/>
      <c r="U92" s="228"/>
    </row>
    <row r="93" spans="6:21" x14ac:dyDescent="0.2">
      <c r="F93" s="270"/>
      <c r="K93" s="228"/>
      <c r="R93" s="228"/>
      <c r="U93" s="228"/>
    </row>
    <row r="94" spans="6:21" x14ac:dyDescent="0.2">
      <c r="F94" s="270"/>
      <c r="K94" s="228"/>
      <c r="R94" s="228"/>
      <c r="U94" s="228"/>
    </row>
    <row r="95" spans="6:21" x14ac:dyDescent="0.2">
      <c r="F95" s="270"/>
      <c r="K95" s="228"/>
      <c r="R95" s="228"/>
      <c r="U95" s="228"/>
    </row>
    <row r="96" spans="6:21" x14ac:dyDescent="0.2">
      <c r="F96" s="270"/>
      <c r="K96" s="228"/>
      <c r="R96" s="228"/>
      <c r="U96" s="228"/>
    </row>
    <row r="97" spans="6:21" x14ac:dyDescent="0.2">
      <c r="F97" s="270"/>
      <c r="K97" s="228"/>
      <c r="R97" s="228"/>
      <c r="U97" s="228"/>
    </row>
    <row r="98" spans="6:21" x14ac:dyDescent="0.2">
      <c r="F98" s="270"/>
      <c r="K98" s="228"/>
      <c r="R98" s="228"/>
      <c r="U98" s="228"/>
    </row>
    <row r="99" spans="6:21" x14ac:dyDescent="0.2">
      <c r="F99" s="270"/>
      <c r="K99" s="228"/>
      <c r="R99" s="228"/>
      <c r="U99" s="228"/>
    </row>
    <row r="100" spans="6:21" x14ac:dyDescent="0.2">
      <c r="F100" s="270"/>
      <c r="K100" s="228"/>
      <c r="R100" s="228"/>
      <c r="U100" s="228"/>
    </row>
    <row r="101" spans="6:21" x14ac:dyDescent="0.2">
      <c r="F101" s="270"/>
      <c r="K101" s="228"/>
      <c r="R101" s="228"/>
      <c r="U101" s="228"/>
    </row>
    <row r="102" spans="6:21" x14ac:dyDescent="0.2">
      <c r="F102" s="270"/>
      <c r="K102" s="228"/>
      <c r="R102" s="228"/>
      <c r="U102" s="228"/>
    </row>
    <row r="103" spans="6:21" x14ac:dyDescent="0.2">
      <c r="F103" s="270"/>
      <c r="K103" s="228"/>
      <c r="R103" s="228"/>
      <c r="U103" s="228"/>
    </row>
    <row r="104" spans="6:21" x14ac:dyDescent="0.2">
      <c r="F104" s="270"/>
      <c r="K104" s="228"/>
      <c r="R104" s="228"/>
      <c r="U104" s="228"/>
    </row>
    <row r="105" spans="6:21" x14ac:dyDescent="0.2">
      <c r="F105" s="270"/>
      <c r="K105" s="228"/>
      <c r="R105" s="228"/>
      <c r="U105" s="228"/>
    </row>
    <row r="106" spans="6:21" x14ac:dyDescent="0.2">
      <c r="F106" s="270"/>
      <c r="K106" s="228"/>
      <c r="R106" s="228"/>
      <c r="U106" s="228"/>
    </row>
    <row r="107" spans="6:21" x14ac:dyDescent="0.2">
      <c r="F107" s="270"/>
      <c r="K107" s="228"/>
      <c r="R107" s="228"/>
      <c r="U107" s="228"/>
    </row>
    <row r="108" spans="6:21" x14ac:dyDescent="0.2">
      <c r="F108" s="270"/>
      <c r="K108" s="228"/>
      <c r="R108" s="228"/>
      <c r="U108" s="228"/>
    </row>
    <row r="109" spans="6:21" x14ac:dyDescent="0.2">
      <c r="F109" s="270"/>
      <c r="K109" s="228"/>
      <c r="R109" s="228"/>
      <c r="U109" s="228"/>
    </row>
    <row r="110" spans="6:21" x14ac:dyDescent="0.2">
      <c r="F110" s="270"/>
      <c r="K110" s="228"/>
      <c r="R110" s="228"/>
      <c r="U110" s="228"/>
    </row>
    <row r="111" spans="6:21" x14ac:dyDescent="0.2">
      <c r="F111" s="270"/>
      <c r="K111" s="228"/>
      <c r="R111" s="228"/>
      <c r="U111" s="228"/>
    </row>
    <row r="112" spans="6:21" x14ac:dyDescent="0.2">
      <c r="F112" s="270"/>
      <c r="K112" s="228"/>
      <c r="R112" s="228"/>
      <c r="U112" s="228"/>
    </row>
    <row r="113" spans="6:21" x14ac:dyDescent="0.2">
      <c r="F113" s="270"/>
      <c r="K113" s="228"/>
      <c r="R113" s="228"/>
      <c r="U113" s="228"/>
    </row>
    <row r="114" spans="6:21" x14ac:dyDescent="0.2">
      <c r="F114" s="270"/>
      <c r="K114" s="228"/>
      <c r="R114" s="228"/>
      <c r="U114" s="228"/>
    </row>
    <row r="115" spans="6:21" x14ac:dyDescent="0.2">
      <c r="F115" s="270"/>
      <c r="K115" s="228"/>
      <c r="R115" s="228"/>
      <c r="U115" s="228"/>
    </row>
    <row r="116" spans="6:21" x14ac:dyDescent="0.2">
      <c r="F116" s="270"/>
      <c r="K116" s="228"/>
      <c r="R116" s="228"/>
      <c r="U116" s="228"/>
    </row>
    <row r="117" spans="6:21" x14ac:dyDescent="0.2">
      <c r="F117" s="270"/>
      <c r="K117" s="228"/>
      <c r="R117" s="228"/>
      <c r="U117" s="228"/>
    </row>
    <row r="118" spans="6:21" x14ac:dyDescent="0.2">
      <c r="F118" s="270"/>
      <c r="K118" s="228"/>
      <c r="R118" s="228"/>
      <c r="U118" s="228"/>
    </row>
    <row r="119" spans="6:21" x14ac:dyDescent="0.2">
      <c r="F119" s="270"/>
      <c r="K119" s="228"/>
      <c r="R119" s="228"/>
      <c r="U119" s="228"/>
    </row>
    <row r="120" spans="6:21" x14ac:dyDescent="0.2">
      <c r="F120" s="270"/>
      <c r="K120" s="228"/>
      <c r="R120" s="228"/>
      <c r="U120" s="228"/>
    </row>
    <row r="121" spans="6:21" x14ac:dyDescent="0.2">
      <c r="F121" s="270"/>
      <c r="R121" s="228"/>
      <c r="U121" s="228"/>
    </row>
    <row r="122" spans="6:21" x14ac:dyDescent="0.2">
      <c r="F122" s="270"/>
      <c r="R122" s="228"/>
      <c r="U122" s="228"/>
    </row>
    <row r="123" spans="6:21" x14ac:dyDescent="0.2">
      <c r="F123" s="270"/>
      <c r="R123" s="228"/>
      <c r="U123" s="228"/>
    </row>
    <row r="124" spans="6:21" x14ac:dyDescent="0.2">
      <c r="F124" s="270"/>
      <c r="R124" s="228"/>
      <c r="U124" s="228"/>
    </row>
    <row r="125" spans="6:21" x14ac:dyDescent="0.2">
      <c r="F125" s="270"/>
      <c r="R125" s="228"/>
      <c r="U125" s="228"/>
    </row>
    <row r="126" spans="6:21" x14ac:dyDescent="0.2">
      <c r="F126" s="270"/>
      <c r="R126" s="228"/>
      <c r="U126" s="228"/>
    </row>
    <row r="127" spans="6:21" x14ac:dyDescent="0.2">
      <c r="F127" s="270"/>
      <c r="R127" s="228"/>
      <c r="U127" s="228"/>
    </row>
    <row r="128" spans="6:21" x14ac:dyDescent="0.2">
      <c r="F128" s="270"/>
      <c r="Q128" s="250">
        <f>SUM(M8:O8)</f>
        <v>52464.540000000008</v>
      </c>
      <c r="R128" s="228"/>
      <c r="U128" s="228"/>
    </row>
    <row r="129" spans="6:21" x14ac:dyDescent="0.2">
      <c r="F129" s="270"/>
      <c r="R129" s="228"/>
      <c r="U129" s="228"/>
    </row>
    <row r="130" spans="6:21" x14ac:dyDescent="0.2">
      <c r="F130" s="270"/>
      <c r="R130" s="228"/>
      <c r="U130" s="228"/>
    </row>
    <row r="131" spans="6:21" x14ac:dyDescent="0.2">
      <c r="F131" s="270"/>
      <c r="R131" s="228"/>
      <c r="U131" s="228"/>
    </row>
    <row r="132" spans="6:21" x14ac:dyDescent="0.2">
      <c r="F132" s="270"/>
      <c r="R132" s="228"/>
      <c r="U132" s="228"/>
    </row>
    <row r="133" spans="6:21" x14ac:dyDescent="0.2">
      <c r="F133" s="270"/>
      <c r="R133" s="228"/>
      <c r="U133" s="228"/>
    </row>
    <row r="134" spans="6:21" x14ac:dyDescent="0.2">
      <c r="F134" s="270"/>
      <c r="R134" s="228"/>
      <c r="U134" s="228"/>
    </row>
    <row r="135" spans="6:21" x14ac:dyDescent="0.2">
      <c r="F135" s="270"/>
      <c r="R135" s="228"/>
      <c r="U135" s="228"/>
    </row>
    <row r="136" spans="6:21" x14ac:dyDescent="0.2">
      <c r="F136" s="270"/>
      <c r="R136" s="228"/>
      <c r="U136" s="228"/>
    </row>
    <row r="137" spans="6:21" x14ac:dyDescent="0.2">
      <c r="F137" s="270"/>
      <c r="K137" s="228"/>
      <c r="R137" s="228"/>
      <c r="U137" s="228"/>
    </row>
    <row r="138" spans="6:21" x14ac:dyDescent="0.2">
      <c r="F138" s="270"/>
      <c r="K138" s="228"/>
      <c r="R138" s="228"/>
      <c r="U138" s="228"/>
    </row>
    <row r="139" spans="6:21" x14ac:dyDescent="0.2">
      <c r="F139" s="270"/>
      <c r="K139" s="228"/>
      <c r="R139" s="228"/>
      <c r="U139" s="228"/>
    </row>
    <row r="140" spans="6:21" x14ac:dyDescent="0.2">
      <c r="F140" s="270"/>
      <c r="K140" s="228"/>
      <c r="R140" s="228"/>
      <c r="U140" s="228"/>
    </row>
    <row r="141" spans="6:21" x14ac:dyDescent="0.2">
      <c r="F141" s="270"/>
      <c r="K141" s="228"/>
      <c r="R141" s="228"/>
      <c r="U141" s="228"/>
    </row>
    <row r="142" spans="6:21" x14ac:dyDescent="0.2">
      <c r="F142" s="270"/>
      <c r="K142" s="228"/>
      <c r="R142" s="228"/>
      <c r="U142" s="228"/>
    </row>
    <row r="143" spans="6:21" x14ac:dyDescent="0.2">
      <c r="F143" s="270"/>
      <c r="K143" s="228"/>
      <c r="R143" s="228"/>
      <c r="U143" s="228"/>
    </row>
    <row r="144" spans="6:21" x14ac:dyDescent="0.2">
      <c r="F144" s="270"/>
      <c r="K144" s="228"/>
      <c r="R144" s="228"/>
      <c r="U144" s="228"/>
    </row>
    <row r="145" spans="6:21" x14ac:dyDescent="0.2">
      <c r="F145" s="270"/>
      <c r="K145" s="228"/>
      <c r="R145" s="228"/>
      <c r="U145" s="228"/>
    </row>
    <row r="146" spans="6:21" x14ac:dyDescent="0.2">
      <c r="F146" s="270"/>
      <c r="K146" s="228"/>
      <c r="R146" s="228"/>
      <c r="U146" s="228"/>
    </row>
    <row r="147" spans="6:21" x14ac:dyDescent="0.2">
      <c r="F147" s="270"/>
      <c r="K147" s="228"/>
      <c r="R147" s="228"/>
      <c r="U147" s="228"/>
    </row>
    <row r="148" spans="6:21" x14ac:dyDescent="0.2">
      <c r="F148" s="270"/>
      <c r="K148" s="228"/>
      <c r="R148" s="228"/>
      <c r="U148" s="228"/>
    </row>
    <row r="149" spans="6:21" x14ac:dyDescent="0.2">
      <c r="F149" s="270"/>
      <c r="K149" s="228"/>
      <c r="R149" s="228"/>
      <c r="U149" s="228"/>
    </row>
    <row r="150" spans="6:21" x14ac:dyDescent="0.2">
      <c r="F150" s="270"/>
      <c r="K150" s="228"/>
      <c r="R150" s="228"/>
      <c r="U150" s="228"/>
    </row>
    <row r="151" spans="6:21" x14ac:dyDescent="0.2">
      <c r="F151" s="270"/>
      <c r="K151" s="228"/>
      <c r="R151" s="228"/>
      <c r="U151" s="228"/>
    </row>
    <row r="152" spans="6:21" x14ac:dyDescent="0.2">
      <c r="F152" s="270"/>
      <c r="K152" s="228"/>
      <c r="R152" s="228"/>
      <c r="U152" s="228"/>
    </row>
    <row r="153" spans="6:21" x14ac:dyDescent="0.2">
      <c r="F153" s="270"/>
      <c r="K153" s="228"/>
      <c r="R153" s="228"/>
      <c r="U153" s="228"/>
    </row>
    <row r="154" spans="6:21" x14ac:dyDescent="0.2">
      <c r="F154" s="270"/>
      <c r="K154" s="228"/>
      <c r="R154" s="228"/>
      <c r="U154" s="228"/>
    </row>
    <row r="155" spans="6:21" x14ac:dyDescent="0.2">
      <c r="F155" s="270"/>
      <c r="K155" s="228"/>
      <c r="R155" s="228"/>
      <c r="U155" s="228"/>
    </row>
    <row r="156" spans="6:21" x14ac:dyDescent="0.2">
      <c r="F156" s="270"/>
      <c r="K156" s="228"/>
      <c r="R156" s="228"/>
      <c r="U156" s="228"/>
    </row>
    <row r="157" spans="6:21" x14ac:dyDescent="0.2">
      <c r="F157" s="270"/>
      <c r="K157" s="228"/>
      <c r="R157" s="228"/>
      <c r="U157" s="228"/>
    </row>
    <row r="158" spans="6:21" x14ac:dyDescent="0.2">
      <c r="F158" s="270"/>
      <c r="K158" s="228"/>
      <c r="R158" s="228"/>
      <c r="U158" s="228"/>
    </row>
    <row r="159" spans="6:21" x14ac:dyDescent="0.2">
      <c r="F159" s="270"/>
      <c r="K159" s="228"/>
      <c r="R159" s="228"/>
      <c r="U159" s="228"/>
    </row>
    <row r="160" spans="6:21" x14ac:dyDescent="0.2">
      <c r="F160" s="270"/>
      <c r="K160" s="228"/>
      <c r="R160" s="228"/>
      <c r="U160" s="228"/>
    </row>
    <row r="161" spans="6:21" x14ac:dyDescent="0.2">
      <c r="F161" s="270"/>
      <c r="K161" s="228"/>
      <c r="R161" s="228"/>
      <c r="U161" s="228"/>
    </row>
    <row r="162" spans="6:21" x14ac:dyDescent="0.2">
      <c r="F162" s="270"/>
      <c r="K162" s="228"/>
      <c r="R162" s="228"/>
      <c r="U162" s="228"/>
    </row>
    <row r="163" spans="6:21" x14ac:dyDescent="0.2">
      <c r="F163" s="270"/>
      <c r="K163" s="228"/>
      <c r="R163" s="228"/>
      <c r="U163" s="228"/>
    </row>
    <row r="164" spans="6:21" x14ac:dyDescent="0.2">
      <c r="F164" s="270"/>
      <c r="K164" s="228"/>
      <c r="R164" s="228"/>
      <c r="U164" s="228"/>
    </row>
    <row r="165" spans="6:21" x14ac:dyDescent="0.2">
      <c r="F165" s="270"/>
      <c r="K165" s="228"/>
      <c r="R165" s="228"/>
      <c r="U165" s="228"/>
    </row>
    <row r="166" spans="6:21" x14ac:dyDescent="0.2">
      <c r="F166" s="270"/>
      <c r="K166" s="228"/>
      <c r="R166" s="228"/>
      <c r="U166" s="228"/>
    </row>
    <row r="167" spans="6:21" x14ac:dyDescent="0.2">
      <c r="F167" s="270"/>
      <c r="K167" s="228"/>
      <c r="R167" s="228"/>
      <c r="U167" s="228"/>
    </row>
    <row r="168" spans="6:21" x14ac:dyDescent="0.2">
      <c r="F168" s="270"/>
      <c r="K168" s="228"/>
      <c r="R168" s="228"/>
      <c r="U168" s="228"/>
    </row>
    <row r="169" spans="6:21" x14ac:dyDescent="0.2">
      <c r="F169" s="270"/>
      <c r="K169" s="228"/>
      <c r="R169" s="228"/>
      <c r="U169" s="228"/>
    </row>
    <row r="170" spans="6:21" x14ac:dyDescent="0.2">
      <c r="F170" s="270"/>
      <c r="K170" s="228"/>
      <c r="R170" s="228"/>
      <c r="U170" s="228"/>
    </row>
    <row r="171" spans="6:21" x14ac:dyDescent="0.2">
      <c r="F171" s="270"/>
      <c r="K171" s="228"/>
      <c r="R171" s="228"/>
      <c r="U171" s="228"/>
    </row>
    <row r="172" spans="6:21" x14ac:dyDescent="0.2">
      <c r="F172" s="270"/>
      <c r="K172" s="228"/>
      <c r="R172" s="228"/>
      <c r="U172" s="228"/>
    </row>
    <row r="173" spans="6:21" x14ac:dyDescent="0.2">
      <c r="F173" s="270"/>
      <c r="K173" s="228"/>
      <c r="R173" s="228"/>
      <c r="U173" s="228"/>
    </row>
    <row r="174" spans="6:21" x14ac:dyDescent="0.2">
      <c r="F174" s="270"/>
      <c r="K174" s="228"/>
      <c r="R174" s="228"/>
      <c r="U174" s="228"/>
    </row>
    <row r="175" spans="6:21" x14ac:dyDescent="0.2">
      <c r="F175" s="270"/>
      <c r="K175" s="228"/>
      <c r="R175" s="228"/>
      <c r="U175" s="228"/>
    </row>
    <row r="176" spans="6:21" x14ac:dyDescent="0.2">
      <c r="F176" s="270"/>
      <c r="K176" s="228"/>
      <c r="R176" s="228"/>
      <c r="U176" s="228"/>
    </row>
    <row r="177" spans="6:21" x14ac:dyDescent="0.2">
      <c r="F177" s="270"/>
      <c r="K177" s="228"/>
      <c r="R177" s="228"/>
      <c r="U177" s="228"/>
    </row>
    <row r="178" spans="6:21" x14ac:dyDescent="0.2">
      <c r="F178" s="270"/>
      <c r="K178" s="228"/>
      <c r="R178" s="228"/>
      <c r="U178" s="228"/>
    </row>
    <row r="179" spans="6:21" x14ac:dyDescent="0.2">
      <c r="F179" s="270"/>
      <c r="K179" s="228"/>
      <c r="R179" s="228"/>
      <c r="U179" s="228"/>
    </row>
    <row r="180" spans="6:21" x14ac:dyDescent="0.2">
      <c r="F180" s="270"/>
      <c r="K180" s="228"/>
      <c r="R180" s="228"/>
      <c r="U180" s="228"/>
    </row>
    <row r="181" spans="6:21" x14ac:dyDescent="0.2">
      <c r="F181" s="270"/>
      <c r="K181" s="228"/>
      <c r="R181" s="228"/>
      <c r="U181" s="228"/>
    </row>
    <row r="182" spans="6:21" x14ac:dyDescent="0.2">
      <c r="F182" s="270"/>
      <c r="K182" s="228"/>
      <c r="R182" s="228"/>
      <c r="U182" s="228"/>
    </row>
    <row r="183" spans="6:21" x14ac:dyDescent="0.2">
      <c r="F183" s="270"/>
      <c r="K183" s="228"/>
      <c r="R183" s="228"/>
      <c r="U183" s="228"/>
    </row>
    <row r="184" spans="6:21" x14ac:dyDescent="0.2">
      <c r="F184" s="270"/>
      <c r="K184" s="228"/>
      <c r="R184" s="228"/>
      <c r="U184" s="228"/>
    </row>
    <row r="185" spans="6:21" x14ac:dyDescent="0.2">
      <c r="F185" s="270"/>
      <c r="K185" s="228"/>
      <c r="R185" s="228"/>
      <c r="U185" s="228"/>
    </row>
    <row r="186" spans="6:21" x14ac:dyDescent="0.2">
      <c r="F186" s="270"/>
      <c r="K186" s="228"/>
      <c r="R186" s="228"/>
      <c r="U186" s="228"/>
    </row>
    <row r="187" spans="6:21" x14ac:dyDescent="0.2">
      <c r="F187" s="270"/>
      <c r="K187" s="228"/>
      <c r="R187" s="228"/>
      <c r="U187" s="228"/>
    </row>
    <row r="188" spans="6:21" x14ac:dyDescent="0.2">
      <c r="F188" s="270"/>
      <c r="K188" s="228"/>
      <c r="R188" s="228"/>
      <c r="U188" s="228"/>
    </row>
    <row r="189" spans="6:21" x14ac:dyDescent="0.2">
      <c r="F189" s="270"/>
      <c r="K189" s="228"/>
      <c r="R189" s="228"/>
      <c r="U189" s="228"/>
    </row>
    <row r="190" spans="6:21" x14ac:dyDescent="0.2">
      <c r="F190" s="270"/>
      <c r="K190" s="228"/>
      <c r="R190" s="228"/>
      <c r="U190" s="228"/>
    </row>
    <row r="191" spans="6:21" x14ac:dyDescent="0.2">
      <c r="F191" s="270"/>
      <c r="K191" s="228"/>
      <c r="R191" s="228"/>
      <c r="U191" s="228"/>
    </row>
    <row r="192" spans="6:21" x14ac:dyDescent="0.2">
      <c r="F192" s="270"/>
      <c r="K192" s="228"/>
      <c r="R192" s="228"/>
      <c r="U192" s="228"/>
    </row>
    <row r="193" spans="6:21" x14ac:dyDescent="0.2">
      <c r="F193" s="270"/>
      <c r="K193" s="228"/>
      <c r="R193" s="228"/>
      <c r="U193" s="228"/>
    </row>
    <row r="194" spans="6:21" x14ac:dyDescent="0.2">
      <c r="F194" s="270"/>
      <c r="K194" s="228"/>
      <c r="R194" s="228"/>
      <c r="U194" s="228"/>
    </row>
    <row r="195" spans="6:21" x14ac:dyDescent="0.2">
      <c r="F195" s="270"/>
      <c r="K195" s="228"/>
      <c r="R195" s="228"/>
      <c r="U195" s="228"/>
    </row>
    <row r="196" spans="6:21" x14ac:dyDescent="0.2">
      <c r="F196" s="270"/>
      <c r="K196" s="228"/>
      <c r="R196" s="228"/>
      <c r="U196" s="228"/>
    </row>
    <row r="197" spans="6:21" x14ac:dyDescent="0.2">
      <c r="F197" s="270"/>
      <c r="K197" s="228"/>
      <c r="R197" s="228"/>
      <c r="U197" s="228"/>
    </row>
    <row r="198" spans="6:21" x14ac:dyDescent="0.2">
      <c r="F198" s="270"/>
      <c r="K198" s="228"/>
      <c r="R198" s="228"/>
      <c r="U198" s="228"/>
    </row>
    <row r="199" spans="6:21" x14ac:dyDescent="0.2">
      <c r="F199" s="270"/>
      <c r="K199" s="228"/>
      <c r="R199" s="228"/>
      <c r="U199" s="228"/>
    </row>
    <row r="200" spans="6:21" x14ac:dyDescent="0.2">
      <c r="F200" s="270"/>
      <c r="K200" s="228"/>
      <c r="R200" s="228"/>
      <c r="U200" s="228"/>
    </row>
    <row r="201" spans="6:21" x14ac:dyDescent="0.2">
      <c r="F201" s="270"/>
      <c r="K201" s="228"/>
      <c r="R201" s="228"/>
      <c r="U201" s="228"/>
    </row>
    <row r="202" spans="6:21" x14ac:dyDescent="0.2">
      <c r="F202" s="270"/>
      <c r="K202" s="228"/>
      <c r="R202" s="228"/>
      <c r="U202" s="228"/>
    </row>
    <row r="203" spans="6:21" x14ac:dyDescent="0.2">
      <c r="F203" s="270"/>
      <c r="K203" s="228"/>
      <c r="R203" s="228"/>
      <c r="U203" s="228"/>
    </row>
    <row r="204" spans="6:21" x14ac:dyDescent="0.2">
      <c r="F204" s="270"/>
      <c r="K204" s="228"/>
      <c r="R204" s="228"/>
      <c r="U204" s="228"/>
    </row>
    <row r="205" spans="6:21" x14ac:dyDescent="0.2">
      <c r="F205" s="270"/>
      <c r="K205" s="228"/>
      <c r="R205" s="228"/>
      <c r="U205" s="228"/>
    </row>
    <row r="206" spans="6:21" x14ac:dyDescent="0.2">
      <c r="F206" s="270"/>
      <c r="K206" s="228"/>
      <c r="R206" s="228"/>
      <c r="U206" s="228"/>
    </row>
    <row r="207" spans="6:21" x14ac:dyDescent="0.2">
      <c r="F207" s="270"/>
      <c r="K207" s="228"/>
      <c r="R207" s="228"/>
      <c r="U207" s="228"/>
    </row>
    <row r="208" spans="6:21" x14ac:dyDescent="0.2">
      <c r="F208" s="270"/>
      <c r="K208" s="228"/>
      <c r="R208" s="228"/>
      <c r="U208" s="228"/>
    </row>
    <row r="209" spans="6:21" x14ac:dyDescent="0.2">
      <c r="F209" s="270"/>
      <c r="K209" s="228"/>
      <c r="R209" s="228"/>
      <c r="U209" s="228"/>
    </row>
    <row r="210" spans="6:21" x14ac:dyDescent="0.2">
      <c r="F210" s="270"/>
      <c r="K210" s="228"/>
      <c r="R210" s="228"/>
      <c r="U210" s="228"/>
    </row>
    <row r="211" spans="6:21" x14ac:dyDescent="0.2">
      <c r="F211" s="270"/>
      <c r="K211" s="228"/>
      <c r="R211" s="228"/>
      <c r="U211" s="228"/>
    </row>
    <row r="212" spans="6:21" x14ac:dyDescent="0.2">
      <c r="F212" s="270"/>
      <c r="K212" s="228"/>
      <c r="R212" s="228"/>
      <c r="U212" s="228"/>
    </row>
    <row r="213" spans="6:21" x14ac:dyDescent="0.2">
      <c r="F213" s="270"/>
      <c r="K213" s="228"/>
      <c r="R213" s="228"/>
      <c r="U213" s="228"/>
    </row>
    <row r="214" spans="6:21" x14ac:dyDescent="0.2">
      <c r="F214" s="270"/>
      <c r="K214" s="228"/>
      <c r="R214" s="228"/>
      <c r="U214" s="228"/>
    </row>
    <row r="215" spans="6:21" x14ac:dyDescent="0.2">
      <c r="F215" s="270"/>
      <c r="K215" s="228"/>
      <c r="R215" s="228"/>
      <c r="U215" s="228"/>
    </row>
    <row r="216" spans="6:21" x14ac:dyDescent="0.2">
      <c r="F216" s="270"/>
      <c r="K216" s="228"/>
      <c r="R216" s="228"/>
      <c r="U216" s="228"/>
    </row>
    <row r="217" spans="6:21" x14ac:dyDescent="0.2">
      <c r="F217" s="270"/>
      <c r="K217" s="228"/>
      <c r="R217" s="228"/>
      <c r="U217" s="228"/>
    </row>
    <row r="218" spans="6:21" x14ac:dyDescent="0.2">
      <c r="F218" s="270"/>
      <c r="K218" s="228"/>
      <c r="R218" s="228"/>
      <c r="U218" s="228"/>
    </row>
    <row r="219" spans="6:21" x14ac:dyDescent="0.2">
      <c r="F219" s="270"/>
      <c r="K219" s="228"/>
      <c r="R219" s="228"/>
      <c r="U219" s="228"/>
    </row>
    <row r="220" spans="6:21" x14ac:dyDescent="0.2">
      <c r="F220" s="270"/>
      <c r="K220" s="228"/>
      <c r="R220" s="228"/>
      <c r="U220" s="228"/>
    </row>
    <row r="221" spans="6:21" x14ac:dyDescent="0.2">
      <c r="F221" s="270"/>
      <c r="K221" s="228"/>
      <c r="R221" s="228"/>
      <c r="U221" s="228"/>
    </row>
    <row r="222" spans="6:21" x14ac:dyDescent="0.2">
      <c r="F222" s="270"/>
      <c r="K222" s="228"/>
      <c r="R222" s="228"/>
      <c r="U222" s="228"/>
    </row>
    <row r="223" spans="6:21" x14ac:dyDescent="0.2">
      <c r="F223" s="270"/>
      <c r="K223" s="228"/>
      <c r="R223" s="228"/>
      <c r="U223" s="228"/>
    </row>
    <row r="224" spans="6:21" x14ac:dyDescent="0.2">
      <c r="F224" s="270"/>
      <c r="K224" s="228"/>
      <c r="R224" s="228"/>
      <c r="U224" s="228"/>
    </row>
    <row r="225" spans="6:21" x14ac:dyDescent="0.2">
      <c r="F225" s="270"/>
      <c r="K225" s="228"/>
      <c r="R225" s="228"/>
      <c r="U225" s="228"/>
    </row>
    <row r="226" spans="6:21" x14ac:dyDescent="0.2">
      <c r="F226" s="270"/>
      <c r="K226" s="228"/>
      <c r="R226" s="228"/>
      <c r="U226" s="228"/>
    </row>
    <row r="227" spans="6:21" x14ac:dyDescent="0.2">
      <c r="F227" s="270"/>
      <c r="K227" s="228"/>
      <c r="R227" s="228"/>
      <c r="U227" s="228"/>
    </row>
    <row r="228" spans="6:21" x14ac:dyDescent="0.2">
      <c r="F228" s="270"/>
      <c r="K228" s="228"/>
      <c r="R228" s="228"/>
      <c r="U228" s="228"/>
    </row>
    <row r="229" spans="6:21" x14ac:dyDescent="0.2">
      <c r="F229" s="270"/>
      <c r="K229" s="228"/>
      <c r="R229" s="228"/>
      <c r="U229" s="228"/>
    </row>
    <row r="230" spans="6:21" x14ac:dyDescent="0.2">
      <c r="F230" s="270"/>
      <c r="K230" s="228"/>
      <c r="R230" s="228"/>
      <c r="U230" s="228"/>
    </row>
    <row r="231" spans="6:21" x14ac:dyDescent="0.2">
      <c r="F231" s="270"/>
      <c r="K231" s="228"/>
      <c r="R231" s="228"/>
      <c r="U231" s="228"/>
    </row>
    <row r="232" spans="6:21" x14ac:dyDescent="0.2">
      <c r="F232" s="270"/>
      <c r="K232" s="228"/>
      <c r="R232" s="228"/>
      <c r="U232" s="228"/>
    </row>
    <row r="233" spans="6:21" x14ac:dyDescent="0.2">
      <c r="F233" s="270"/>
      <c r="K233" s="228"/>
      <c r="R233" s="228"/>
      <c r="U233" s="228"/>
    </row>
    <row r="234" spans="6:21" x14ac:dyDescent="0.2">
      <c r="F234" s="270"/>
      <c r="K234" s="228"/>
      <c r="R234" s="228"/>
      <c r="U234" s="228"/>
    </row>
    <row r="235" spans="6:21" x14ac:dyDescent="0.2">
      <c r="F235" s="270"/>
      <c r="K235" s="228"/>
      <c r="R235" s="228"/>
      <c r="U235" s="228"/>
    </row>
    <row r="236" spans="6:21" x14ac:dyDescent="0.2">
      <c r="F236" s="270"/>
      <c r="K236" s="228"/>
      <c r="R236" s="228"/>
      <c r="U236" s="228"/>
    </row>
    <row r="237" spans="6:21" x14ac:dyDescent="0.2">
      <c r="F237" s="270"/>
      <c r="K237" s="228"/>
      <c r="R237" s="228"/>
      <c r="U237" s="228"/>
    </row>
    <row r="238" spans="6:21" x14ac:dyDescent="0.2">
      <c r="F238" s="270"/>
      <c r="K238" s="228"/>
      <c r="R238" s="228"/>
      <c r="U238" s="228"/>
    </row>
    <row r="239" spans="6:21" x14ac:dyDescent="0.2">
      <c r="F239" s="270"/>
      <c r="K239" s="228"/>
      <c r="R239" s="228"/>
      <c r="U239" s="228"/>
    </row>
    <row r="240" spans="6:21" x14ac:dyDescent="0.2">
      <c r="F240" s="270"/>
      <c r="K240" s="228"/>
      <c r="R240" s="228"/>
      <c r="U240" s="228"/>
    </row>
    <row r="241" spans="6:21" x14ac:dyDescent="0.2">
      <c r="F241" s="270"/>
      <c r="K241" s="228"/>
      <c r="R241" s="228"/>
      <c r="U241" s="228"/>
    </row>
    <row r="242" spans="6:21" x14ac:dyDescent="0.2">
      <c r="F242" s="270"/>
      <c r="K242" s="228"/>
      <c r="R242" s="228"/>
      <c r="U242" s="228"/>
    </row>
    <row r="243" spans="6:21" x14ac:dyDescent="0.2">
      <c r="F243" s="270"/>
      <c r="K243" s="228"/>
      <c r="R243" s="228"/>
      <c r="U243" s="228"/>
    </row>
    <row r="244" spans="6:21" x14ac:dyDescent="0.2">
      <c r="F244" s="270"/>
      <c r="K244" s="228"/>
      <c r="R244" s="228"/>
      <c r="U244" s="228"/>
    </row>
    <row r="245" spans="6:21" x14ac:dyDescent="0.2">
      <c r="F245" s="270"/>
      <c r="K245" s="228"/>
      <c r="R245" s="228"/>
      <c r="U245" s="228"/>
    </row>
    <row r="246" spans="6:21" x14ac:dyDescent="0.2">
      <c r="F246" s="270"/>
      <c r="K246" s="228"/>
      <c r="R246" s="228"/>
      <c r="U246" s="228"/>
    </row>
    <row r="247" spans="6:21" x14ac:dyDescent="0.2">
      <c r="F247" s="270"/>
      <c r="K247" s="228"/>
      <c r="R247" s="228"/>
      <c r="U247" s="228"/>
    </row>
    <row r="248" spans="6:21" x14ac:dyDescent="0.2">
      <c r="F248" s="270"/>
      <c r="K248" s="228"/>
      <c r="R248" s="228"/>
      <c r="U248" s="228"/>
    </row>
    <row r="249" spans="6:21" x14ac:dyDescent="0.2">
      <c r="F249" s="270"/>
      <c r="K249" s="228"/>
      <c r="R249" s="228"/>
      <c r="U249" s="228"/>
    </row>
    <row r="250" spans="6:21" x14ac:dyDescent="0.2">
      <c r="F250" s="270"/>
      <c r="K250" s="228"/>
      <c r="R250" s="228"/>
      <c r="U250" s="228"/>
    </row>
    <row r="251" spans="6:21" x14ac:dyDescent="0.2">
      <c r="F251" s="270"/>
      <c r="K251" s="228"/>
      <c r="R251" s="228"/>
      <c r="U251" s="228"/>
    </row>
    <row r="252" spans="6:21" x14ac:dyDescent="0.2">
      <c r="F252" s="270"/>
      <c r="K252" s="228"/>
      <c r="R252" s="228"/>
      <c r="U252" s="228"/>
    </row>
    <row r="253" spans="6:21" x14ac:dyDescent="0.2">
      <c r="F253" s="270"/>
      <c r="K253" s="228"/>
      <c r="R253" s="228"/>
      <c r="U253" s="228"/>
    </row>
    <row r="254" spans="6:21" x14ac:dyDescent="0.2">
      <c r="F254" s="270"/>
      <c r="K254" s="228"/>
      <c r="R254" s="228"/>
      <c r="U254" s="228"/>
    </row>
    <row r="255" spans="6:21" x14ac:dyDescent="0.2">
      <c r="F255" s="270"/>
      <c r="K255" s="228"/>
      <c r="R255" s="228"/>
      <c r="U255" s="228"/>
    </row>
    <row r="256" spans="6:21" x14ac:dyDescent="0.2">
      <c r="F256" s="270"/>
      <c r="K256" s="228"/>
      <c r="R256" s="228"/>
      <c r="U256" s="228"/>
    </row>
    <row r="257" spans="6:21" x14ac:dyDescent="0.2">
      <c r="F257" s="270"/>
      <c r="K257" s="228"/>
      <c r="R257" s="228"/>
      <c r="U257" s="228"/>
    </row>
    <row r="258" spans="6:21" x14ac:dyDescent="0.2">
      <c r="F258" s="270"/>
      <c r="K258" s="228"/>
      <c r="R258" s="228"/>
      <c r="U258" s="228"/>
    </row>
    <row r="259" spans="6:21" x14ac:dyDescent="0.2">
      <c r="F259" s="270"/>
      <c r="K259" s="228"/>
      <c r="R259" s="228"/>
      <c r="U259" s="228"/>
    </row>
    <row r="260" spans="6:21" x14ac:dyDescent="0.2">
      <c r="F260" s="270"/>
      <c r="K260" s="228"/>
      <c r="R260" s="228"/>
      <c r="U260" s="228"/>
    </row>
    <row r="261" spans="6:21" x14ac:dyDescent="0.2">
      <c r="F261" s="270"/>
      <c r="K261" s="228"/>
      <c r="R261" s="228"/>
      <c r="U261" s="228"/>
    </row>
    <row r="262" spans="6:21" x14ac:dyDescent="0.2">
      <c r="F262" s="270"/>
      <c r="K262" s="228"/>
      <c r="R262" s="228"/>
      <c r="U262" s="228"/>
    </row>
    <row r="263" spans="6:21" x14ac:dyDescent="0.2">
      <c r="F263" s="270"/>
      <c r="K263" s="228"/>
      <c r="R263" s="228"/>
      <c r="U263" s="228"/>
    </row>
    <row r="264" spans="6:21" x14ac:dyDescent="0.2">
      <c r="F264" s="270"/>
      <c r="K264" s="228"/>
      <c r="R264" s="228"/>
      <c r="U264" s="228"/>
    </row>
    <row r="265" spans="6:21" x14ac:dyDescent="0.2">
      <c r="F265" s="270"/>
      <c r="K265" s="228"/>
      <c r="R265" s="228"/>
      <c r="U265" s="228"/>
    </row>
    <row r="266" spans="6:21" x14ac:dyDescent="0.2">
      <c r="F266" s="270"/>
      <c r="K266" s="228"/>
      <c r="R266" s="228"/>
      <c r="U266" s="228"/>
    </row>
    <row r="267" spans="6:21" x14ac:dyDescent="0.2">
      <c r="F267" s="270"/>
      <c r="K267" s="228"/>
      <c r="R267" s="228"/>
      <c r="U267" s="228"/>
    </row>
    <row r="268" spans="6:21" x14ac:dyDescent="0.2">
      <c r="F268" s="270"/>
      <c r="K268" s="228"/>
      <c r="R268" s="228"/>
      <c r="U268" s="228"/>
    </row>
    <row r="269" spans="6:21" x14ac:dyDescent="0.2">
      <c r="F269" s="270"/>
      <c r="K269" s="228"/>
      <c r="R269" s="228"/>
      <c r="U269" s="228"/>
    </row>
    <row r="270" spans="6:21" x14ac:dyDescent="0.2">
      <c r="F270" s="270"/>
      <c r="K270" s="228"/>
      <c r="R270" s="228"/>
      <c r="U270" s="228"/>
    </row>
    <row r="271" spans="6:21" x14ac:dyDescent="0.2">
      <c r="F271" s="270"/>
      <c r="K271" s="228"/>
      <c r="R271" s="228"/>
      <c r="U271" s="228"/>
    </row>
    <row r="272" spans="6:21" x14ac:dyDescent="0.2">
      <c r="F272" s="270"/>
      <c r="K272" s="228"/>
      <c r="R272" s="228"/>
      <c r="U272" s="228"/>
    </row>
    <row r="273" spans="6:21" x14ac:dyDescent="0.2">
      <c r="F273" s="270"/>
      <c r="K273" s="228"/>
      <c r="R273" s="228"/>
      <c r="U273" s="228"/>
    </row>
    <row r="274" spans="6:21" x14ac:dyDescent="0.2">
      <c r="F274" s="270"/>
      <c r="K274" s="228"/>
      <c r="R274" s="228"/>
      <c r="U274" s="228"/>
    </row>
    <row r="275" spans="6:21" x14ac:dyDescent="0.2">
      <c r="F275" s="270"/>
      <c r="K275" s="228"/>
      <c r="R275" s="228"/>
      <c r="U275" s="228"/>
    </row>
    <row r="276" spans="6:21" x14ac:dyDescent="0.2">
      <c r="F276" s="270"/>
      <c r="K276" s="228"/>
      <c r="R276" s="228"/>
      <c r="U276" s="228"/>
    </row>
    <row r="277" spans="6:21" x14ac:dyDescent="0.2">
      <c r="F277" s="270"/>
      <c r="K277" s="228"/>
      <c r="R277" s="228"/>
      <c r="U277" s="228"/>
    </row>
    <row r="278" spans="6:21" x14ac:dyDescent="0.2">
      <c r="F278" s="270"/>
      <c r="K278" s="228"/>
      <c r="R278" s="228"/>
      <c r="U278" s="228"/>
    </row>
    <row r="279" spans="6:21" x14ac:dyDescent="0.2">
      <c r="F279" s="270"/>
      <c r="K279" s="228"/>
      <c r="R279" s="228"/>
      <c r="U279" s="228"/>
    </row>
    <row r="280" spans="6:21" x14ac:dyDescent="0.2">
      <c r="F280" s="270"/>
      <c r="K280" s="228"/>
      <c r="R280" s="228"/>
      <c r="U280" s="228"/>
    </row>
    <row r="281" spans="6:21" x14ac:dyDescent="0.2">
      <c r="F281" s="270"/>
      <c r="K281" s="228"/>
      <c r="R281" s="228"/>
      <c r="U281" s="228"/>
    </row>
    <row r="282" spans="6:21" x14ac:dyDescent="0.2">
      <c r="F282" s="270"/>
      <c r="K282" s="228"/>
      <c r="R282" s="228"/>
      <c r="U282" s="228"/>
    </row>
    <row r="283" spans="6:21" x14ac:dyDescent="0.2">
      <c r="F283" s="270"/>
      <c r="K283" s="228"/>
      <c r="R283" s="228"/>
      <c r="U283" s="228"/>
    </row>
    <row r="284" spans="6:21" x14ac:dyDescent="0.2">
      <c r="F284" s="270"/>
      <c r="K284" s="228"/>
      <c r="R284" s="228"/>
      <c r="U284" s="228"/>
    </row>
    <row r="285" spans="6:21" x14ac:dyDescent="0.2">
      <c r="F285" s="270"/>
      <c r="K285" s="228"/>
      <c r="R285" s="228"/>
      <c r="U285" s="228"/>
    </row>
    <row r="286" spans="6:21" x14ac:dyDescent="0.2">
      <c r="F286" s="270"/>
      <c r="K286" s="228"/>
      <c r="R286" s="228"/>
      <c r="U286" s="228"/>
    </row>
    <row r="287" spans="6:21" x14ac:dyDescent="0.2">
      <c r="F287" s="270"/>
      <c r="K287" s="228"/>
      <c r="R287" s="228"/>
      <c r="U287" s="228"/>
    </row>
    <row r="288" spans="6:21" x14ac:dyDescent="0.2">
      <c r="F288" s="270"/>
      <c r="K288" s="228"/>
      <c r="R288" s="228"/>
      <c r="U288" s="228"/>
    </row>
    <row r="289" spans="6:21" x14ac:dyDescent="0.2">
      <c r="F289" s="270"/>
      <c r="K289" s="228"/>
      <c r="R289" s="228"/>
      <c r="U289" s="228"/>
    </row>
    <row r="290" spans="6:21" x14ac:dyDescent="0.2">
      <c r="F290" s="270"/>
      <c r="K290" s="228"/>
      <c r="R290" s="228"/>
      <c r="U290" s="228"/>
    </row>
    <row r="291" spans="6:21" x14ac:dyDescent="0.2">
      <c r="F291" s="270"/>
      <c r="K291" s="228"/>
      <c r="R291" s="228"/>
      <c r="U291" s="228"/>
    </row>
    <row r="292" spans="6:21" x14ac:dyDescent="0.2">
      <c r="F292" s="270"/>
      <c r="K292" s="228"/>
      <c r="R292" s="228"/>
      <c r="U292" s="228"/>
    </row>
    <row r="293" spans="6:21" x14ac:dyDescent="0.2">
      <c r="F293" s="270"/>
      <c r="K293" s="228"/>
      <c r="R293" s="228"/>
      <c r="U293" s="228"/>
    </row>
    <row r="294" spans="6:21" x14ac:dyDescent="0.2">
      <c r="F294" s="270"/>
      <c r="K294" s="228"/>
      <c r="R294" s="228"/>
      <c r="U294" s="228"/>
    </row>
    <row r="295" spans="6:21" x14ac:dyDescent="0.2">
      <c r="F295" s="270"/>
      <c r="K295" s="228"/>
      <c r="R295" s="228"/>
      <c r="U295" s="228"/>
    </row>
    <row r="296" spans="6:21" x14ac:dyDescent="0.2">
      <c r="F296" s="270"/>
      <c r="K296" s="228"/>
      <c r="R296" s="228"/>
      <c r="U296" s="228"/>
    </row>
    <row r="297" spans="6:21" x14ac:dyDescent="0.2">
      <c r="F297" s="270"/>
      <c r="K297" s="228"/>
      <c r="R297" s="228"/>
      <c r="U297" s="228"/>
    </row>
    <row r="298" spans="6:21" x14ac:dyDescent="0.2">
      <c r="F298" s="270"/>
      <c r="K298" s="228"/>
      <c r="R298" s="228"/>
      <c r="U298" s="228"/>
    </row>
    <row r="299" spans="6:21" x14ac:dyDescent="0.2">
      <c r="F299" s="270"/>
      <c r="K299" s="228"/>
      <c r="R299" s="228"/>
      <c r="U299" s="228"/>
    </row>
    <row r="300" spans="6:21" x14ac:dyDescent="0.2">
      <c r="F300" s="270"/>
      <c r="K300" s="228"/>
      <c r="R300" s="228"/>
      <c r="U300" s="228"/>
    </row>
    <row r="301" spans="6:21" x14ac:dyDescent="0.2">
      <c r="F301" s="270"/>
      <c r="K301" s="228"/>
      <c r="R301" s="228"/>
      <c r="U301" s="228"/>
    </row>
    <row r="302" spans="6:21" x14ac:dyDescent="0.2">
      <c r="F302" s="270"/>
      <c r="K302" s="228"/>
      <c r="R302" s="228"/>
      <c r="U302" s="228"/>
    </row>
    <row r="303" spans="6:21" x14ac:dyDescent="0.2">
      <c r="F303" s="270"/>
      <c r="K303" s="228"/>
      <c r="R303" s="228"/>
      <c r="U303" s="228"/>
    </row>
    <row r="304" spans="6:21" x14ac:dyDescent="0.2">
      <c r="F304" s="270"/>
      <c r="K304" s="228"/>
      <c r="R304" s="228"/>
      <c r="U304" s="228"/>
    </row>
    <row r="305" spans="6:21" x14ac:dyDescent="0.2">
      <c r="F305" s="270"/>
      <c r="K305" s="228"/>
      <c r="R305" s="228"/>
      <c r="U305" s="228"/>
    </row>
    <row r="306" spans="6:21" x14ac:dyDescent="0.2">
      <c r="F306" s="270"/>
      <c r="K306" s="228"/>
      <c r="R306" s="228"/>
      <c r="U306" s="228"/>
    </row>
    <row r="307" spans="6:21" x14ac:dyDescent="0.2">
      <c r="F307" s="270"/>
      <c r="K307" s="228"/>
      <c r="R307" s="228"/>
      <c r="U307" s="228"/>
    </row>
    <row r="308" spans="6:21" x14ac:dyDescent="0.2">
      <c r="F308" s="270"/>
      <c r="K308" s="228"/>
      <c r="R308" s="228"/>
      <c r="U308" s="228"/>
    </row>
    <row r="309" spans="6:21" x14ac:dyDescent="0.2">
      <c r="F309" s="270"/>
      <c r="K309" s="228"/>
      <c r="R309" s="228"/>
      <c r="U309" s="228"/>
    </row>
    <row r="310" spans="6:21" x14ac:dyDescent="0.2">
      <c r="F310" s="270"/>
      <c r="K310" s="228"/>
      <c r="R310" s="228"/>
      <c r="U310" s="228"/>
    </row>
    <row r="311" spans="6:21" x14ac:dyDescent="0.2">
      <c r="F311" s="270"/>
      <c r="K311" s="228"/>
      <c r="R311" s="228"/>
      <c r="U311" s="228"/>
    </row>
    <row r="312" spans="6:21" x14ac:dyDescent="0.2">
      <c r="F312" s="270"/>
      <c r="K312" s="228"/>
      <c r="R312" s="228"/>
      <c r="U312" s="228"/>
    </row>
    <row r="313" spans="6:21" x14ac:dyDescent="0.2">
      <c r="F313" s="270"/>
      <c r="K313" s="228"/>
      <c r="R313" s="228"/>
      <c r="U313" s="228"/>
    </row>
    <row r="314" spans="6:21" x14ac:dyDescent="0.2">
      <c r="F314" s="270"/>
      <c r="K314" s="228"/>
      <c r="R314" s="228"/>
      <c r="U314" s="228"/>
    </row>
    <row r="315" spans="6:21" x14ac:dyDescent="0.2">
      <c r="F315" s="270"/>
      <c r="K315" s="228"/>
      <c r="R315" s="228"/>
      <c r="U315" s="228"/>
    </row>
    <row r="316" spans="6:21" x14ac:dyDescent="0.2">
      <c r="F316" s="270"/>
      <c r="K316" s="228"/>
      <c r="R316" s="228"/>
      <c r="U316" s="228"/>
    </row>
    <row r="317" spans="6:21" x14ac:dyDescent="0.2">
      <c r="F317" s="270"/>
      <c r="K317" s="228"/>
      <c r="R317" s="228"/>
      <c r="U317" s="228"/>
    </row>
    <row r="318" spans="6:21" x14ac:dyDescent="0.2">
      <c r="F318" s="270"/>
      <c r="K318" s="228"/>
      <c r="R318" s="228"/>
      <c r="U318" s="228"/>
    </row>
    <row r="319" spans="6:21" x14ac:dyDescent="0.2">
      <c r="F319" s="270"/>
      <c r="K319" s="228"/>
      <c r="R319" s="228"/>
      <c r="U319" s="228"/>
    </row>
    <row r="320" spans="6:21" x14ac:dyDescent="0.2">
      <c r="F320" s="270"/>
      <c r="K320" s="228"/>
      <c r="R320" s="228"/>
      <c r="U320" s="228"/>
    </row>
    <row r="321" spans="6:21" x14ac:dyDescent="0.2">
      <c r="F321" s="270"/>
      <c r="K321" s="228"/>
      <c r="R321" s="228"/>
      <c r="U321" s="228"/>
    </row>
    <row r="322" spans="6:21" x14ac:dyDescent="0.2">
      <c r="F322" s="270"/>
      <c r="K322" s="228"/>
      <c r="R322" s="228"/>
      <c r="U322" s="228"/>
    </row>
    <row r="323" spans="6:21" x14ac:dyDescent="0.2">
      <c r="F323" s="270"/>
      <c r="K323" s="228"/>
      <c r="R323" s="228"/>
      <c r="U323" s="228"/>
    </row>
    <row r="324" spans="6:21" x14ac:dyDescent="0.2">
      <c r="F324" s="270"/>
      <c r="K324" s="228"/>
      <c r="R324" s="228"/>
      <c r="U324" s="228"/>
    </row>
    <row r="325" spans="6:21" x14ac:dyDescent="0.2">
      <c r="F325" s="270"/>
      <c r="K325" s="228"/>
      <c r="R325" s="228"/>
      <c r="U325" s="228"/>
    </row>
    <row r="326" spans="6:21" x14ac:dyDescent="0.2">
      <c r="F326" s="270"/>
      <c r="K326" s="228"/>
      <c r="R326" s="228"/>
      <c r="U326" s="228"/>
    </row>
    <row r="327" spans="6:21" x14ac:dyDescent="0.2">
      <c r="F327" s="270"/>
      <c r="K327" s="228"/>
      <c r="R327" s="228"/>
      <c r="U327" s="228"/>
    </row>
    <row r="328" spans="6:21" x14ac:dyDescent="0.2">
      <c r="F328" s="270"/>
      <c r="K328" s="228"/>
      <c r="R328" s="228"/>
      <c r="U328" s="228"/>
    </row>
    <row r="329" spans="6:21" x14ac:dyDescent="0.2">
      <c r="F329" s="270"/>
      <c r="K329" s="228"/>
      <c r="R329" s="228"/>
      <c r="U329" s="228"/>
    </row>
    <row r="330" spans="6:21" x14ac:dyDescent="0.2">
      <c r="F330" s="270"/>
      <c r="K330" s="228"/>
      <c r="R330" s="228"/>
      <c r="U330" s="228"/>
    </row>
    <row r="331" spans="6:21" x14ac:dyDescent="0.2">
      <c r="F331" s="270"/>
      <c r="K331" s="228"/>
      <c r="R331" s="228"/>
      <c r="U331" s="228"/>
    </row>
    <row r="332" spans="6:21" x14ac:dyDescent="0.2">
      <c r="F332" s="270"/>
      <c r="K332" s="228"/>
      <c r="R332" s="228"/>
      <c r="U332" s="228"/>
    </row>
    <row r="333" spans="6:21" x14ac:dyDescent="0.2">
      <c r="F333" s="270"/>
      <c r="K333" s="228"/>
      <c r="R333" s="228"/>
      <c r="U333" s="228"/>
    </row>
    <row r="334" spans="6:21" x14ac:dyDescent="0.2">
      <c r="F334" s="270"/>
      <c r="K334" s="228"/>
      <c r="R334" s="228"/>
      <c r="U334" s="228"/>
    </row>
    <row r="335" spans="6:21" x14ac:dyDescent="0.2">
      <c r="F335" s="270"/>
      <c r="K335" s="228"/>
      <c r="R335" s="228"/>
      <c r="U335" s="228"/>
    </row>
    <row r="336" spans="6:21" x14ac:dyDescent="0.2">
      <c r="F336" s="270"/>
      <c r="K336" s="228"/>
      <c r="R336" s="228"/>
      <c r="U336" s="228"/>
    </row>
    <row r="337" spans="6:21" x14ac:dyDescent="0.2">
      <c r="F337" s="270"/>
      <c r="K337" s="228"/>
      <c r="R337" s="228"/>
      <c r="U337" s="228"/>
    </row>
    <row r="338" spans="6:21" x14ac:dyDescent="0.2">
      <c r="F338" s="270"/>
      <c r="K338" s="228"/>
      <c r="R338" s="228"/>
      <c r="U338" s="228"/>
    </row>
    <row r="339" spans="6:21" x14ac:dyDescent="0.2">
      <c r="F339" s="270"/>
      <c r="K339" s="228"/>
      <c r="R339" s="228"/>
      <c r="U339" s="228"/>
    </row>
    <row r="340" spans="6:21" x14ac:dyDescent="0.2">
      <c r="F340" s="270"/>
      <c r="K340" s="228"/>
      <c r="R340" s="228"/>
      <c r="U340" s="228"/>
    </row>
    <row r="341" spans="6:21" x14ac:dyDescent="0.2">
      <c r="F341" s="270"/>
      <c r="K341" s="228"/>
      <c r="R341" s="228"/>
      <c r="U341" s="228"/>
    </row>
    <row r="342" spans="6:21" x14ac:dyDescent="0.2">
      <c r="F342" s="270"/>
      <c r="K342" s="228"/>
      <c r="R342" s="228"/>
      <c r="U342" s="228"/>
    </row>
    <row r="343" spans="6:21" x14ac:dyDescent="0.2">
      <c r="F343" s="270"/>
      <c r="K343" s="228"/>
      <c r="R343" s="228"/>
      <c r="U343" s="228"/>
    </row>
    <row r="344" spans="6:21" x14ac:dyDescent="0.2">
      <c r="F344" s="270"/>
      <c r="K344" s="228"/>
      <c r="R344" s="228"/>
      <c r="U344" s="228"/>
    </row>
    <row r="345" spans="6:21" x14ac:dyDescent="0.2">
      <c r="F345" s="270"/>
      <c r="K345" s="228"/>
      <c r="R345" s="228"/>
      <c r="U345" s="228"/>
    </row>
    <row r="346" spans="6:21" x14ac:dyDescent="0.2">
      <c r="F346" s="270"/>
      <c r="K346" s="228"/>
      <c r="R346" s="228"/>
      <c r="U346" s="228"/>
    </row>
    <row r="347" spans="6:21" x14ac:dyDescent="0.2">
      <c r="F347" s="270"/>
      <c r="K347" s="228"/>
      <c r="R347" s="228"/>
      <c r="U347" s="228"/>
    </row>
    <row r="348" spans="6:21" x14ac:dyDescent="0.2">
      <c r="F348" s="270"/>
      <c r="K348" s="228"/>
      <c r="R348" s="228"/>
      <c r="U348" s="228"/>
    </row>
    <row r="349" spans="6:21" x14ac:dyDescent="0.2">
      <c r="F349" s="270"/>
      <c r="K349" s="228"/>
      <c r="R349" s="228"/>
      <c r="U349" s="228"/>
    </row>
    <row r="350" spans="6:21" x14ac:dyDescent="0.2">
      <c r="F350" s="270"/>
      <c r="K350" s="228"/>
      <c r="R350" s="228"/>
      <c r="U350" s="228"/>
    </row>
    <row r="351" spans="6:21" x14ac:dyDescent="0.2">
      <c r="F351" s="270"/>
      <c r="K351" s="228"/>
      <c r="R351" s="228"/>
      <c r="U351" s="228"/>
    </row>
    <row r="352" spans="6:21" x14ac:dyDescent="0.2">
      <c r="F352" s="270"/>
      <c r="K352" s="228"/>
      <c r="R352" s="228"/>
      <c r="U352" s="228"/>
    </row>
    <row r="353" spans="6:21" x14ac:dyDescent="0.2">
      <c r="F353" s="270"/>
      <c r="K353" s="228"/>
      <c r="R353" s="228"/>
      <c r="U353" s="228"/>
    </row>
    <row r="354" spans="6:21" x14ac:dyDescent="0.2">
      <c r="F354" s="270"/>
      <c r="K354" s="228"/>
      <c r="R354" s="228"/>
      <c r="U354" s="228"/>
    </row>
    <row r="355" spans="6:21" x14ac:dyDescent="0.2">
      <c r="F355" s="270"/>
      <c r="K355" s="228"/>
      <c r="R355" s="228"/>
      <c r="U355" s="228"/>
    </row>
    <row r="356" spans="6:21" x14ac:dyDescent="0.2">
      <c r="F356" s="270"/>
      <c r="K356" s="228"/>
      <c r="R356" s="228"/>
      <c r="U356" s="228"/>
    </row>
    <row r="357" spans="6:21" x14ac:dyDescent="0.2">
      <c r="F357" s="270"/>
      <c r="K357" s="228"/>
      <c r="R357" s="228"/>
      <c r="U357" s="228"/>
    </row>
    <row r="358" spans="6:21" x14ac:dyDescent="0.2">
      <c r="F358" s="270"/>
      <c r="K358" s="228"/>
      <c r="R358" s="228"/>
      <c r="U358" s="228"/>
    </row>
    <row r="359" spans="6:21" x14ac:dyDescent="0.2">
      <c r="F359" s="270"/>
      <c r="K359" s="228"/>
      <c r="R359" s="228"/>
      <c r="U359" s="228"/>
    </row>
    <row r="360" spans="6:21" x14ac:dyDescent="0.2">
      <c r="F360" s="270"/>
      <c r="K360" s="228"/>
      <c r="R360" s="228"/>
      <c r="U360" s="228"/>
    </row>
    <row r="361" spans="6:21" x14ac:dyDescent="0.2">
      <c r="F361" s="270"/>
      <c r="K361" s="228"/>
      <c r="R361" s="228"/>
      <c r="U361" s="228"/>
    </row>
    <row r="362" spans="6:21" x14ac:dyDescent="0.2">
      <c r="F362" s="270"/>
      <c r="K362" s="228"/>
      <c r="R362" s="228"/>
      <c r="U362" s="228"/>
    </row>
    <row r="363" spans="6:21" x14ac:dyDescent="0.2">
      <c r="F363" s="270"/>
      <c r="K363" s="228"/>
      <c r="R363" s="228"/>
      <c r="U363" s="228"/>
    </row>
    <row r="364" spans="6:21" x14ac:dyDescent="0.2">
      <c r="F364" s="270"/>
      <c r="K364" s="228"/>
      <c r="R364" s="228"/>
      <c r="U364" s="228"/>
    </row>
    <row r="365" spans="6:21" x14ac:dyDescent="0.2">
      <c r="F365" s="270"/>
      <c r="K365" s="228"/>
      <c r="R365" s="228"/>
      <c r="U365" s="228"/>
    </row>
    <row r="366" spans="6:21" x14ac:dyDescent="0.2">
      <c r="F366" s="270"/>
      <c r="K366" s="228"/>
      <c r="R366" s="228"/>
      <c r="U366" s="228"/>
    </row>
    <row r="367" spans="6:21" x14ac:dyDescent="0.2">
      <c r="F367" s="270"/>
      <c r="K367" s="228"/>
      <c r="R367" s="228"/>
      <c r="U367" s="228"/>
    </row>
    <row r="368" spans="6:21" x14ac:dyDescent="0.2">
      <c r="F368" s="270"/>
      <c r="K368" s="228"/>
      <c r="R368" s="228"/>
      <c r="U368" s="228"/>
    </row>
    <row r="369" spans="6:21" x14ac:dyDescent="0.2">
      <c r="F369" s="270"/>
      <c r="K369" s="228"/>
      <c r="R369" s="228"/>
      <c r="U369" s="228"/>
    </row>
    <row r="370" spans="6:21" x14ac:dyDescent="0.2">
      <c r="F370" s="270"/>
      <c r="K370" s="228"/>
      <c r="R370" s="228"/>
      <c r="U370" s="228"/>
    </row>
    <row r="371" spans="6:21" x14ac:dyDescent="0.2">
      <c r="F371" s="270"/>
      <c r="K371" s="228"/>
      <c r="R371" s="228"/>
      <c r="U371" s="228"/>
    </row>
    <row r="372" spans="6:21" x14ac:dyDescent="0.2">
      <c r="F372" s="270"/>
      <c r="K372" s="228"/>
      <c r="R372" s="228"/>
      <c r="U372" s="228"/>
    </row>
    <row r="373" spans="6:21" x14ac:dyDescent="0.2">
      <c r="F373" s="270"/>
      <c r="K373" s="228"/>
      <c r="R373" s="228"/>
      <c r="U373" s="228"/>
    </row>
    <row r="374" spans="6:21" x14ac:dyDescent="0.2">
      <c r="F374" s="270"/>
      <c r="K374" s="228"/>
      <c r="R374" s="228"/>
      <c r="U374" s="228"/>
    </row>
    <row r="375" spans="6:21" x14ac:dyDescent="0.2">
      <c r="F375" s="270"/>
      <c r="K375" s="228"/>
      <c r="R375" s="228"/>
      <c r="U375" s="228"/>
    </row>
    <row r="376" spans="6:21" x14ac:dyDescent="0.2">
      <c r="F376" s="270"/>
      <c r="K376" s="228"/>
      <c r="R376" s="228"/>
      <c r="U376" s="228"/>
    </row>
    <row r="377" spans="6:21" x14ac:dyDescent="0.2">
      <c r="F377" s="270"/>
      <c r="K377" s="228"/>
      <c r="R377" s="228"/>
      <c r="U377" s="228"/>
    </row>
    <row r="378" spans="6:21" x14ac:dyDescent="0.2">
      <c r="F378" s="270"/>
      <c r="K378" s="228"/>
      <c r="R378" s="228"/>
      <c r="U378" s="228"/>
    </row>
    <row r="379" spans="6:21" x14ac:dyDescent="0.2">
      <c r="F379" s="270"/>
      <c r="K379" s="228"/>
      <c r="R379" s="228"/>
      <c r="U379" s="228"/>
    </row>
    <row r="380" spans="6:21" x14ac:dyDescent="0.2">
      <c r="F380" s="270"/>
      <c r="K380" s="228"/>
      <c r="R380" s="228"/>
      <c r="U380" s="228"/>
    </row>
    <row r="381" spans="6:21" x14ac:dyDescent="0.2">
      <c r="F381" s="270"/>
      <c r="K381" s="228"/>
      <c r="R381" s="228"/>
      <c r="U381" s="228"/>
    </row>
    <row r="382" spans="6:21" x14ac:dyDescent="0.2">
      <c r="F382" s="270"/>
      <c r="K382" s="228"/>
      <c r="R382" s="228"/>
      <c r="U382" s="228"/>
    </row>
    <row r="383" spans="6:21" x14ac:dyDescent="0.2">
      <c r="F383" s="270"/>
      <c r="K383" s="228"/>
      <c r="R383" s="228"/>
      <c r="U383" s="228"/>
    </row>
    <row r="384" spans="6:21" x14ac:dyDescent="0.2">
      <c r="F384" s="270"/>
      <c r="K384" s="228"/>
      <c r="R384" s="228"/>
      <c r="U384" s="228"/>
    </row>
    <row r="385" spans="6:21" x14ac:dyDescent="0.2">
      <c r="F385" s="270"/>
      <c r="K385" s="228"/>
      <c r="R385" s="228"/>
      <c r="U385" s="228"/>
    </row>
    <row r="386" spans="6:21" x14ac:dyDescent="0.2">
      <c r="F386" s="270"/>
      <c r="K386" s="228"/>
      <c r="R386" s="228"/>
      <c r="U386" s="228"/>
    </row>
    <row r="387" spans="6:21" x14ac:dyDescent="0.2">
      <c r="F387" s="270"/>
      <c r="K387" s="228"/>
      <c r="R387" s="228"/>
      <c r="U387" s="228"/>
    </row>
    <row r="388" spans="6:21" x14ac:dyDescent="0.2">
      <c r="F388" s="270"/>
      <c r="K388" s="228"/>
      <c r="R388" s="228"/>
      <c r="U388" s="228"/>
    </row>
    <row r="389" spans="6:21" x14ac:dyDescent="0.2">
      <c r="F389" s="270"/>
      <c r="K389" s="228"/>
      <c r="R389" s="228"/>
      <c r="U389" s="228"/>
    </row>
    <row r="390" spans="6:21" x14ac:dyDescent="0.2">
      <c r="F390" s="270"/>
      <c r="K390" s="228"/>
      <c r="R390" s="228"/>
      <c r="U390" s="228"/>
    </row>
    <row r="391" spans="6:21" x14ac:dyDescent="0.2">
      <c r="F391" s="270"/>
      <c r="K391" s="228"/>
      <c r="R391" s="228"/>
      <c r="U391" s="228"/>
    </row>
    <row r="392" spans="6:21" x14ac:dyDescent="0.2">
      <c r="F392" s="270"/>
      <c r="K392" s="228"/>
      <c r="R392" s="228"/>
      <c r="U392" s="228"/>
    </row>
    <row r="393" spans="6:21" x14ac:dyDescent="0.2">
      <c r="F393" s="270"/>
      <c r="K393" s="228"/>
      <c r="R393" s="228"/>
      <c r="U393" s="228"/>
    </row>
    <row r="394" spans="6:21" x14ac:dyDescent="0.2">
      <c r="F394" s="270"/>
      <c r="K394" s="228"/>
      <c r="R394" s="228"/>
      <c r="U394" s="228"/>
    </row>
    <row r="395" spans="6:21" x14ac:dyDescent="0.2">
      <c r="F395" s="270"/>
      <c r="K395" s="228"/>
      <c r="R395" s="228"/>
      <c r="U395" s="228"/>
    </row>
    <row r="396" spans="6:21" x14ac:dyDescent="0.2">
      <c r="F396" s="270"/>
      <c r="K396" s="228"/>
      <c r="R396" s="228"/>
      <c r="U396" s="228"/>
    </row>
    <row r="397" spans="6:21" x14ac:dyDescent="0.2">
      <c r="F397" s="270"/>
      <c r="K397" s="228"/>
      <c r="R397" s="228"/>
      <c r="U397" s="228"/>
    </row>
    <row r="398" spans="6:21" x14ac:dyDescent="0.2">
      <c r="F398" s="270"/>
      <c r="K398" s="228"/>
      <c r="R398" s="228"/>
      <c r="U398" s="228"/>
    </row>
    <row r="399" spans="6:21" x14ac:dyDescent="0.2">
      <c r="F399" s="270"/>
      <c r="K399" s="228"/>
      <c r="R399" s="228"/>
      <c r="U399" s="228"/>
    </row>
    <row r="400" spans="6:21" x14ac:dyDescent="0.2">
      <c r="F400" s="270"/>
      <c r="K400" s="228"/>
      <c r="R400" s="228"/>
      <c r="U400" s="228"/>
    </row>
    <row r="401" spans="6:21" x14ac:dyDescent="0.2">
      <c r="F401" s="270"/>
      <c r="K401" s="228"/>
      <c r="R401" s="228"/>
      <c r="U401" s="228"/>
    </row>
    <row r="402" spans="6:21" x14ac:dyDescent="0.2">
      <c r="F402" s="270"/>
      <c r="K402" s="228"/>
      <c r="R402" s="228"/>
      <c r="U402" s="228"/>
    </row>
    <row r="403" spans="6:21" x14ac:dyDescent="0.2">
      <c r="K403" s="228"/>
      <c r="R403" s="228"/>
      <c r="U403" s="228"/>
    </row>
    <row r="404" spans="6:21" x14ac:dyDescent="0.2">
      <c r="K404" s="228"/>
      <c r="R404" s="228"/>
      <c r="U404" s="228"/>
    </row>
  </sheetData>
  <mergeCells count="3">
    <mergeCell ref="B1:Q1"/>
    <mergeCell ref="B2:Q2"/>
    <mergeCell ref="B3:Q3"/>
  </mergeCells>
  <printOptions horizontalCentered="1"/>
  <pageMargins left="0.25" right="0.25" top="0.75" bottom="0.5" header="0.5" footer="0.25"/>
  <pageSetup scale="4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>
    <pageSetUpPr fitToPage="1"/>
  </sheetPr>
  <dimension ref="A1:Q29"/>
  <sheetViews>
    <sheetView topLeftCell="B1" zoomScaleNormal="100" workbookViewId="0">
      <selection activeCell="B15" sqref="B15"/>
    </sheetView>
  </sheetViews>
  <sheetFormatPr defaultColWidth="10.28515625" defaultRowHeight="12.75" x14ac:dyDescent="0.2"/>
  <cols>
    <col min="1" max="1" width="0" style="168" hidden="1" customWidth="1"/>
    <col min="2" max="2" width="34.7109375" style="168" bestFit="1" customWidth="1"/>
    <col min="3" max="3" width="22.28515625" style="168" bestFit="1" customWidth="1"/>
    <col min="4" max="5" width="10.28515625" style="168" hidden="1" customWidth="1"/>
    <col min="6" max="6" width="11" style="168" bestFit="1" customWidth="1"/>
    <col min="7" max="7" width="11" style="168" customWidth="1"/>
    <col min="8" max="8" width="15.5703125" style="168" bestFit="1" customWidth="1"/>
    <col min="9" max="9" width="11.7109375" style="168" customWidth="1"/>
    <col min="10" max="10" width="12.85546875" style="168" customWidth="1"/>
    <col min="11" max="11" width="13.5703125" style="168" bestFit="1" customWidth="1"/>
    <col min="12" max="12" width="17.28515625" style="168" customWidth="1"/>
    <col min="13" max="13" width="15" style="168" bestFit="1" customWidth="1"/>
    <col min="14" max="14" width="7.140625" style="168" bestFit="1" customWidth="1"/>
    <col min="15" max="16" width="10.28515625" style="168" customWidth="1"/>
    <col min="17" max="17" width="5.7109375" style="168" customWidth="1"/>
    <col min="18" max="16384" width="10.28515625" style="168"/>
  </cols>
  <sheetData>
    <row r="1" spans="1:17" x14ac:dyDescent="0.2">
      <c r="B1" s="640" t="s">
        <v>209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7" x14ac:dyDescent="0.2">
      <c r="B2" s="640" t="s">
        <v>269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</row>
    <row r="3" spans="1:17" x14ac:dyDescent="0.2">
      <c r="C3" s="169"/>
      <c r="D3" s="170"/>
      <c r="E3" s="170"/>
      <c r="F3" s="170"/>
      <c r="G3" s="170"/>
      <c r="H3" s="170"/>
      <c r="I3" s="170"/>
      <c r="J3" s="170"/>
    </row>
    <row r="5" spans="1:17" x14ac:dyDescent="0.2">
      <c r="K5" s="170" t="s">
        <v>146</v>
      </c>
    </row>
    <row r="6" spans="1:17" x14ac:dyDescent="0.2">
      <c r="F6" s="172" t="s">
        <v>148</v>
      </c>
      <c r="G6" s="172" t="s">
        <v>149</v>
      </c>
      <c r="H6" s="170" t="s">
        <v>150</v>
      </c>
      <c r="I6" s="172" t="s">
        <v>151</v>
      </c>
      <c r="K6" s="170" t="s">
        <v>152</v>
      </c>
      <c r="L6" s="170" t="s">
        <v>150</v>
      </c>
    </row>
    <row r="7" spans="1:17" s="174" customFormat="1" x14ac:dyDescent="0.2">
      <c r="B7" s="180" t="s">
        <v>160</v>
      </c>
      <c r="C7" s="180" t="s">
        <v>270</v>
      </c>
      <c r="F7" s="176" t="s">
        <v>155</v>
      </c>
      <c r="G7" s="176" t="s">
        <v>155</v>
      </c>
      <c r="H7" s="177">
        <v>41547</v>
      </c>
      <c r="I7" s="176" t="s">
        <v>156</v>
      </c>
      <c r="J7" s="176" t="s">
        <v>157</v>
      </c>
      <c r="K7" s="178" t="s">
        <v>158</v>
      </c>
      <c r="L7" s="177">
        <v>41578</v>
      </c>
    </row>
    <row r="8" spans="1:17" s="174" customFormat="1" x14ac:dyDescent="0.2">
      <c r="B8" s="201" t="s">
        <v>271</v>
      </c>
      <c r="C8" s="201" t="s">
        <v>272</v>
      </c>
      <c r="D8" s="174" t="s">
        <v>165</v>
      </c>
      <c r="E8" s="175" t="s">
        <v>166</v>
      </c>
      <c r="F8" s="271">
        <v>226020</v>
      </c>
      <c r="G8" s="271">
        <v>428220</v>
      </c>
      <c r="H8" s="272">
        <v>375062.60000000038</v>
      </c>
      <c r="I8" s="189"/>
      <c r="J8" s="190">
        <f>SUM(H8:I8)</f>
        <v>375062.60000000038</v>
      </c>
      <c r="K8" s="191">
        <v>-14708.33</v>
      </c>
      <c r="L8" s="193">
        <f>SUM(J8:K8)</f>
        <v>360354.27000000037</v>
      </c>
      <c r="M8" s="182"/>
      <c r="N8" s="183"/>
      <c r="O8" s="183"/>
      <c r="P8" s="183"/>
    </row>
    <row r="9" spans="1:17" s="174" customFormat="1" x14ac:dyDescent="0.2">
      <c r="A9" s="174" t="s">
        <v>168</v>
      </c>
      <c r="B9" s="201" t="s">
        <v>273</v>
      </c>
      <c r="C9" s="201" t="s">
        <v>274</v>
      </c>
      <c r="E9" s="175"/>
      <c r="F9" s="271">
        <v>226021</v>
      </c>
      <c r="G9" s="271">
        <v>428221</v>
      </c>
      <c r="H9" s="272">
        <v>2803640.0999999982</v>
      </c>
      <c r="I9" s="189"/>
      <c r="J9" s="190">
        <f>SUM(H9:I9)</f>
        <v>2803640.0999999982</v>
      </c>
      <c r="K9" s="196">
        <v>-8613.33</v>
      </c>
      <c r="L9" s="193">
        <f>SUM(J9:K9)</f>
        <v>2795026.7699999982</v>
      </c>
      <c r="M9" s="182"/>
      <c r="N9" s="183"/>
      <c r="O9" s="183"/>
      <c r="P9" s="183"/>
      <c r="Q9" s="183"/>
    </row>
    <row r="10" spans="1:17" s="174" customFormat="1" x14ac:dyDescent="0.2">
      <c r="C10" s="273" t="s">
        <v>9</v>
      </c>
      <c r="F10" s="206"/>
      <c r="G10" s="206"/>
      <c r="H10" s="207">
        <f>SUM(H8:H9)</f>
        <v>3178702.6999999988</v>
      </c>
      <c r="I10" s="207">
        <f>SUM(I8:I9)</f>
        <v>0</v>
      </c>
      <c r="J10" s="207">
        <f>SUM(J8:J9)</f>
        <v>3178702.6999999988</v>
      </c>
      <c r="K10" s="207">
        <f>SUM(K8:K9)</f>
        <v>-23321.66</v>
      </c>
      <c r="L10" s="208">
        <f>SUM(L8:L9)</f>
        <v>3155381.0399999986</v>
      </c>
      <c r="M10" s="209"/>
      <c r="N10" s="183"/>
      <c r="O10" s="183"/>
      <c r="P10" s="183"/>
      <c r="Q10" s="183"/>
    </row>
    <row r="11" spans="1:17" ht="13.5" thickBot="1" x14ac:dyDescent="0.25">
      <c r="J11" s="611"/>
    </row>
    <row r="12" spans="1:17" x14ac:dyDescent="0.2">
      <c r="B12" s="211"/>
      <c r="C12" s="212" t="s">
        <v>204</v>
      </c>
      <c r="D12" s="213"/>
      <c r="E12" s="213"/>
      <c r="F12" s="214" t="s">
        <v>205</v>
      </c>
      <c r="G12" s="215" t="s">
        <v>158</v>
      </c>
      <c r="H12" s="216" t="s">
        <v>206</v>
      </c>
      <c r="I12" s="214"/>
      <c r="J12" s="214"/>
      <c r="K12" s="214" t="s">
        <v>207</v>
      </c>
      <c r="L12" s="217"/>
      <c r="M12" s="217" t="s">
        <v>208</v>
      </c>
      <c r="N12" s="274"/>
    </row>
    <row r="13" spans="1:17" x14ac:dyDescent="0.2">
      <c r="B13" s="218"/>
      <c r="C13" s="210"/>
      <c r="D13" s="210"/>
      <c r="E13" s="210"/>
      <c r="F13" s="224">
        <v>226020</v>
      </c>
      <c r="G13" s="220">
        <v>41425</v>
      </c>
      <c r="H13" s="221">
        <v>433895.92</v>
      </c>
      <c r="I13" s="224"/>
      <c r="J13" s="224"/>
      <c r="K13" s="219">
        <v>31</v>
      </c>
      <c r="L13" s="222">
        <f>H13*K13</f>
        <v>13450773.52</v>
      </c>
      <c r="M13" s="224"/>
      <c r="N13" s="223"/>
    </row>
    <row r="14" spans="1:17" x14ac:dyDescent="0.2">
      <c r="B14" s="218"/>
      <c r="C14" s="210"/>
      <c r="D14" s="210"/>
      <c r="E14" s="210"/>
      <c r="F14" s="224"/>
      <c r="G14" s="220">
        <f>EOMONTH(DATE(2013,6,30),0)</f>
        <v>41455</v>
      </c>
      <c r="H14" s="221">
        <v>419187.59</v>
      </c>
      <c r="I14" s="224"/>
      <c r="J14" s="224"/>
      <c r="K14" s="219">
        <v>30</v>
      </c>
      <c r="L14" s="222">
        <f t="shared" ref="L14:L18" si="0">H14*K14</f>
        <v>12575627.700000001</v>
      </c>
      <c r="M14" s="224"/>
      <c r="N14" s="223"/>
    </row>
    <row r="15" spans="1:17" x14ac:dyDescent="0.2">
      <c r="B15" s="218"/>
      <c r="C15" s="210"/>
      <c r="D15" s="210"/>
      <c r="E15" s="210"/>
      <c r="F15" s="224"/>
      <c r="G15" s="220">
        <f>EOMONTH(DATE(2013,6,30),1)</f>
        <v>41486</v>
      </c>
      <c r="H15" s="221">
        <v>404479.26</v>
      </c>
      <c r="I15" s="224"/>
      <c r="J15" s="224"/>
      <c r="K15" s="219">
        <v>31</v>
      </c>
      <c r="L15" s="222">
        <f t="shared" si="0"/>
        <v>12538857.060000001</v>
      </c>
      <c r="M15" s="224"/>
      <c r="N15" s="223"/>
    </row>
    <row r="16" spans="1:17" x14ac:dyDescent="0.2">
      <c r="B16" s="218"/>
      <c r="C16" s="275"/>
      <c r="D16" s="210"/>
      <c r="E16" s="210"/>
      <c r="F16" s="224"/>
      <c r="G16" s="220">
        <f>EOMONTH(DATE(2013,6,30),2)</f>
        <v>41517</v>
      </c>
      <c r="H16" s="221">
        <v>389770.93</v>
      </c>
      <c r="I16" s="224"/>
      <c r="J16" s="224"/>
      <c r="K16" s="219">
        <v>31</v>
      </c>
      <c r="L16" s="222">
        <f>H16*K16</f>
        <v>12082898.83</v>
      </c>
      <c r="M16" s="224"/>
      <c r="N16" s="223"/>
    </row>
    <row r="17" spans="2:14" x14ac:dyDescent="0.2">
      <c r="B17" s="218"/>
      <c r="C17" s="275"/>
      <c r="D17" s="210"/>
      <c r="E17" s="210"/>
      <c r="F17" s="224"/>
      <c r="G17" s="220">
        <f>EOMONTH(DATE(2013,6,30),3)</f>
        <v>41547</v>
      </c>
      <c r="H17" s="221">
        <v>375062.6</v>
      </c>
      <c r="I17" s="224"/>
      <c r="J17" s="224"/>
      <c r="K17" s="219">
        <v>30</v>
      </c>
      <c r="L17" s="222">
        <f t="shared" si="0"/>
        <v>11251878</v>
      </c>
      <c r="M17" s="224"/>
      <c r="N17" s="223"/>
    </row>
    <row r="18" spans="2:14" x14ac:dyDescent="0.2">
      <c r="B18" s="218"/>
      <c r="C18" s="210"/>
      <c r="D18" s="210"/>
      <c r="E18" s="210"/>
      <c r="F18" s="224"/>
      <c r="G18" s="220">
        <f>EOMONTH(DATE(2013,6,30),4)</f>
        <v>41578</v>
      </c>
      <c r="H18" s="221">
        <v>360354.27</v>
      </c>
      <c r="I18" s="224"/>
      <c r="J18" s="224"/>
      <c r="K18" s="219">
        <v>31</v>
      </c>
      <c r="L18" s="222">
        <f t="shared" si="0"/>
        <v>11170982.370000001</v>
      </c>
      <c r="M18" s="224"/>
      <c r="N18" s="223"/>
    </row>
    <row r="19" spans="2:14" ht="13.5" thickBot="1" x14ac:dyDescent="0.25">
      <c r="B19" s="218"/>
      <c r="C19" s="210"/>
      <c r="D19" s="210"/>
      <c r="E19" s="210"/>
      <c r="F19" s="224"/>
      <c r="G19" s="276"/>
      <c r="H19" s="221"/>
      <c r="I19" s="224"/>
      <c r="J19" s="224"/>
      <c r="K19" s="277">
        <f>SUM(K13:K18)</f>
        <v>184</v>
      </c>
      <c r="L19" s="278">
        <f>SUM(L13:L18)</f>
        <v>73071017.480000004</v>
      </c>
      <c r="M19" s="279">
        <f>L19/K19</f>
        <v>397125.09500000003</v>
      </c>
      <c r="N19" s="223"/>
    </row>
    <row r="20" spans="2:14" ht="13.5" thickTop="1" x14ac:dyDescent="0.2">
      <c r="B20" s="218"/>
      <c r="C20" s="210"/>
      <c r="D20" s="210"/>
      <c r="E20" s="210"/>
      <c r="F20" s="224"/>
      <c r="G20" s="276"/>
      <c r="H20" s="221"/>
      <c r="I20" s="224"/>
      <c r="J20" s="224"/>
      <c r="K20" s="219"/>
      <c r="L20" s="224"/>
      <c r="M20" s="224"/>
      <c r="N20" s="223"/>
    </row>
    <row r="21" spans="2:14" x14ac:dyDescent="0.2">
      <c r="B21" s="218"/>
      <c r="C21" s="210"/>
      <c r="D21" s="210"/>
      <c r="E21" s="210"/>
      <c r="F21" s="224">
        <v>226021</v>
      </c>
      <c r="G21" s="220">
        <v>41425</v>
      </c>
      <c r="H21" s="221">
        <v>2838093.42</v>
      </c>
      <c r="I21" s="224"/>
      <c r="J21" s="224"/>
      <c r="K21" s="219">
        <v>31</v>
      </c>
      <c r="L21" s="222">
        <f>H21*K21</f>
        <v>87980896.019999996</v>
      </c>
      <c r="M21" s="224"/>
      <c r="N21" s="223"/>
    </row>
    <row r="22" spans="2:14" x14ac:dyDescent="0.2">
      <c r="B22" s="218"/>
      <c r="C22" s="210"/>
      <c r="D22" s="210"/>
      <c r="E22" s="210"/>
      <c r="F22" s="224"/>
      <c r="G22" s="220">
        <f>EOMONTH(DATE(2013,6,30),0)</f>
        <v>41455</v>
      </c>
      <c r="H22" s="221">
        <v>2829480.09</v>
      </c>
      <c r="I22" s="224"/>
      <c r="J22" s="224"/>
      <c r="K22" s="219">
        <v>30</v>
      </c>
      <c r="L22" s="222">
        <f t="shared" ref="L22:L26" si="1">H22*K22</f>
        <v>84884402.699999988</v>
      </c>
      <c r="M22" s="224"/>
      <c r="N22" s="223"/>
    </row>
    <row r="23" spans="2:14" x14ac:dyDescent="0.2">
      <c r="B23" s="218"/>
      <c r="C23" s="210"/>
      <c r="D23" s="210"/>
      <c r="E23" s="210"/>
      <c r="F23" s="224"/>
      <c r="G23" s="220">
        <f>EOMONTH(DATE(2013,6,30),1)</f>
        <v>41486</v>
      </c>
      <c r="H23" s="221">
        <v>2820866.76</v>
      </c>
      <c r="I23" s="224"/>
      <c r="J23" s="224"/>
      <c r="K23" s="219">
        <v>31</v>
      </c>
      <c r="L23" s="222">
        <f t="shared" si="1"/>
        <v>87446869.559999987</v>
      </c>
      <c r="M23" s="224"/>
      <c r="N23" s="223"/>
    </row>
    <row r="24" spans="2:14" x14ac:dyDescent="0.2">
      <c r="B24" s="218"/>
      <c r="C24" s="210"/>
      <c r="D24" s="210"/>
      <c r="E24" s="210"/>
      <c r="F24" s="224"/>
      <c r="G24" s="220">
        <f>EOMONTH(DATE(2013,6,30),2)</f>
        <v>41517</v>
      </c>
      <c r="H24" s="221">
        <v>2812253.43</v>
      </c>
      <c r="I24" s="224"/>
      <c r="J24" s="224"/>
      <c r="K24" s="219">
        <v>31</v>
      </c>
      <c r="L24" s="222">
        <f>H24*K24</f>
        <v>87179856.329999998</v>
      </c>
      <c r="M24" s="224"/>
      <c r="N24" s="223"/>
    </row>
    <row r="25" spans="2:14" x14ac:dyDescent="0.2">
      <c r="B25" s="218"/>
      <c r="C25" s="210"/>
      <c r="D25" s="210"/>
      <c r="E25" s="210"/>
      <c r="F25" s="224"/>
      <c r="G25" s="220">
        <f>EOMONTH(DATE(2013,6,30),3)</f>
        <v>41547</v>
      </c>
      <c r="H25" s="221">
        <v>2803640.1</v>
      </c>
      <c r="I25" s="224"/>
      <c r="J25" s="224"/>
      <c r="K25" s="219">
        <v>30</v>
      </c>
      <c r="L25" s="222">
        <f t="shared" si="1"/>
        <v>84109203</v>
      </c>
      <c r="M25" s="224"/>
      <c r="N25" s="223"/>
    </row>
    <row r="26" spans="2:14" x14ac:dyDescent="0.2">
      <c r="B26" s="218"/>
      <c r="C26" s="210"/>
      <c r="D26" s="210"/>
      <c r="E26" s="210"/>
      <c r="F26" s="224"/>
      <c r="G26" s="220">
        <f>EOMONTH(DATE(2013,6,30),4)</f>
        <v>41578</v>
      </c>
      <c r="H26" s="221">
        <v>2795026.77</v>
      </c>
      <c r="I26" s="224"/>
      <c r="J26" s="224"/>
      <c r="K26" s="219">
        <v>31</v>
      </c>
      <c r="L26" s="222">
        <f t="shared" si="1"/>
        <v>86645829.870000005</v>
      </c>
      <c r="M26" s="224"/>
      <c r="N26" s="223"/>
    </row>
    <row r="27" spans="2:14" ht="13.5" thickBot="1" x14ac:dyDescent="0.25">
      <c r="B27" s="218"/>
      <c r="C27" s="210"/>
      <c r="D27" s="210"/>
      <c r="E27" s="210"/>
      <c r="F27" s="224"/>
      <c r="G27" s="276"/>
      <c r="H27" s="221"/>
      <c r="I27" s="224"/>
      <c r="J27" s="224"/>
      <c r="K27" s="277">
        <f>SUM(K21:K26)</f>
        <v>184</v>
      </c>
      <c r="L27" s="278">
        <f>SUM(L21:L26)</f>
        <v>518247057.47999996</v>
      </c>
      <c r="M27" s="279">
        <f>L27/K27</f>
        <v>2816560.0949999997</v>
      </c>
      <c r="N27" s="223"/>
    </row>
    <row r="28" spans="2:14" ht="13.5" thickTop="1" x14ac:dyDescent="0.2">
      <c r="B28" s="218"/>
      <c r="C28" s="210"/>
      <c r="D28" s="210"/>
      <c r="E28" s="210"/>
      <c r="F28" s="224"/>
      <c r="G28" s="276"/>
      <c r="H28" s="221"/>
      <c r="I28" s="224"/>
      <c r="J28" s="224"/>
      <c r="K28" s="219"/>
      <c r="L28" s="224"/>
      <c r="M28" s="224"/>
      <c r="N28" s="223"/>
    </row>
    <row r="29" spans="2:14" ht="13.5" thickBot="1" x14ac:dyDescent="0.25">
      <c r="B29" s="225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80"/>
    </row>
  </sheetData>
  <mergeCells count="2">
    <mergeCell ref="B1:L1"/>
    <mergeCell ref="B2:L2"/>
  </mergeCells>
  <printOptions horizontalCentered="1"/>
  <pageMargins left="0.25" right="0.25" top="0.75" bottom="0.5" header="0.5" footer="0.25"/>
  <pageSetup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>
    <pageSetUpPr fitToPage="1"/>
  </sheetPr>
  <dimension ref="A1:P26"/>
  <sheetViews>
    <sheetView topLeftCell="B1" zoomScaleNormal="100" workbookViewId="0">
      <selection activeCell="D22" sqref="D22"/>
    </sheetView>
  </sheetViews>
  <sheetFormatPr defaultColWidth="10.28515625" defaultRowHeight="12.75" x14ac:dyDescent="0.2"/>
  <cols>
    <col min="1" max="1" width="0" style="168" hidden="1" customWidth="1"/>
    <col min="2" max="2" width="33.7109375" style="168" customWidth="1"/>
    <col min="3" max="3" width="10.28515625" style="168" hidden="1" customWidth="1"/>
    <col min="4" max="4" width="12.140625" style="168" customWidth="1"/>
    <col min="5" max="5" width="13.5703125" style="168" customWidth="1"/>
    <col min="6" max="6" width="15.5703125" style="168" bestFit="1" customWidth="1"/>
    <col min="7" max="7" width="11.7109375" style="168" customWidth="1"/>
    <col min="8" max="8" width="12.85546875" style="168" customWidth="1"/>
    <col min="9" max="9" width="13.5703125" style="168" bestFit="1" customWidth="1"/>
    <col min="10" max="10" width="13.5703125" style="168" customWidth="1"/>
    <col min="11" max="11" width="17.28515625" style="168" customWidth="1"/>
    <col min="12" max="12" width="10.85546875" style="168" bestFit="1" customWidth="1"/>
    <col min="13" max="13" width="12" style="168" customWidth="1"/>
    <col min="14" max="15" width="10.28515625" style="168" customWidth="1"/>
    <col min="16" max="16" width="5.7109375" style="168" customWidth="1"/>
    <col min="17" max="16384" width="10.28515625" style="168"/>
  </cols>
  <sheetData>
    <row r="1" spans="1:16" x14ac:dyDescent="0.2">
      <c r="B1" s="640" t="s">
        <v>209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6" x14ac:dyDescent="0.2">
      <c r="B2" s="640" t="s">
        <v>275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</row>
    <row r="3" spans="1:16" x14ac:dyDescent="0.2">
      <c r="B3" s="169"/>
      <c r="C3" s="170"/>
      <c r="D3" s="170"/>
      <c r="E3" s="170"/>
      <c r="F3" s="170"/>
      <c r="G3" s="170"/>
      <c r="H3" s="170"/>
    </row>
    <row r="4" spans="1:16" ht="15" x14ac:dyDescent="0.3">
      <c r="A4" s="281" t="s">
        <v>276</v>
      </c>
    </row>
    <row r="5" spans="1:16" ht="15" x14ac:dyDescent="0.3">
      <c r="A5" s="282" t="s">
        <v>277</v>
      </c>
      <c r="I5" s="172" t="s">
        <v>146</v>
      </c>
      <c r="J5" s="170"/>
    </row>
    <row r="6" spans="1:16" ht="15" x14ac:dyDescent="0.3">
      <c r="A6" s="282" t="s">
        <v>277</v>
      </c>
      <c r="D6" s="172" t="s">
        <v>148</v>
      </c>
      <c r="E6" s="172" t="s">
        <v>149</v>
      </c>
      <c r="F6" s="170" t="s">
        <v>150</v>
      </c>
      <c r="G6" s="172" t="s">
        <v>151</v>
      </c>
      <c r="I6" s="172" t="s">
        <v>152</v>
      </c>
      <c r="J6" s="170"/>
      <c r="K6" s="170" t="s">
        <v>150</v>
      </c>
    </row>
    <row r="7" spans="1:16" s="174" customFormat="1" ht="15" x14ac:dyDescent="0.3">
      <c r="A7" s="282" t="s">
        <v>277</v>
      </c>
      <c r="D7" s="176" t="s">
        <v>155</v>
      </c>
      <c r="E7" s="176" t="s">
        <v>155</v>
      </c>
      <c r="F7" s="177">
        <v>41547</v>
      </c>
      <c r="G7" s="176" t="s">
        <v>156</v>
      </c>
      <c r="H7" s="176" t="s">
        <v>157</v>
      </c>
      <c r="I7" s="176" t="s">
        <v>158</v>
      </c>
      <c r="J7" s="178" t="s">
        <v>278</v>
      </c>
      <c r="K7" s="177">
        <v>41578</v>
      </c>
    </row>
    <row r="8" spans="1:16" s="174" customFormat="1" x14ac:dyDescent="0.2">
      <c r="B8" s="283" t="s">
        <v>279</v>
      </c>
      <c r="D8" s="284" t="s">
        <v>280</v>
      </c>
      <c r="E8" s="284" t="s">
        <v>281</v>
      </c>
      <c r="F8" s="285">
        <v>2910356.5900000003</v>
      </c>
      <c r="G8" s="286"/>
      <c r="H8" s="181">
        <f>SUM(F8:G8)</f>
        <v>2910356.5900000003</v>
      </c>
      <c r="I8" s="287">
        <v>-59395.040000000001</v>
      </c>
      <c r="J8" s="287"/>
      <c r="K8" s="288">
        <f>SUM(H8:J8)</f>
        <v>2850961.5500000003</v>
      </c>
      <c r="M8" s="183"/>
      <c r="N8" s="183"/>
      <c r="O8" s="183"/>
      <c r="P8" s="183"/>
    </row>
    <row r="9" spans="1:16" s="174" customFormat="1" x14ac:dyDescent="0.2">
      <c r="B9" s="273" t="s">
        <v>9</v>
      </c>
      <c r="D9" s="206"/>
      <c r="E9" s="206"/>
      <c r="F9" s="207">
        <f>SUM(F8)</f>
        <v>2910356.5900000003</v>
      </c>
      <c r="G9" s="207">
        <f t="shared" ref="G9:H9" si="0">SUM(G8)</f>
        <v>0</v>
      </c>
      <c r="H9" s="207">
        <f t="shared" si="0"/>
        <v>2910356.5900000003</v>
      </c>
      <c r="I9" s="207">
        <f>SUM(I8)</f>
        <v>-59395.040000000001</v>
      </c>
      <c r="J9" s="207">
        <f>SUM(J8)</f>
        <v>0</v>
      </c>
      <c r="K9" s="207">
        <f>SUM(K8)</f>
        <v>2850961.5500000003</v>
      </c>
      <c r="L9" s="209"/>
      <c r="M9" s="183"/>
      <c r="N9" s="183"/>
      <c r="O9" s="183"/>
      <c r="P9" s="183"/>
    </row>
    <row r="12" spans="1:16" ht="12.75" customHeight="1" x14ac:dyDescent="0.2">
      <c r="D12" s="289"/>
      <c r="E12" s="290" t="s">
        <v>204</v>
      </c>
      <c r="F12" s="291" t="s">
        <v>205</v>
      </c>
      <c r="G12" s="292" t="s">
        <v>158</v>
      </c>
      <c r="H12" s="293" t="s">
        <v>206</v>
      </c>
      <c r="I12" s="291" t="s">
        <v>207</v>
      </c>
      <c r="J12" s="294"/>
      <c r="K12" s="295"/>
      <c r="L12" s="295"/>
      <c r="M12" s="296" t="s">
        <v>208</v>
      </c>
    </row>
    <row r="13" spans="1:16" ht="12.75" customHeight="1" x14ac:dyDescent="0.2">
      <c r="D13" s="297"/>
      <c r="E13" s="298"/>
      <c r="F13" s="299">
        <v>181019</v>
      </c>
      <c r="G13" s="300">
        <f>EOMONTH(DATE(2013,5,31),0)</f>
        <v>41425</v>
      </c>
      <c r="H13" s="301">
        <f>59314.38*12</f>
        <v>711772.55999999994</v>
      </c>
      <c r="I13" s="302">
        <v>31</v>
      </c>
      <c r="J13" s="298"/>
      <c r="K13" s="303">
        <f>H13*I13</f>
        <v>22064949.359999999</v>
      </c>
      <c r="L13" s="298"/>
      <c r="M13" s="304"/>
    </row>
    <row r="14" spans="1:16" ht="12.75" customHeight="1" x14ac:dyDescent="0.2">
      <c r="D14" s="297"/>
      <c r="E14" s="298"/>
      <c r="F14" s="299"/>
      <c r="G14" s="300">
        <f>EOMONTH(DATE(2013,5,31),1)</f>
        <v>41455</v>
      </c>
      <c r="H14" s="301">
        <f>59314.38*12</f>
        <v>711772.55999999994</v>
      </c>
      <c r="I14" s="305">
        <v>30</v>
      </c>
      <c r="J14" s="298"/>
      <c r="K14" s="303">
        <f>H14*I14</f>
        <v>21353176.799999997</v>
      </c>
      <c r="L14" s="298"/>
      <c r="M14" s="304"/>
    </row>
    <row r="15" spans="1:16" ht="12.75" customHeight="1" x14ac:dyDescent="0.2">
      <c r="D15" s="297"/>
      <c r="E15" s="298"/>
      <c r="F15" s="299"/>
      <c r="G15" s="300">
        <f>EOMONTH(DATE(2013,5,31),2)</f>
        <v>41486</v>
      </c>
      <c r="H15" s="301">
        <f>59323.77*12</f>
        <v>711885.24</v>
      </c>
      <c r="I15" s="305">
        <v>31</v>
      </c>
      <c r="J15" s="298"/>
      <c r="K15" s="303">
        <f t="shared" ref="K15:K18" si="1">H15*I15</f>
        <v>22068442.440000001</v>
      </c>
      <c r="L15" s="298"/>
      <c r="M15" s="304"/>
    </row>
    <row r="16" spans="1:16" ht="12.75" customHeight="1" x14ac:dyDescent="0.2">
      <c r="D16" s="297"/>
      <c r="E16" s="298"/>
      <c r="F16" s="299"/>
      <c r="G16" s="300">
        <f>EOMONTH(DATE(2013,5,31),3)</f>
        <v>41517</v>
      </c>
      <c r="H16" s="301">
        <f>59395.04*12</f>
        <v>712740.48</v>
      </c>
      <c r="I16" s="305">
        <v>31</v>
      </c>
      <c r="J16" s="298"/>
      <c r="K16" s="303">
        <f t="shared" si="1"/>
        <v>22094954.879999999</v>
      </c>
      <c r="L16" s="298"/>
      <c r="M16" s="304"/>
    </row>
    <row r="17" spans="4:15" ht="12.75" customHeight="1" x14ac:dyDescent="0.2">
      <c r="D17" s="297"/>
      <c r="E17" s="298"/>
      <c r="F17" s="299"/>
      <c r="G17" s="300">
        <f>EOMONTH(DATE(2013,5,31),4)</f>
        <v>41547</v>
      </c>
      <c r="H17" s="301">
        <f>59395.04*12</f>
        <v>712740.48</v>
      </c>
      <c r="I17" s="305">
        <v>30</v>
      </c>
      <c r="J17" s="298"/>
      <c r="K17" s="303">
        <f t="shared" si="1"/>
        <v>21382214.399999999</v>
      </c>
      <c r="L17" s="298"/>
      <c r="M17" s="304"/>
    </row>
    <row r="18" spans="4:15" ht="12.75" customHeight="1" x14ac:dyDescent="0.2">
      <c r="D18" s="297"/>
      <c r="E18" s="298"/>
      <c r="F18" s="299"/>
      <c r="G18" s="300">
        <f>EOMONTH(DATE(2013,5,31),5)</f>
        <v>41578</v>
      </c>
      <c r="H18" s="301">
        <f>59395.04*12</f>
        <v>712740.48</v>
      </c>
      <c r="I18" s="302">
        <v>31</v>
      </c>
      <c r="J18" s="306"/>
      <c r="K18" s="301">
        <f t="shared" si="1"/>
        <v>22094954.879999999</v>
      </c>
      <c r="L18" s="298"/>
      <c r="M18" s="304"/>
    </row>
    <row r="19" spans="4:15" ht="13.5" customHeight="1" thickBot="1" x14ac:dyDescent="0.25">
      <c r="D19" s="307"/>
      <c r="E19" s="308"/>
      <c r="F19" s="309"/>
      <c r="G19" s="310"/>
      <c r="H19" s="311"/>
      <c r="I19" s="312">
        <f>SUM(I13:I18)</f>
        <v>184</v>
      </c>
      <c r="J19" s="313"/>
      <c r="K19" s="314">
        <f>SUM(K13:K18)</f>
        <v>131058692.75999999</v>
      </c>
      <c r="L19" s="308"/>
      <c r="M19" s="315">
        <f>K19/I19</f>
        <v>712275.50413043471</v>
      </c>
      <c r="O19" s="172"/>
    </row>
    <row r="20" spans="4:15" ht="12.75" customHeight="1" x14ac:dyDescent="0.2">
      <c r="O20" s="172"/>
    </row>
    <row r="21" spans="4:15" x14ac:dyDescent="0.2">
      <c r="O21" s="172"/>
    </row>
    <row r="22" spans="4:15" x14ac:dyDescent="0.2">
      <c r="O22" s="172"/>
    </row>
    <row r="23" spans="4:15" x14ac:dyDescent="0.2">
      <c r="O23" s="172"/>
    </row>
    <row r="24" spans="4:15" x14ac:dyDescent="0.2">
      <c r="O24" s="172"/>
    </row>
    <row r="25" spans="4:15" x14ac:dyDescent="0.2">
      <c r="O25" s="172"/>
    </row>
    <row r="26" spans="4:15" x14ac:dyDescent="0.2">
      <c r="O26" s="172"/>
    </row>
  </sheetData>
  <mergeCells count="2">
    <mergeCell ref="B1:L1"/>
    <mergeCell ref="B2:L2"/>
  </mergeCells>
  <printOptions horizontalCentered="1"/>
  <pageMargins left="0.25" right="0.25" top="0.7" bottom="0.5" header="0.5" footer="0.25"/>
  <pageSetup scale="8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CX3696"/>
  <sheetViews>
    <sheetView topLeftCell="CL1" zoomScale="90" zoomScaleNormal="90" workbookViewId="0">
      <pane ySplit="2490" topLeftCell="A836" activePane="bottomLeft"/>
      <selection activeCell="M22" sqref="M22"/>
      <selection pane="bottomLeft" activeCell="CO805" sqref="CO805"/>
    </sheetView>
  </sheetViews>
  <sheetFormatPr defaultColWidth="20.140625" defaultRowHeight="15.75" x14ac:dyDescent="0.25"/>
  <cols>
    <col min="1" max="2" width="20.140625" style="316" hidden="1" customWidth="1"/>
    <col min="3" max="3" width="12.42578125" style="316" hidden="1" customWidth="1"/>
    <col min="4" max="4" width="7.28515625" style="316" hidden="1" customWidth="1"/>
    <col min="5" max="5" width="16.28515625" style="316" hidden="1" customWidth="1"/>
    <col min="6" max="7" width="20.140625" style="316" hidden="1" customWidth="1"/>
    <col min="8" max="8" width="11.5703125" style="316" hidden="1" customWidth="1"/>
    <col min="9" max="11" width="20.140625" style="316" hidden="1" customWidth="1"/>
    <col min="12" max="12" width="7.28515625" style="316" hidden="1" customWidth="1"/>
    <col min="13" max="13" width="20.140625" style="316" hidden="1" customWidth="1"/>
    <col min="14" max="14" width="21.85546875" style="316" hidden="1" customWidth="1"/>
    <col min="15" max="15" width="20.140625" style="316" hidden="1" customWidth="1"/>
    <col min="16" max="16" width="9.5703125" style="316" hidden="1" customWidth="1"/>
    <col min="17" max="18" width="20.140625" style="316" hidden="1" customWidth="1"/>
    <col min="19" max="19" width="13.7109375" style="316" hidden="1" customWidth="1"/>
    <col min="20" max="20" width="7.28515625" style="316" hidden="1" customWidth="1"/>
    <col min="21" max="21" width="20.140625" style="316" hidden="1" customWidth="1"/>
    <col min="22" max="23" width="22.7109375" style="316" hidden="1" customWidth="1"/>
    <col min="24" max="24" width="10.42578125" style="316" hidden="1" customWidth="1"/>
    <col min="25" max="27" width="20.140625" style="316" hidden="1" customWidth="1"/>
    <col min="28" max="28" width="6" style="316" hidden="1" customWidth="1"/>
    <col min="29" max="29" width="21.28515625" style="316" hidden="1" customWidth="1"/>
    <col min="30" max="30" width="22.5703125" style="316" hidden="1" customWidth="1"/>
    <col min="31" max="31" width="20.140625" style="316" hidden="1" customWidth="1"/>
    <col min="32" max="32" width="9.42578125" style="316" hidden="1" customWidth="1"/>
    <col min="33" max="35" width="20.140625" style="316" hidden="1" customWidth="1"/>
    <col min="36" max="36" width="5.140625" style="316" hidden="1" customWidth="1"/>
    <col min="37" max="37" width="20.140625" style="316" hidden="1" customWidth="1"/>
    <col min="38" max="38" width="22.28515625" style="316" hidden="1" customWidth="1"/>
    <col min="39" max="39" width="20.140625" style="316" hidden="1" customWidth="1"/>
    <col min="40" max="40" width="11.140625" style="316" hidden="1" customWidth="1"/>
    <col min="41" max="42" width="20.140625" style="316" hidden="1" customWidth="1"/>
    <col min="43" max="43" width="20.7109375" style="316" hidden="1" customWidth="1"/>
    <col min="44" max="44" width="4.5703125" style="316" hidden="1" customWidth="1"/>
    <col min="45" max="45" width="21.28515625" style="316" hidden="1" customWidth="1"/>
    <col min="46" max="46" width="22.28515625" style="316" hidden="1" customWidth="1"/>
    <col min="47" max="47" width="20.140625" style="316" hidden="1" customWidth="1"/>
    <col min="48" max="48" width="13.140625" style="316" hidden="1" customWidth="1"/>
    <col min="49" max="51" width="20.140625" style="316" hidden="1" customWidth="1"/>
    <col min="52" max="52" width="8.140625" style="316" hidden="1" customWidth="1"/>
    <col min="53" max="53" width="20.140625" style="316" hidden="1" customWidth="1"/>
    <col min="54" max="54" width="21.7109375" style="316" hidden="1" customWidth="1"/>
    <col min="55" max="56" width="20.140625" style="316" hidden="1" customWidth="1"/>
    <col min="57" max="58" width="16.28515625" style="316" hidden="1" customWidth="1"/>
    <col min="59" max="59" width="7.28515625" style="316" hidden="1" customWidth="1"/>
    <col min="60" max="60" width="22.42578125" style="316" hidden="1" customWidth="1"/>
    <col min="61" max="61" width="16.28515625" style="316" hidden="1" customWidth="1"/>
    <col min="62" max="62" width="29" style="316" hidden="1" customWidth="1"/>
    <col min="63" max="69" width="20.140625" style="316" hidden="1" customWidth="1"/>
    <col min="70" max="70" width="23.42578125" style="316" hidden="1" customWidth="1"/>
    <col min="71" max="73" width="20.140625" style="316" hidden="1" customWidth="1"/>
    <col min="74" max="74" width="6" style="316" hidden="1" customWidth="1"/>
    <col min="75" max="75" width="15.140625" style="316" hidden="1" customWidth="1"/>
    <col min="76" max="76" width="16.7109375" style="316" hidden="1" customWidth="1"/>
    <col min="77" max="77" width="18" style="316" hidden="1" customWidth="1"/>
    <col min="78" max="78" width="24.140625" style="316" hidden="1" customWidth="1"/>
    <col min="79" max="79" width="23.28515625" style="316" hidden="1" customWidth="1"/>
    <col min="80" max="80" width="26.5703125" style="316" hidden="1" customWidth="1"/>
    <col min="81" max="81" width="13" style="316" hidden="1" customWidth="1"/>
    <col min="82" max="82" width="15.7109375" style="316" hidden="1" customWidth="1"/>
    <col min="83" max="83" width="15.28515625" style="316" hidden="1" customWidth="1"/>
    <col min="84" max="84" width="10.7109375" style="316" hidden="1" customWidth="1"/>
    <col min="85" max="85" width="23.5703125" style="316" hidden="1" customWidth="1"/>
    <col min="86" max="86" width="23.28515625" style="316" hidden="1" customWidth="1"/>
    <col min="87" max="87" width="23.7109375" style="316" hidden="1" customWidth="1"/>
    <col min="88" max="88" width="2.42578125" style="316" hidden="1" customWidth="1"/>
    <col min="89" max="89" width="13.140625" style="316" hidden="1" customWidth="1"/>
    <col min="90" max="90" width="13.7109375" style="316" bestFit="1" customWidth="1"/>
    <col min="91" max="91" width="13.85546875" style="316" bestFit="1" customWidth="1"/>
    <col min="92" max="92" width="8.28515625" style="316" customWidth="1"/>
    <col min="93" max="94" width="10.85546875" style="316" customWidth="1"/>
    <col min="95" max="95" width="14.140625" style="316" customWidth="1"/>
    <col min="96" max="96" width="14.85546875" style="316" customWidth="1"/>
    <col min="97" max="97" width="13.5703125" style="316" bestFit="1" customWidth="1"/>
    <col min="98" max="98" width="14.7109375" style="316" customWidth="1"/>
    <col min="99" max="99" width="16" style="316" customWidth="1"/>
    <col min="100" max="100" width="16.7109375" style="316" hidden="1" customWidth="1"/>
    <col min="101" max="101" width="20.140625" style="316" hidden="1" customWidth="1"/>
    <col min="102" max="256" width="20.140625" style="316"/>
    <col min="257" max="345" width="0" style="316" hidden="1" customWidth="1"/>
    <col min="346" max="346" width="13.7109375" style="316" bestFit="1" customWidth="1"/>
    <col min="347" max="347" width="13.85546875" style="316" bestFit="1" customWidth="1"/>
    <col min="348" max="348" width="8.28515625" style="316" customWidth="1"/>
    <col min="349" max="350" width="10.85546875" style="316" customWidth="1"/>
    <col min="351" max="351" width="14.140625" style="316" customWidth="1"/>
    <col min="352" max="352" width="14.85546875" style="316" customWidth="1"/>
    <col min="353" max="353" width="13.5703125" style="316" bestFit="1" customWidth="1"/>
    <col min="354" max="354" width="14.7109375" style="316" customWidth="1"/>
    <col min="355" max="355" width="16" style="316" customWidth="1"/>
    <col min="356" max="357" width="0" style="316" hidden="1" customWidth="1"/>
    <col min="358" max="512" width="20.140625" style="316"/>
    <col min="513" max="601" width="0" style="316" hidden="1" customWidth="1"/>
    <col min="602" max="602" width="13.7109375" style="316" bestFit="1" customWidth="1"/>
    <col min="603" max="603" width="13.85546875" style="316" bestFit="1" customWidth="1"/>
    <col min="604" max="604" width="8.28515625" style="316" customWidth="1"/>
    <col min="605" max="606" width="10.85546875" style="316" customWidth="1"/>
    <col min="607" max="607" width="14.140625" style="316" customWidth="1"/>
    <col min="608" max="608" width="14.85546875" style="316" customWidth="1"/>
    <col min="609" max="609" width="13.5703125" style="316" bestFit="1" customWidth="1"/>
    <col min="610" max="610" width="14.7109375" style="316" customWidth="1"/>
    <col min="611" max="611" width="16" style="316" customWidth="1"/>
    <col min="612" max="613" width="0" style="316" hidden="1" customWidth="1"/>
    <col min="614" max="768" width="20.140625" style="316"/>
    <col min="769" max="857" width="0" style="316" hidden="1" customWidth="1"/>
    <col min="858" max="858" width="13.7109375" style="316" bestFit="1" customWidth="1"/>
    <col min="859" max="859" width="13.85546875" style="316" bestFit="1" customWidth="1"/>
    <col min="860" max="860" width="8.28515625" style="316" customWidth="1"/>
    <col min="861" max="862" width="10.85546875" style="316" customWidth="1"/>
    <col min="863" max="863" width="14.140625" style="316" customWidth="1"/>
    <col min="864" max="864" width="14.85546875" style="316" customWidth="1"/>
    <col min="865" max="865" width="13.5703125" style="316" bestFit="1" customWidth="1"/>
    <col min="866" max="866" width="14.7109375" style="316" customWidth="1"/>
    <col min="867" max="867" width="16" style="316" customWidth="1"/>
    <col min="868" max="869" width="0" style="316" hidden="1" customWidth="1"/>
    <col min="870" max="1024" width="20.140625" style="316"/>
    <col min="1025" max="1113" width="0" style="316" hidden="1" customWidth="1"/>
    <col min="1114" max="1114" width="13.7109375" style="316" bestFit="1" customWidth="1"/>
    <col min="1115" max="1115" width="13.85546875" style="316" bestFit="1" customWidth="1"/>
    <col min="1116" max="1116" width="8.28515625" style="316" customWidth="1"/>
    <col min="1117" max="1118" width="10.85546875" style="316" customWidth="1"/>
    <col min="1119" max="1119" width="14.140625" style="316" customWidth="1"/>
    <col min="1120" max="1120" width="14.85546875" style="316" customWidth="1"/>
    <col min="1121" max="1121" width="13.5703125" style="316" bestFit="1" customWidth="1"/>
    <col min="1122" max="1122" width="14.7109375" style="316" customWidth="1"/>
    <col min="1123" max="1123" width="16" style="316" customWidth="1"/>
    <col min="1124" max="1125" width="0" style="316" hidden="1" customWidth="1"/>
    <col min="1126" max="1280" width="20.140625" style="316"/>
    <col min="1281" max="1369" width="0" style="316" hidden="1" customWidth="1"/>
    <col min="1370" max="1370" width="13.7109375" style="316" bestFit="1" customWidth="1"/>
    <col min="1371" max="1371" width="13.85546875" style="316" bestFit="1" customWidth="1"/>
    <col min="1372" max="1372" width="8.28515625" style="316" customWidth="1"/>
    <col min="1373" max="1374" width="10.85546875" style="316" customWidth="1"/>
    <col min="1375" max="1375" width="14.140625" style="316" customWidth="1"/>
    <col min="1376" max="1376" width="14.85546875" style="316" customWidth="1"/>
    <col min="1377" max="1377" width="13.5703125" style="316" bestFit="1" customWidth="1"/>
    <col min="1378" max="1378" width="14.7109375" style="316" customWidth="1"/>
    <col min="1379" max="1379" width="16" style="316" customWidth="1"/>
    <col min="1380" max="1381" width="0" style="316" hidden="1" customWidth="1"/>
    <col min="1382" max="1536" width="20.140625" style="316"/>
    <col min="1537" max="1625" width="0" style="316" hidden="1" customWidth="1"/>
    <col min="1626" max="1626" width="13.7109375" style="316" bestFit="1" customWidth="1"/>
    <col min="1627" max="1627" width="13.85546875" style="316" bestFit="1" customWidth="1"/>
    <col min="1628" max="1628" width="8.28515625" style="316" customWidth="1"/>
    <col min="1629" max="1630" width="10.85546875" style="316" customWidth="1"/>
    <col min="1631" max="1631" width="14.140625" style="316" customWidth="1"/>
    <col min="1632" max="1632" width="14.85546875" style="316" customWidth="1"/>
    <col min="1633" max="1633" width="13.5703125" style="316" bestFit="1" customWidth="1"/>
    <col min="1634" max="1634" width="14.7109375" style="316" customWidth="1"/>
    <col min="1635" max="1635" width="16" style="316" customWidth="1"/>
    <col min="1636" max="1637" width="0" style="316" hidden="1" customWidth="1"/>
    <col min="1638" max="1792" width="20.140625" style="316"/>
    <col min="1793" max="1881" width="0" style="316" hidden="1" customWidth="1"/>
    <col min="1882" max="1882" width="13.7109375" style="316" bestFit="1" customWidth="1"/>
    <col min="1883" max="1883" width="13.85546875" style="316" bestFit="1" customWidth="1"/>
    <col min="1884" max="1884" width="8.28515625" style="316" customWidth="1"/>
    <col min="1885" max="1886" width="10.85546875" style="316" customWidth="1"/>
    <col min="1887" max="1887" width="14.140625" style="316" customWidth="1"/>
    <col min="1888" max="1888" width="14.85546875" style="316" customWidth="1"/>
    <col min="1889" max="1889" width="13.5703125" style="316" bestFit="1" customWidth="1"/>
    <col min="1890" max="1890" width="14.7109375" style="316" customWidth="1"/>
    <col min="1891" max="1891" width="16" style="316" customWidth="1"/>
    <col min="1892" max="1893" width="0" style="316" hidden="1" customWidth="1"/>
    <col min="1894" max="2048" width="20.140625" style="316"/>
    <col min="2049" max="2137" width="0" style="316" hidden="1" customWidth="1"/>
    <col min="2138" max="2138" width="13.7109375" style="316" bestFit="1" customWidth="1"/>
    <col min="2139" max="2139" width="13.85546875" style="316" bestFit="1" customWidth="1"/>
    <col min="2140" max="2140" width="8.28515625" style="316" customWidth="1"/>
    <col min="2141" max="2142" width="10.85546875" style="316" customWidth="1"/>
    <col min="2143" max="2143" width="14.140625" style="316" customWidth="1"/>
    <col min="2144" max="2144" width="14.85546875" style="316" customWidth="1"/>
    <col min="2145" max="2145" width="13.5703125" style="316" bestFit="1" customWidth="1"/>
    <col min="2146" max="2146" width="14.7109375" style="316" customWidth="1"/>
    <col min="2147" max="2147" width="16" style="316" customWidth="1"/>
    <col min="2148" max="2149" width="0" style="316" hidden="1" customWidth="1"/>
    <col min="2150" max="2304" width="20.140625" style="316"/>
    <col min="2305" max="2393" width="0" style="316" hidden="1" customWidth="1"/>
    <col min="2394" max="2394" width="13.7109375" style="316" bestFit="1" customWidth="1"/>
    <col min="2395" max="2395" width="13.85546875" style="316" bestFit="1" customWidth="1"/>
    <col min="2396" max="2396" width="8.28515625" style="316" customWidth="1"/>
    <col min="2397" max="2398" width="10.85546875" style="316" customWidth="1"/>
    <col min="2399" max="2399" width="14.140625" style="316" customWidth="1"/>
    <col min="2400" max="2400" width="14.85546875" style="316" customWidth="1"/>
    <col min="2401" max="2401" width="13.5703125" style="316" bestFit="1" customWidth="1"/>
    <col min="2402" max="2402" width="14.7109375" style="316" customWidth="1"/>
    <col min="2403" max="2403" width="16" style="316" customWidth="1"/>
    <col min="2404" max="2405" width="0" style="316" hidden="1" customWidth="1"/>
    <col min="2406" max="2560" width="20.140625" style="316"/>
    <col min="2561" max="2649" width="0" style="316" hidden="1" customWidth="1"/>
    <col min="2650" max="2650" width="13.7109375" style="316" bestFit="1" customWidth="1"/>
    <col min="2651" max="2651" width="13.85546875" style="316" bestFit="1" customWidth="1"/>
    <col min="2652" max="2652" width="8.28515625" style="316" customWidth="1"/>
    <col min="2653" max="2654" width="10.85546875" style="316" customWidth="1"/>
    <col min="2655" max="2655" width="14.140625" style="316" customWidth="1"/>
    <col min="2656" max="2656" width="14.85546875" style="316" customWidth="1"/>
    <col min="2657" max="2657" width="13.5703125" style="316" bestFit="1" customWidth="1"/>
    <col min="2658" max="2658" width="14.7109375" style="316" customWidth="1"/>
    <col min="2659" max="2659" width="16" style="316" customWidth="1"/>
    <col min="2660" max="2661" width="0" style="316" hidden="1" customWidth="1"/>
    <col min="2662" max="2816" width="20.140625" style="316"/>
    <col min="2817" max="2905" width="0" style="316" hidden="1" customWidth="1"/>
    <col min="2906" max="2906" width="13.7109375" style="316" bestFit="1" customWidth="1"/>
    <col min="2907" max="2907" width="13.85546875" style="316" bestFit="1" customWidth="1"/>
    <col min="2908" max="2908" width="8.28515625" style="316" customWidth="1"/>
    <col min="2909" max="2910" width="10.85546875" style="316" customWidth="1"/>
    <col min="2911" max="2911" width="14.140625" style="316" customWidth="1"/>
    <col min="2912" max="2912" width="14.85546875" style="316" customWidth="1"/>
    <col min="2913" max="2913" width="13.5703125" style="316" bestFit="1" customWidth="1"/>
    <col min="2914" max="2914" width="14.7109375" style="316" customWidth="1"/>
    <col min="2915" max="2915" width="16" style="316" customWidth="1"/>
    <col min="2916" max="2917" width="0" style="316" hidden="1" customWidth="1"/>
    <col min="2918" max="3072" width="20.140625" style="316"/>
    <col min="3073" max="3161" width="0" style="316" hidden="1" customWidth="1"/>
    <col min="3162" max="3162" width="13.7109375" style="316" bestFit="1" customWidth="1"/>
    <col min="3163" max="3163" width="13.85546875" style="316" bestFit="1" customWidth="1"/>
    <col min="3164" max="3164" width="8.28515625" style="316" customWidth="1"/>
    <col min="3165" max="3166" width="10.85546875" style="316" customWidth="1"/>
    <col min="3167" max="3167" width="14.140625" style="316" customWidth="1"/>
    <col min="3168" max="3168" width="14.85546875" style="316" customWidth="1"/>
    <col min="3169" max="3169" width="13.5703125" style="316" bestFit="1" customWidth="1"/>
    <col min="3170" max="3170" width="14.7109375" style="316" customWidth="1"/>
    <col min="3171" max="3171" width="16" style="316" customWidth="1"/>
    <col min="3172" max="3173" width="0" style="316" hidden="1" customWidth="1"/>
    <col min="3174" max="3328" width="20.140625" style="316"/>
    <col min="3329" max="3417" width="0" style="316" hidden="1" customWidth="1"/>
    <col min="3418" max="3418" width="13.7109375" style="316" bestFit="1" customWidth="1"/>
    <col min="3419" max="3419" width="13.85546875" style="316" bestFit="1" customWidth="1"/>
    <col min="3420" max="3420" width="8.28515625" style="316" customWidth="1"/>
    <col min="3421" max="3422" width="10.85546875" style="316" customWidth="1"/>
    <col min="3423" max="3423" width="14.140625" style="316" customWidth="1"/>
    <col min="3424" max="3424" width="14.85546875" style="316" customWidth="1"/>
    <col min="3425" max="3425" width="13.5703125" style="316" bestFit="1" customWidth="1"/>
    <col min="3426" max="3426" width="14.7109375" style="316" customWidth="1"/>
    <col min="3427" max="3427" width="16" style="316" customWidth="1"/>
    <col min="3428" max="3429" width="0" style="316" hidden="1" customWidth="1"/>
    <col min="3430" max="3584" width="20.140625" style="316"/>
    <col min="3585" max="3673" width="0" style="316" hidden="1" customWidth="1"/>
    <col min="3674" max="3674" width="13.7109375" style="316" bestFit="1" customWidth="1"/>
    <col min="3675" max="3675" width="13.85546875" style="316" bestFit="1" customWidth="1"/>
    <col min="3676" max="3676" width="8.28515625" style="316" customWidth="1"/>
    <col min="3677" max="3678" width="10.85546875" style="316" customWidth="1"/>
    <col min="3679" max="3679" width="14.140625" style="316" customWidth="1"/>
    <col min="3680" max="3680" width="14.85546875" style="316" customWidth="1"/>
    <col min="3681" max="3681" width="13.5703125" style="316" bestFit="1" customWidth="1"/>
    <col min="3682" max="3682" width="14.7109375" style="316" customWidth="1"/>
    <col min="3683" max="3683" width="16" style="316" customWidth="1"/>
    <col min="3684" max="3685" width="0" style="316" hidden="1" customWidth="1"/>
    <col min="3686" max="3840" width="20.140625" style="316"/>
    <col min="3841" max="3929" width="0" style="316" hidden="1" customWidth="1"/>
    <col min="3930" max="3930" width="13.7109375" style="316" bestFit="1" customWidth="1"/>
    <col min="3931" max="3931" width="13.85546875" style="316" bestFit="1" customWidth="1"/>
    <col min="3932" max="3932" width="8.28515625" style="316" customWidth="1"/>
    <col min="3933" max="3934" width="10.85546875" style="316" customWidth="1"/>
    <col min="3935" max="3935" width="14.140625" style="316" customWidth="1"/>
    <col min="3936" max="3936" width="14.85546875" style="316" customWidth="1"/>
    <col min="3937" max="3937" width="13.5703125" style="316" bestFit="1" customWidth="1"/>
    <col min="3938" max="3938" width="14.7109375" style="316" customWidth="1"/>
    <col min="3939" max="3939" width="16" style="316" customWidth="1"/>
    <col min="3940" max="3941" width="0" style="316" hidden="1" customWidth="1"/>
    <col min="3942" max="4096" width="20.140625" style="316"/>
    <col min="4097" max="4185" width="0" style="316" hidden="1" customWidth="1"/>
    <col min="4186" max="4186" width="13.7109375" style="316" bestFit="1" customWidth="1"/>
    <col min="4187" max="4187" width="13.85546875" style="316" bestFit="1" customWidth="1"/>
    <col min="4188" max="4188" width="8.28515625" style="316" customWidth="1"/>
    <col min="4189" max="4190" width="10.85546875" style="316" customWidth="1"/>
    <col min="4191" max="4191" width="14.140625" style="316" customWidth="1"/>
    <col min="4192" max="4192" width="14.85546875" style="316" customWidth="1"/>
    <col min="4193" max="4193" width="13.5703125" style="316" bestFit="1" customWidth="1"/>
    <col min="4194" max="4194" width="14.7109375" style="316" customWidth="1"/>
    <col min="4195" max="4195" width="16" style="316" customWidth="1"/>
    <col min="4196" max="4197" width="0" style="316" hidden="1" customWidth="1"/>
    <col min="4198" max="4352" width="20.140625" style="316"/>
    <col min="4353" max="4441" width="0" style="316" hidden="1" customWidth="1"/>
    <col min="4442" max="4442" width="13.7109375" style="316" bestFit="1" customWidth="1"/>
    <col min="4443" max="4443" width="13.85546875" style="316" bestFit="1" customWidth="1"/>
    <col min="4444" max="4444" width="8.28515625" style="316" customWidth="1"/>
    <col min="4445" max="4446" width="10.85546875" style="316" customWidth="1"/>
    <col min="4447" max="4447" width="14.140625" style="316" customWidth="1"/>
    <col min="4448" max="4448" width="14.85546875" style="316" customWidth="1"/>
    <col min="4449" max="4449" width="13.5703125" style="316" bestFit="1" customWidth="1"/>
    <col min="4450" max="4450" width="14.7109375" style="316" customWidth="1"/>
    <col min="4451" max="4451" width="16" style="316" customWidth="1"/>
    <col min="4452" max="4453" width="0" style="316" hidden="1" customWidth="1"/>
    <col min="4454" max="4608" width="20.140625" style="316"/>
    <col min="4609" max="4697" width="0" style="316" hidden="1" customWidth="1"/>
    <col min="4698" max="4698" width="13.7109375" style="316" bestFit="1" customWidth="1"/>
    <col min="4699" max="4699" width="13.85546875" style="316" bestFit="1" customWidth="1"/>
    <col min="4700" max="4700" width="8.28515625" style="316" customWidth="1"/>
    <col min="4701" max="4702" width="10.85546875" style="316" customWidth="1"/>
    <col min="4703" max="4703" width="14.140625" style="316" customWidth="1"/>
    <col min="4704" max="4704" width="14.85546875" style="316" customWidth="1"/>
    <col min="4705" max="4705" width="13.5703125" style="316" bestFit="1" customWidth="1"/>
    <col min="4706" max="4706" width="14.7109375" style="316" customWidth="1"/>
    <col min="4707" max="4707" width="16" style="316" customWidth="1"/>
    <col min="4708" max="4709" width="0" style="316" hidden="1" customWidth="1"/>
    <col min="4710" max="4864" width="20.140625" style="316"/>
    <col min="4865" max="4953" width="0" style="316" hidden="1" customWidth="1"/>
    <col min="4954" max="4954" width="13.7109375" style="316" bestFit="1" customWidth="1"/>
    <col min="4955" max="4955" width="13.85546875" style="316" bestFit="1" customWidth="1"/>
    <col min="4956" max="4956" width="8.28515625" style="316" customWidth="1"/>
    <col min="4957" max="4958" width="10.85546875" style="316" customWidth="1"/>
    <col min="4959" max="4959" width="14.140625" style="316" customWidth="1"/>
    <col min="4960" max="4960" width="14.85546875" style="316" customWidth="1"/>
    <col min="4961" max="4961" width="13.5703125" style="316" bestFit="1" customWidth="1"/>
    <col min="4962" max="4962" width="14.7109375" style="316" customWidth="1"/>
    <col min="4963" max="4963" width="16" style="316" customWidth="1"/>
    <col min="4964" max="4965" width="0" style="316" hidden="1" customWidth="1"/>
    <col min="4966" max="5120" width="20.140625" style="316"/>
    <col min="5121" max="5209" width="0" style="316" hidden="1" customWidth="1"/>
    <col min="5210" max="5210" width="13.7109375" style="316" bestFit="1" customWidth="1"/>
    <col min="5211" max="5211" width="13.85546875" style="316" bestFit="1" customWidth="1"/>
    <col min="5212" max="5212" width="8.28515625" style="316" customWidth="1"/>
    <col min="5213" max="5214" width="10.85546875" style="316" customWidth="1"/>
    <col min="5215" max="5215" width="14.140625" style="316" customWidth="1"/>
    <col min="5216" max="5216" width="14.85546875" style="316" customWidth="1"/>
    <col min="5217" max="5217" width="13.5703125" style="316" bestFit="1" customWidth="1"/>
    <col min="5218" max="5218" width="14.7109375" style="316" customWidth="1"/>
    <col min="5219" max="5219" width="16" style="316" customWidth="1"/>
    <col min="5220" max="5221" width="0" style="316" hidden="1" customWidth="1"/>
    <col min="5222" max="5376" width="20.140625" style="316"/>
    <col min="5377" max="5465" width="0" style="316" hidden="1" customWidth="1"/>
    <col min="5466" max="5466" width="13.7109375" style="316" bestFit="1" customWidth="1"/>
    <col min="5467" max="5467" width="13.85546875" style="316" bestFit="1" customWidth="1"/>
    <col min="5468" max="5468" width="8.28515625" style="316" customWidth="1"/>
    <col min="5469" max="5470" width="10.85546875" style="316" customWidth="1"/>
    <col min="5471" max="5471" width="14.140625" style="316" customWidth="1"/>
    <col min="5472" max="5472" width="14.85546875" style="316" customWidth="1"/>
    <col min="5473" max="5473" width="13.5703125" style="316" bestFit="1" customWidth="1"/>
    <col min="5474" max="5474" width="14.7109375" style="316" customWidth="1"/>
    <col min="5475" max="5475" width="16" style="316" customWidth="1"/>
    <col min="5476" max="5477" width="0" style="316" hidden="1" customWidth="1"/>
    <col min="5478" max="5632" width="20.140625" style="316"/>
    <col min="5633" max="5721" width="0" style="316" hidden="1" customWidth="1"/>
    <col min="5722" max="5722" width="13.7109375" style="316" bestFit="1" customWidth="1"/>
    <col min="5723" max="5723" width="13.85546875" style="316" bestFit="1" customWidth="1"/>
    <col min="5724" max="5724" width="8.28515625" style="316" customWidth="1"/>
    <col min="5725" max="5726" width="10.85546875" style="316" customWidth="1"/>
    <col min="5727" max="5727" width="14.140625" style="316" customWidth="1"/>
    <col min="5728" max="5728" width="14.85546875" style="316" customWidth="1"/>
    <col min="5729" max="5729" width="13.5703125" style="316" bestFit="1" customWidth="1"/>
    <col min="5730" max="5730" width="14.7109375" style="316" customWidth="1"/>
    <col min="5731" max="5731" width="16" style="316" customWidth="1"/>
    <col min="5732" max="5733" width="0" style="316" hidden="1" customWidth="1"/>
    <col min="5734" max="5888" width="20.140625" style="316"/>
    <col min="5889" max="5977" width="0" style="316" hidden="1" customWidth="1"/>
    <col min="5978" max="5978" width="13.7109375" style="316" bestFit="1" customWidth="1"/>
    <col min="5979" max="5979" width="13.85546875" style="316" bestFit="1" customWidth="1"/>
    <col min="5980" max="5980" width="8.28515625" style="316" customWidth="1"/>
    <col min="5981" max="5982" width="10.85546875" style="316" customWidth="1"/>
    <col min="5983" max="5983" width="14.140625" style="316" customWidth="1"/>
    <col min="5984" max="5984" width="14.85546875" style="316" customWidth="1"/>
    <col min="5985" max="5985" width="13.5703125" style="316" bestFit="1" customWidth="1"/>
    <col min="5986" max="5986" width="14.7109375" style="316" customWidth="1"/>
    <col min="5987" max="5987" width="16" style="316" customWidth="1"/>
    <col min="5988" max="5989" width="0" style="316" hidden="1" customWidth="1"/>
    <col min="5990" max="6144" width="20.140625" style="316"/>
    <col min="6145" max="6233" width="0" style="316" hidden="1" customWidth="1"/>
    <col min="6234" max="6234" width="13.7109375" style="316" bestFit="1" customWidth="1"/>
    <col min="6235" max="6235" width="13.85546875" style="316" bestFit="1" customWidth="1"/>
    <col min="6236" max="6236" width="8.28515625" style="316" customWidth="1"/>
    <col min="6237" max="6238" width="10.85546875" style="316" customWidth="1"/>
    <col min="6239" max="6239" width="14.140625" style="316" customWidth="1"/>
    <col min="6240" max="6240" width="14.85546875" style="316" customWidth="1"/>
    <col min="6241" max="6241" width="13.5703125" style="316" bestFit="1" customWidth="1"/>
    <col min="6242" max="6242" width="14.7109375" style="316" customWidth="1"/>
    <col min="6243" max="6243" width="16" style="316" customWidth="1"/>
    <col min="6244" max="6245" width="0" style="316" hidden="1" customWidth="1"/>
    <col min="6246" max="6400" width="20.140625" style="316"/>
    <col min="6401" max="6489" width="0" style="316" hidden="1" customWidth="1"/>
    <col min="6490" max="6490" width="13.7109375" style="316" bestFit="1" customWidth="1"/>
    <col min="6491" max="6491" width="13.85546875" style="316" bestFit="1" customWidth="1"/>
    <col min="6492" max="6492" width="8.28515625" style="316" customWidth="1"/>
    <col min="6493" max="6494" width="10.85546875" style="316" customWidth="1"/>
    <col min="6495" max="6495" width="14.140625" style="316" customWidth="1"/>
    <col min="6496" max="6496" width="14.85546875" style="316" customWidth="1"/>
    <col min="6497" max="6497" width="13.5703125" style="316" bestFit="1" customWidth="1"/>
    <col min="6498" max="6498" width="14.7109375" style="316" customWidth="1"/>
    <col min="6499" max="6499" width="16" style="316" customWidth="1"/>
    <col min="6500" max="6501" width="0" style="316" hidden="1" customWidth="1"/>
    <col min="6502" max="6656" width="20.140625" style="316"/>
    <col min="6657" max="6745" width="0" style="316" hidden="1" customWidth="1"/>
    <col min="6746" max="6746" width="13.7109375" style="316" bestFit="1" customWidth="1"/>
    <col min="6747" max="6747" width="13.85546875" style="316" bestFit="1" customWidth="1"/>
    <col min="6748" max="6748" width="8.28515625" style="316" customWidth="1"/>
    <col min="6749" max="6750" width="10.85546875" style="316" customWidth="1"/>
    <col min="6751" max="6751" width="14.140625" style="316" customWidth="1"/>
    <col min="6752" max="6752" width="14.85546875" style="316" customWidth="1"/>
    <col min="6753" max="6753" width="13.5703125" style="316" bestFit="1" customWidth="1"/>
    <col min="6754" max="6754" width="14.7109375" style="316" customWidth="1"/>
    <col min="6755" max="6755" width="16" style="316" customWidth="1"/>
    <col min="6756" max="6757" width="0" style="316" hidden="1" customWidth="1"/>
    <col min="6758" max="6912" width="20.140625" style="316"/>
    <col min="6913" max="7001" width="0" style="316" hidden="1" customWidth="1"/>
    <col min="7002" max="7002" width="13.7109375" style="316" bestFit="1" customWidth="1"/>
    <col min="7003" max="7003" width="13.85546875" style="316" bestFit="1" customWidth="1"/>
    <col min="7004" max="7004" width="8.28515625" style="316" customWidth="1"/>
    <col min="7005" max="7006" width="10.85546875" style="316" customWidth="1"/>
    <col min="7007" max="7007" width="14.140625" style="316" customWidth="1"/>
    <col min="7008" max="7008" width="14.85546875" style="316" customWidth="1"/>
    <col min="7009" max="7009" width="13.5703125" style="316" bestFit="1" customWidth="1"/>
    <col min="7010" max="7010" width="14.7109375" style="316" customWidth="1"/>
    <col min="7011" max="7011" width="16" style="316" customWidth="1"/>
    <col min="7012" max="7013" width="0" style="316" hidden="1" customWidth="1"/>
    <col min="7014" max="7168" width="20.140625" style="316"/>
    <col min="7169" max="7257" width="0" style="316" hidden="1" customWidth="1"/>
    <col min="7258" max="7258" width="13.7109375" style="316" bestFit="1" customWidth="1"/>
    <col min="7259" max="7259" width="13.85546875" style="316" bestFit="1" customWidth="1"/>
    <col min="7260" max="7260" width="8.28515625" style="316" customWidth="1"/>
    <col min="7261" max="7262" width="10.85546875" style="316" customWidth="1"/>
    <col min="7263" max="7263" width="14.140625" style="316" customWidth="1"/>
    <col min="7264" max="7264" width="14.85546875" style="316" customWidth="1"/>
    <col min="7265" max="7265" width="13.5703125" style="316" bestFit="1" customWidth="1"/>
    <col min="7266" max="7266" width="14.7109375" style="316" customWidth="1"/>
    <col min="7267" max="7267" width="16" style="316" customWidth="1"/>
    <col min="7268" max="7269" width="0" style="316" hidden="1" customWidth="1"/>
    <col min="7270" max="7424" width="20.140625" style="316"/>
    <col min="7425" max="7513" width="0" style="316" hidden="1" customWidth="1"/>
    <col min="7514" max="7514" width="13.7109375" style="316" bestFit="1" customWidth="1"/>
    <col min="7515" max="7515" width="13.85546875" style="316" bestFit="1" customWidth="1"/>
    <col min="7516" max="7516" width="8.28515625" style="316" customWidth="1"/>
    <col min="7517" max="7518" width="10.85546875" style="316" customWidth="1"/>
    <col min="7519" max="7519" width="14.140625" style="316" customWidth="1"/>
    <col min="7520" max="7520" width="14.85546875" style="316" customWidth="1"/>
    <col min="7521" max="7521" width="13.5703125" style="316" bestFit="1" customWidth="1"/>
    <col min="7522" max="7522" width="14.7109375" style="316" customWidth="1"/>
    <col min="7523" max="7523" width="16" style="316" customWidth="1"/>
    <col min="7524" max="7525" width="0" style="316" hidden="1" customWidth="1"/>
    <col min="7526" max="7680" width="20.140625" style="316"/>
    <col min="7681" max="7769" width="0" style="316" hidden="1" customWidth="1"/>
    <col min="7770" max="7770" width="13.7109375" style="316" bestFit="1" customWidth="1"/>
    <col min="7771" max="7771" width="13.85546875" style="316" bestFit="1" customWidth="1"/>
    <col min="7772" max="7772" width="8.28515625" style="316" customWidth="1"/>
    <col min="7773" max="7774" width="10.85546875" style="316" customWidth="1"/>
    <col min="7775" max="7775" width="14.140625" style="316" customWidth="1"/>
    <col min="7776" max="7776" width="14.85546875" style="316" customWidth="1"/>
    <col min="7777" max="7777" width="13.5703125" style="316" bestFit="1" customWidth="1"/>
    <col min="7778" max="7778" width="14.7109375" style="316" customWidth="1"/>
    <col min="7779" max="7779" width="16" style="316" customWidth="1"/>
    <col min="7780" max="7781" width="0" style="316" hidden="1" customWidth="1"/>
    <col min="7782" max="7936" width="20.140625" style="316"/>
    <col min="7937" max="8025" width="0" style="316" hidden="1" customWidth="1"/>
    <col min="8026" max="8026" width="13.7109375" style="316" bestFit="1" customWidth="1"/>
    <col min="8027" max="8027" width="13.85546875" style="316" bestFit="1" customWidth="1"/>
    <col min="8028" max="8028" width="8.28515625" style="316" customWidth="1"/>
    <col min="8029" max="8030" width="10.85546875" style="316" customWidth="1"/>
    <col min="8031" max="8031" width="14.140625" style="316" customWidth="1"/>
    <col min="8032" max="8032" width="14.85546875" style="316" customWidth="1"/>
    <col min="8033" max="8033" width="13.5703125" style="316" bestFit="1" customWidth="1"/>
    <col min="8034" max="8034" width="14.7109375" style="316" customWidth="1"/>
    <col min="8035" max="8035" width="16" style="316" customWidth="1"/>
    <col min="8036" max="8037" width="0" style="316" hidden="1" customWidth="1"/>
    <col min="8038" max="8192" width="20.140625" style="316"/>
    <col min="8193" max="8281" width="0" style="316" hidden="1" customWidth="1"/>
    <col min="8282" max="8282" width="13.7109375" style="316" bestFit="1" customWidth="1"/>
    <col min="8283" max="8283" width="13.85546875" style="316" bestFit="1" customWidth="1"/>
    <col min="8284" max="8284" width="8.28515625" style="316" customWidth="1"/>
    <col min="8285" max="8286" width="10.85546875" style="316" customWidth="1"/>
    <col min="8287" max="8287" width="14.140625" style="316" customWidth="1"/>
    <col min="8288" max="8288" width="14.85546875" style="316" customWidth="1"/>
    <col min="8289" max="8289" width="13.5703125" style="316" bestFit="1" customWidth="1"/>
    <col min="8290" max="8290" width="14.7109375" style="316" customWidth="1"/>
    <col min="8291" max="8291" width="16" style="316" customWidth="1"/>
    <col min="8292" max="8293" width="0" style="316" hidden="1" customWidth="1"/>
    <col min="8294" max="8448" width="20.140625" style="316"/>
    <col min="8449" max="8537" width="0" style="316" hidden="1" customWidth="1"/>
    <col min="8538" max="8538" width="13.7109375" style="316" bestFit="1" customWidth="1"/>
    <col min="8539" max="8539" width="13.85546875" style="316" bestFit="1" customWidth="1"/>
    <col min="8540" max="8540" width="8.28515625" style="316" customWidth="1"/>
    <col min="8541" max="8542" width="10.85546875" style="316" customWidth="1"/>
    <col min="8543" max="8543" width="14.140625" style="316" customWidth="1"/>
    <col min="8544" max="8544" width="14.85546875" style="316" customWidth="1"/>
    <col min="8545" max="8545" width="13.5703125" style="316" bestFit="1" customWidth="1"/>
    <col min="8546" max="8546" width="14.7109375" style="316" customWidth="1"/>
    <col min="8547" max="8547" width="16" style="316" customWidth="1"/>
    <col min="8548" max="8549" width="0" style="316" hidden="1" customWidth="1"/>
    <col min="8550" max="8704" width="20.140625" style="316"/>
    <col min="8705" max="8793" width="0" style="316" hidden="1" customWidth="1"/>
    <col min="8794" max="8794" width="13.7109375" style="316" bestFit="1" customWidth="1"/>
    <col min="8795" max="8795" width="13.85546875" style="316" bestFit="1" customWidth="1"/>
    <col min="8796" max="8796" width="8.28515625" style="316" customWidth="1"/>
    <col min="8797" max="8798" width="10.85546875" style="316" customWidth="1"/>
    <col min="8799" max="8799" width="14.140625" style="316" customWidth="1"/>
    <col min="8800" max="8800" width="14.85546875" style="316" customWidth="1"/>
    <col min="8801" max="8801" width="13.5703125" style="316" bestFit="1" customWidth="1"/>
    <col min="8802" max="8802" width="14.7109375" style="316" customWidth="1"/>
    <col min="8803" max="8803" width="16" style="316" customWidth="1"/>
    <col min="8804" max="8805" width="0" style="316" hidden="1" customWidth="1"/>
    <col min="8806" max="8960" width="20.140625" style="316"/>
    <col min="8961" max="9049" width="0" style="316" hidden="1" customWidth="1"/>
    <col min="9050" max="9050" width="13.7109375" style="316" bestFit="1" customWidth="1"/>
    <col min="9051" max="9051" width="13.85546875" style="316" bestFit="1" customWidth="1"/>
    <col min="9052" max="9052" width="8.28515625" style="316" customWidth="1"/>
    <col min="9053" max="9054" width="10.85546875" style="316" customWidth="1"/>
    <col min="9055" max="9055" width="14.140625" style="316" customWidth="1"/>
    <col min="9056" max="9056" width="14.85546875" style="316" customWidth="1"/>
    <col min="9057" max="9057" width="13.5703125" style="316" bestFit="1" customWidth="1"/>
    <col min="9058" max="9058" width="14.7109375" style="316" customWidth="1"/>
    <col min="9059" max="9059" width="16" style="316" customWidth="1"/>
    <col min="9060" max="9061" width="0" style="316" hidden="1" customWidth="1"/>
    <col min="9062" max="9216" width="20.140625" style="316"/>
    <col min="9217" max="9305" width="0" style="316" hidden="1" customWidth="1"/>
    <col min="9306" max="9306" width="13.7109375" style="316" bestFit="1" customWidth="1"/>
    <col min="9307" max="9307" width="13.85546875" style="316" bestFit="1" customWidth="1"/>
    <col min="9308" max="9308" width="8.28515625" style="316" customWidth="1"/>
    <col min="9309" max="9310" width="10.85546875" style="316" customWidth="1"/>
    <col min="9311" max="9311" width="14.140625" style="316" customWidth="1"/>
    <col min="9312" max="9312" width="14.85546875" style="316" customWidth="1"/>
    <col min="9313" max="9313" width="13.5703125" style="316" bestFit="1" customWidth="1"/>
    <col min="9314" max="9314" width="14.7109375" style="316" customWidth="1"/>
    <col min="9315" max="9315" width="16" style="316" customWidth="1"/>
    <col min="9316" max="9317" width="0" style="316" hidden="1" customWidth="1"/>
    <col min="9318" max="9472" width="20.140625" style="316"/>
    <col min="9473" max="9561" width="0" style="316" hidden="1" customWidth="1"/>
    <col min="9562" max="9562" width="13.7109375" style="316" bestFit="1" customWidth="1"/>
    <col min="9563" max="9563" width="13.85546875" style="316" bestFit="1" customWidth="1"/>
    <col min="9564" max="9564" width="8.28515625" style="316" customWidth="1"/>
    <col min="9565" max="9566" width="10.85546875" style="316" customWidth="1"/>
    <col min="9567" max="9567" width="14.140625" style="316" customWidth="1"/>
    <col min="9568" max="9568" width="14.85546875" style="316" customWidth="1"/>
    <col min="9569" max="9569" width="13.5703125" style="316" bestFit="1" customWidth="1"/>
    <col min="9570" max="9570" width="14.7109375" style="316" customWidth="1"/>
    <col min="9571" max="9571" width="16" style="316" customWidth="1"/>
    <col min="9572" max="9573" width="0" style="316" hidden="1" customWidth="1"/>
    <col min="9574" max="9728" width="20.140625" style="316"/>
    <col min="9729" max="9817" width="0" style="316" hidden="1" customWidth="1"/>
    <col min="9818" max="9818" width="13.7109375" style="316" bestFit="1" customWidth="1"/>
    <col min="9819" max="9819" width="13.85546875" style="316" bestFit="1" customWidth="1"/>
    <col min="9820" max="9820" width="8.28515625" style="316" customWidth="1"/>
    <col min="9821" max="9822" width="10.85546875" style="316" customWidth="1"/>
    <col min="9823" max="9823" width="14.140625" style="316" customWidth="1"/>
    <col min="9824" max="9824" width="14.85546875" style="316" customWidth="1"/>
    <col min="9825" max="9825" width="13.5703125" style="316" bestFit="1" customWidth="1"/>
    <col min="9826" max="9826" width="14.7109375" style="316" customWidth="1"/>
    <col min="9827" max="9827" width="16" style="316" customWidth="1"/>
    <col min="9828" max="9829" width="0" style="316" hidden="1" customWidth="1"/>
    <col min="9830" max="9984" width="20.140625" style="316"/>
    <col min="9985" max="10073" width="0" style="316" hidden="1" customWidth="1"/>
    <col min="10074" max="10074" width="13.7109375" style="316" bestFit="1" customWidth="1"/>
    <col min="10075" max="10075" width="13.85546875" style="316" bestFit="1" customWidth="1"/>
    <col min="10076" max="10076" width="8.28515625" style="316" customWidth="1"/>
    <col min="10077" max="10078" width="10.85546875" style="316" customWidth="1"/>
    <col min="10079" max="10079" width="14.140625" style="316" customWidth="1"/>
    <col min="10080" max="10080" width="14.85546875" style="316" customWidth="1"/>
    <col min="10081" max="10081" width="13.5703125" style="316" bestFit="1" customWidth="1"/>
    <col min="10082" max="10082" width="14.7109375" style="316" customWidth="1"/>
    <col min="10083" max="10083" width="16" style="316" customWidth="1"/>
    <col min="10084" max="10085" width="0" style="316" hidden="1" customWidth="1"/>
    <col min="10086" max="10240" width="20.140625" style="316"/>
    <col min="10241" max="10329" width="0" style="316" hidden="1" customWidth="1"/>
    <col min="10330" max="10330" width="13.7109375" style="316" bestFit="1" customWidth="1"/>
    <col min="10331" max="10331" width="13.85546875" style="316" bestFit="1" customWidth="1"/>
    <col min="10332" max="10332" width="8.28515625" style="316" customWidth="1"/>
    <col min="10333" max="10334" width="10.85546875" style="316" customWidth="1"/>
    <col min="10335" max="10335" width="14.140625" style="316" customWidth="1"/>
    <col min="10336" max="10336" width="14.85546875" style="316" customWidth="1"/>
    <col min="10337" max="10337" width="13.5703125" style="316" bestFit="1" customWidth="1"/>
    <col min="10338" max="10338" width="14.7109375" style="316" customWidth="1"/>
    <col min="10339" max="10339" width="16" style="316" customWidth="1"/>
    <col min="10340" max="10341" width="0" style="316" hidden="1" customWidth="1"/>
    <col min="10342" max="10496" width="20.140625" style="316"/>
    <col min="10497" max="10585" width="0" style="316" hidden="1" customWidth="1"/>
    <col min="10586" max="10586" width="13.7109375" style="316" bestFit="1" customWidth="1"/>
    <col min="10587" max="10587" width="13.85546875" style="316" bestFit="1" customWidth="1"/>
    <col min="10588" max="10588" width="8.28515625" style="316" customWidth="1"/>
    <col min="10589" max="10590" width="10.85546875" style="316" customWidth="1"/>
    <col min="10591" max="10591" width="14.140625" style="316" customWidth="1"/>
    <col min="10592" max="10592" width="14.85546875" style="316" customWidth="1"/>
    <col min="10593" max="10593" width="13.5703125" style="316" bestFit="1" customWidth="1"/>
    <col min="10594" max="10594" width="14.7109375" style="316" customWidth="1"/>
    <col min="10595" max="10595" width="16" style="316" customWidth="1"/>
    <col min="10596" max="10597" width="0" style="316" hidden="1" customWidth="1"/>
    <col min="10598" max="10752" width="20.140625" style="316"/>
    <col min="10753" max="10841" width="0" style="316" hidden="1" customWidth="1"/>
    <col min="10842" max="10842" width="13.7109375" style="316" bestFit="1" customWidth="1"/>
    <col min="10843" max="10843" width="13.85546875" style="316" bestFit="1" customWidth="1"/>
    <col min="10844" max="10844" width="8.28515625" style="316" customWidth="1"/>
    <col min="10845" max="10846" width="10.85546875" style="316" customWidth="1"/>
    <col min="10847" max="10847" width="14.140625" style="316" customWidth="1"/>
    <col min="10848" max="10848" width="14.85546875" style="316" customWidth="1"/>
    <col min="10849" max="10849" width="13.5703125" style="316" bestFit="1" customWidth="1"/>
    <col min="10850" max="10850" width="14.7109375" style="316" customWidth="1"/>
    <col min="10851" max="10851" width="16" style="316" customWidth="1"/>
    <col min="10852" max="10853" width="0" style="316" hidden="1" customWidth="1"/>
    <col min="10854" max="11008" width="20.140625" style="316"/>
    <col min="11009" max="11097" width="0" style="316" hidden="1" customWidth="1"/>
    <col min="11098" max="11098" width="13.7109375" style="316" bestFit="1" customWidth="1"/>
    <col min="11099" max="11099" width="13.85546875" style="316" bestFit="1" customWidth="1"/>
    <col min="11100" max="11100" width="8.28515625" style="316" customWidth="1"/>
    <col min="11101" max="11102" width="10.85546875" style="316" customWidth="1"/>
    <col min="11103" max="11103" width="14.140625" style="316" customWidth="1"/>
    <col min="11104" max="11104" width="14.85546875" style="316" customWidth="1"/>
    <col min="11105" max="11105" width="13.5703125" style="316" bestFit="1" customWidth="1"/>
    <col min="11106" max="11106" width="14.7109375" style="316" customWidth="1"/>
    <col min="11107" max="11107" width="16" style="316" customWidth="1"/>
    <col min="11108" max="11109" width="0" style="316" hidden="1" customWidth="1"/>
    <col min="11110" max="11264" width="20.140625" style="316"/>
    <col min="11265" max="11353" width="0" style="316" hidden="1" customWidth="1"/>
    <col min="11354" max="11354" width="13.7109375" style="316" bestFit="1" customWidth="1"/>
    <col min="11355" max="11355" width="13.85546875" style="316" bestFit="1" customWidth="1"/>
    <col min="11356" max="11356" width="8.28515625" style="316" customWidth="1"/>
    <col min="11357" max="11358" width="10.85546875" style="316" customWidth="1"/>
    <col min="11359" max="11359" width="14.140625" style="316" customWidth="1"/>
    <col min="11360" max="11360" width="14.85546875" style="316" customWidth="1"/>
    <col min="11361" max="11361" width="13.5703125" style="316" bestFit="1" customWidth="1"/>
    <col min="11362" max="11362" width="14.7109375" style="316" customWidth="1"/>
    <col min="11363" max="11363" width="16" style="316" customWidth="1"/>
    <col min="11364" max="11365" width="0" style="316" hidden="1" customWidth="1"/>
    <col min="11366" max="11520" width="20.140625" style="316"/>
    <col min="11521" max="11609" width="0" style="316" hidden="1" customWidth="1"/>
    <col min="11610" max="11610" width="13.7109375" style="316" bestFit="1" customWidth="1"/>
    <col min="11611" max="11611" width="13.85546875" style="316" bestFit="1" customWidth="1"/>
    <col min="11612" max="11612" width="8.28515625" style="316" customWidth="1"/>
    <col min="11613" max="11614" width="10.85546875" style="316" customWidth="1"/>
    <col min="11615" max="11615" width="14.140625" style="316" customWidth="1"/>
    <col min="11616" max="11616" width="14.85546875" style="316" customWidth="1"/>
    <col min="11617" max="11617" width="13.5703125" style="316" bestFit="1" customWidth="1"/>
    <col min="11618" max="11618" width="14.7109375" style="316" customWidth="1"/>
    <col min="11619" max="11619" width="16" style="316" customWidth="1"/>
    <col min="11620" max="11621" width="0" style="316" hidden="1" customWidth="1"/>
    <col min="11622" max="11776" width="20.140625" style="316"/>
    <col min="11777" max="11865" width="0" style="316" hidden="1" customWidth="1"/>
    <col min="11866" max="11866" width="13.7109375" style="316" bestFit="1" customWidth="1"/>
    <col min="11867" max="11867" width="13.85546875" style="316" bestFit="1" customWidth="1"/>
    <col min="11868" max="11868" width="8.28515625" style="316" customWidth="1"/>
    <col min="11869" max="11870" width="10.85546875" style="316" customWidth="1"/>
    <col min="11871" max="11871" width="14.140625" style="316" customWidth="1"/>
    <col min="11872" max="11872" width="14.85546875" style="316" customWidth="1"/>
    <col min="11873" max="11873" width="13.5703125" style="316" bestFit="1" customWidth="1"/>
    <col min="11874" max="11874" width="14.7109375" style="316" customWidth="1"/>
    <col min="11875" max="11875" width="16" style="316" customWidth="1"/>
    <col min="11876" max="11877" width="0" style="316" hidden="1" customWidth="1"/>
    <col min="11878" max="12032" width="20.140625" style="316"/>
    <col min="12033" max="12121" width="0" style="316" hidden="1" customWidth="1"/>
    <col min="12122" max="12122" width="13.7109375" style="316" bestFit="1" customWidth="1"/>
    <col min="12123" max="12123" width="13.85546875" style="316" bestFit="1" customWidth="1"/>
    <col min="12124" max="12124" width="8.28515625" style="316" customWidth="1"/>
    <col min="12125" max="12126" width="10.85546875" style="316" customWidth="1"/>
    <col min="12127" max="12127" width="14.140625" style="316" customWidth="1"/>
    <col min="12128" max="12128" width="14.85546875" style="316" customWidth="1"/>
    <col min="12129" max="12129" width="13.5703125" style="316" bestFit="1" customWidth="1"/>
    <col min="12130" max="12130" width="14.7109375" style="316" customWidth="1"/>
    <col min="12131" max="12131" width="16" style="316" customWidth="1"/>
    <col min="12132" max="12133" width="0" style="316" hidden="1" customWidth="1"/>
    <col min="12134" max="12288" width="20.140625" style="316"/>
    <col min="12289" max="12377" width="0" style="316" hidden="1" customWidth="1"/>
    <col min="12378" max="12378" width="13.7109375" style="316" bestFit="1" customWidth="1"/>
    <col min="12379" max="12379" width="13.85546875" style="316" bestFit="1" customWidth="1"/>
    <col min="12380" max="12380" width="8.28515625" style="316" customWidth="1"/>
    <col min="12381" max="12382" width="10.85546875" style="316" customWidth="1"/>
    <col min="12383" max="12383" width="14.140625" style="316" customWidth="1"/>
    <col min="12384" max="12384" width="14.85546875" style="316" customWidth="1"/>
    <col min="12385" max="12385" width="13.5703125" style="316" bestFit="1" customWidth="1"/>
    <col min="12386" max="12386" width="14.7109375" style="316" customWidth="1"/>
    <col min="12387" max="12387" width="16" style="316" customWidth="1"/>
    <col min="12388" max="12389" width="0" style="316" hidden="1" customWidth="1"/>
    <col min="12390" max="12544" width="20.140625" style="316"/>
    <col min="12545" max="12633" width="0" style="316" hidden="1" customWidth="1"/>
    <col min="12634" max="12634" width="13.7109375" style="316" bestFit="1" customWidth="1"/>
    <col min="12635" max="12635" width="13.85546875" style="316" bestFit="1" customWidth="1"/>
    <col min="12636" max="12636" width="8.28515625" style="316" customWidth="1"/>
    <col min="12637" max="12638" width="10.85546875" style="316" customWidth="1"/>
    <col min="12639" max="12639" width="14.140625" style="316" customWidth="1"/>
    <col min="12640" max="12640" width="14.85546875" style="316" customWidth="1"/>
    <col min="12641" max="12641" width="13.5703125" style="316" bestFit="1" customWidth="1"/>
    <col min="12642" max="12642" width="14.7109375" style="316" customWidth="1"/>
    <col min="12643" max="12643" width="16" style="316" customWidth="1"/>
    <col min="12644" max="12645" width="0" style="316" hidden="1" customWidth="1"/>
    <col min="12646" max="12800" width="20.140625" style="316"/>
    <col min="12801" max="12889" width="0" style="316" hidden="1" customWidth="1"/>
    <col min="12890" max="12890" width="13.7109375" style="316" bestFit="1" customWidth="1"/>
    <col min="12891" max="12891" width="13.85546875" style="316" bestFit="1" customWidth="1"/>
    <col min="12892" max="12892" width="8.28515625" style="316" customWidth="1"/>
    <col min="12893" max="12894" width="10.85546875" style="316" customWidth="1"/>
    <col min="12895" max="12895" width="14.140625" style="316" customWidth="1"/>
    <col min="12896" max="12896" width="14.85546875" style="316" customWidth="1"/>
    <col min="12897" max="12897" width="13.5703125" style="316" bestFit="1" customWidth="1"/>
    <col min="12898" max="12898" width="14.7109375" style="316" customWidth="1"/>
    <col min="12899" max="12899" width="16" style="316" customWidth="1"/>
    <col min="12900" max="12901" width="0" style="316" hidden="1" customWidth="1"/>
    <col min="12902" max="13056" width="20.140625" style="316"/>
    <col min="13057" max="13145" width="0" style="316" hidden="1" customWidth="1"/>
    <col min="13146" max="13146" width="13.7109375" style="316" bestFit="1" customWidth="1"/>
    <col min="13147" max="13147" width="13.85546875" style="316" bestFit="1" customWidth="1"/>
    <col min="13148" max="13148" width="8.28515625" style="316" customWidth="1"/>
    <col min="13149" max="13150" width="10.85546875" style="316" customWidth="1"/>
    <col min="13151" max="13151" width="14.140625" style="316" customWidth="1"/>
    <col min="13152" max="13152" width="14.85546875" style="316" customWidth="1"/>
    <col min="13153" max="13153" width="13.5703125" style="316" bestFit="1" customWidth="1"/>
    <col min="13154" max="13154" width="14.7109375" style="316" customWidth="1"/>
    <col min="13155" max="13155" width="16" style="316" customWidth="1"/>
    <col min="13156" max="13157" width="0" style="316" hidden="1" customWidth="1"/>
    <col min="13158" max="13312" width="20.140625" style="316"/>
    <col min="13313" max="13401" width="0" style="316" hidden="1" customWidth="1"/>
    <col min="13402" max="13402" width="13.7109375" style="316" bestFit="1" customWidth="1"/>
    <col min="13403" max="13403" width="13.85546875" style="316" bestFit="1" customWidth="1"/>
    <col min="13404" max="13404" width="8.28515625" style="316" customWidth="1"/>
    <col min="13405" max="13406" width="10.85546875" style="316" customWidth="1"/>
    <col min="13407" max="13407" width="14.140625" style="316" customWidth="1"/>
    <col min="13408" max="13408" width="14.85546875" style="316" customWidth="1"/>
    <col min="13409" max="13409" width="13.5703125" style="316" bestFit="1" customWidth="1"/>
    <col min="13410" max="13410" width="14.7109375" style="316" customWidth="1"/>
    <col min="13411" max="13411" width="16" style="316" customWidth="1"/>
    <col min="13412" max="13413" width="0" style="316" hidden="1" customWidth="1"/>
    <col min="13414" max="13568" width="20.140625" style="316"/>
    <col min="13569" max="13657" width="0" style="316" hidden="1" customWidth="1"/>
    <col min="13658" max="13658" width="13.7109375" style="316" bestFit="1" customWidth="1"/>
    <col min="13659" max="13659" width="13.85546875" style="316" bestFit="1" customWidth="1"/>
    <col min="13660" max="13660" width="8.28515625" style="316" customWidth="1"/>
    <col min="13661" max="13662" width="10.85546875" style="316" customWidth="1"/>
    <col min="13663" max="13663" width="14.140625" style="316" customWidth="1"/>
    <col min="13664" max="13664" width="14.85546875" style="316" customWidth="1"/>
    <col min="13665" max="13665" width="13.5703125" style="316" bestFit="1" customWidth="1"/>
    <col min="13666" max="13666" width="14.7109375" style="316" customWidth="1"/>
    <col min="13667" max="13667" width="16" style="316" customWidth="1"/>
    <col min="13668" max="13669" width="0" style="316" hidden="1" customWidth="1"/>
    <col min="13670" max="13824" width="20.140625" style="316"/>
    <col min="13825" max="13913" width="0" style="316" hidden="1" customWidth="1"/>
    <col min="13914" max="13914" width="13.7109375" style="316" bestFit="1" customWidth="1"/>
    <col min="13915" max="13915" width="13.85546875" style="316" bestFit="1" customWidth="1"/>
    <col min="13916" max="13916" width="8.28515625" style="316" customWidth="1"/>
    <col min="13917" max="13918" width="10.85546875" style="316" customWidth="1"/>
    <col min="13919" max="13919" width="14.140625" style="316" customWidth="1"/>
    <col min="13920" max="13920" width="14.85546875" style="316" customWidth="1"/>
    <col min="13921" max="13921" width="13.5703125" style="316" bestFit="1" customWidth="1"/>
    <col min="13922" max="13922" width="14.7109375" style="316" customWidth="1"/>
    <col min="13923" max="13923" width="16" style="316" customWidth="1"/>
    <col min="13924" max="13925" width="0" style="316" hidden="1" customWidth="1"/>
    <col min="13926" max="14080" width="20.140625" style="316"/>
    <col min="14081" max="14169" width="0" style="316" hidden="1" customWidth="1"/>
    <col min="14170" max="14170" width="13.7109375" style="316" bestFit="1" customWidth="1"/>
    <col min="14171" max="14171" width="13.85546875" style="316" bestFit="1" customWidth="1"/>
    <col min="14172" max="14172" width="8.28515625" style="316" customWidth="1"/>
    <col min="14173" max="14174" width="10.85546875" style="316" customWidth="1"/>
    <col min="14175" max="14175" width="14.140625" style="316" customWidth="1"/>
    <col min="14176" max="14176" width="14.85546875" style="316" customWidth="1"/>
    <col min="14177" max="14177" width="13.5703125" style="316" bestFit="1" customWidth="1"/>
    <col min="14178" max="14178" width="14.7109375" style="316" customWidth="1"/>
    <col min="14179" max="14179" width="16" style="316" customWidth="1"/>
    <col min="14180" max="14181" width="0" style="316" hidden="1" customWidth="1"/>
    <col min="14182" max="14336" width="20.140625" style="316"/>
    <col min="14337" max="14425" width="0" style="316" hidden="1" customWidth="1"/>
    <col min="14426" max="14426" width="13.7109375" style="316" bestFit="1" customWidth="1"/>
    <col min="14427" max="14427" width="13.85546875" style="316" bestFit="1" customWidth="1"/>
    <col min="14428" max="14428" width="8.28515625" style="316" customWidth="1"/>
    <col min="14429" max="14430" width="10.85546875" style="316" customWidth="1"/>
    <col min="14431" max="14431" width="14.140625" style="316" customWidth="1"/>
    <col min="14432" max="14432" width="14.85546875" style="316" customWidth="1"/>
    <col min="14433" max="14433" width="13.5703125" style="316" bestFit="1" customWidth="1"/>
    <col min="14434" max="14434" width="14.7109375" style="316" customWidth="1"/>
    <col min="14435" max="14435" width="16" style="316" customWidth="1"/>
    <col min="14436" max="14437" width="0" style="316" hidden="1" customWidth="1"/>
    <col min="14438" max="14592" width="20.140625" style="316"/>
    <col min="14593" max="14681" width="0" style="316" hidden="1" customWidth="1"/>
    <col min="14682" max="14682" width="13.7109375" style="316" bestFit="1" customWidth="1"/>
    <col min="14683" max="14683" width="13.85546875" style="316" bestFit="1" customWidth="1"/>
    <col min="14684" max="14684" width="8.28515625" style="316" customWidth="1"/>
    <col min="14685" max="14686" width="10.85546875" style="316" customWidth="1"/>
    <col min="14687" max="14687" width="14.140625" style="316" customWidth="1"/>
    <col min="14688" max="14688" width="14.85546875" style="316" customWidth="1"/>
    <col min="14689" max="14689" width="13.5703125" style="316" bestFit="1" customWidth="1"/>
    <col min="14690" max="14690" width="14.7109375" style="316" customWidth="1"/>
    <col min="14691" max="14691" width="16" style="316" customWidth="1"/>
    <col min="14692" max="14693" width="0" style="316" hidden="1" customWidth="1"/>
    <col min="14694" max="14848" width="20.140625" style="316"/>
    <col min="14849" max="14937" width="0" style="316" hidden="1" customWidth="1"/>
    <col min="14938" max="14938" width="13.7109375" style="316" bestFit="1" customWidth="1"/>
    <col min="14939" max="14939" width="13.85546875" style="316" bestFit="1" customWidth="1"/>
    <col min="14940" max="14940" width="8.28515625" style="316" customWidth="1"/>
    <col min="14941" max="14942" width="10.85546875" style="316" customWidth="1"/>
    <col min="14943" max="14943" width="14.140625" style="316" customWidth="1"/>
    <col min="14944" max="14944" width="14.85546875" style="316" customWidth="1"/>
    <col min="14945" max="14945" width="13.5703125" style="316" bestFit="1" customWidth="1"/>
    <col min="14946" max="14946" width="14.7109375" style="316" customWidth="1"/>
    <col min="14947" max="14947" width="16" style="316" customWidth="1"/>
    <col min="14948" max="14949" width="0" style="316" hidden="1" customWidth="1"/>
    <col min="14950" max="15104" width="20.140625" style="316"/>
    <col min="15105" max="15193" width="0" style="316" hidden="1" customWidth="1"/>
    <col min="15194" max="15194" width="13.7109375" style="316" bestFit="1" customWidth="1"/>
    <col min="15195" max="15195" width="13.85546875" style="316" bestFit="1" customWidth="1"/>
    <col min="15196" max="15196" width="8.28515625" style="316" customWidth="1"/>
    <col min="15197" max="15198" width="10.85546875" style="316" customWidth="1"/>
    <col min="15199" max="15199" width="14.140625" style="316" customWidth="1"/>
    <col min="15200" max="15200" width="14.85546875" style="316" customWidth="1"/>
    <col min="15201" max="15201" width="13.5703125" style="316" bestFit="1" customWidth="1"/>
    <col min="15202" max="15202" width="14.7109375" style="316" customWidth="1"/>
    <col min="15203" max="15203" width="16" style="316" customWidth="1"/>
    <col min="15204" max="15205" width="0" style="316" hidden="1" customWidth="1"/>
    <col min="15206" max="15360" width="20.140625" style="316"/>
    <col min="15361" max="15449" width="0" style="316" hidden="1" customWidth="1"/>
    <col min="15450" max="15450" width="13.7109375" style="316" bestFit="1" customWidth="1"/>
    <col min="15451" max="15451" width="13.85546875" style="316" bestFit="1" customWidth="1"/>
    <col min="15452" max="15452" width="8.28515625" style="316" customWidth="1"/>
    <col min="15453" max="15454" width="10.85546875" style="316" customWidth="1"/>
    <col min="15455" max="15455" width="14.140625" style="316" customWidth="1"/>
    <col min="15456" max="15456" width="14.85546875" style="316" customWidth="1"/>
    <col min="15457" max="15457" width="13.5703125" style="316" bestFit="1" customWidth="1"/>
    <col min="15458" max="15458" width="14.7109375" style="316" customWidth="1"/>
    <col min="15459" max="15459" width="16" style="316" customWidth="1"/>
    <col min="15460" max="15461" width="0" style="316" hidden="1" customWidth="1"/>
    <col min="15462" max="15616" width="20.140625" style="316"/>
    <col min="15617" max="15705" width="0" style="316" hidden="1" customWidth="1"/>
    <col min="15706" max="15706" width="13.7109375" style="316" bestFit="1" customWidth="1"/>
    <col min="15707" max="15707" width="13.85546875" style="316" bestFit="1" customWidth="1"/>
    <col min="15708" max="15708" width="8.28515625" style="316" customWidth="1"/>
    <col min="15709" max="15710" width="10.85546875" style="316" customWidth="1"/>
    <col min="15711" max="15711" width="14.140625" style="316" customWidth="1"/>
    <col min="15712" max="15712" width="14.85546875" style="316" customWidth="1"/>
    <col min="15713" max="15713" width="13.5703125" style="316" bestFit="1" customWidth="1"/>
    <col min="15714" max="15714" width="14.7109375" style="316" customWidth="1"/>
    <col min="15715" max="15715" width="16" style="316" customWidth="1"/>
    <col min="15716" max="15717" width="0" style="316" hidden="1" customWidth="1"/>
    <col min="15718" max="15872" width="20.140625" style="316"/>
    <col min="15873" max="15961" width="0" style="316" hidden="1" customWidth="1"/>
    <col min="15962" max="15962" width="13.7109375" style="316" bestFit="1" customWidth="1"/>
    <col min="15963" max="15963" width="13.85546875" style="316" bestFit="1" customWidth="1"/>
    <col min="15964" max="15964" width="8.28515625" style="316" customWidth="1"/>
    <col min="15965" max="15966" width="10.85546875" style="316" customWidth="1"/>
    <col min="15967" max="15967" width="14.140625" style="316" customWidth="1"/>
    <col min="15968" max="15968" width="14.85546875" style="316" customWidth="1"/>
    <col min="15969" max="15969" width="13.5703125" style="316" bestFit="1" customWidth="1"/>
    <col min="15970" max="15970" width="14.7109375" style="316" customWidth="1"/>
    <col min="15971" max="15971" width="16" style="316" customWidth="1"/>
    <col min="15972" max="15973" width="0" style="316" hidden="1" customWidth="1"/>
    <col min="15974" max="16128" width="20.140625" style="316"/>
    <col min="16129" max="16217" width="0" style="316" hidden="1" customWidth="1"/>
    <col min="16218" max="16218" width="13.7109375" style="316" bestFit="1" customWidth="1"/>
    <col min="16219" max="16219" width="13.85546875" style="316" bestFit="1" customWidth="1"/>
    <col min="16220" max="16220" width="8.28515625" style="316" customWidth="1"/>
    <col min="16221" max="16222" width="10.85546875" style="316" customWidth="1"/>
    <col min="16223" max="16223" width="14.140625" style="316" customWidth="1"/>
    <col min="16224" max="16224" width="14.85546875" style="316" customWidth="1"/>
    <col min="16225" max="16225" width="13.5703125" style="316" bestFit="1" customWidth="1"/>
    <col min="16226" max="16226" width="14.7109375" style="316" customWidth="1"/>
    <col min="16227" max="16227" width="16" style="316" customWidth="1"/>
    <col min="16228" max="16229" width="0" style="316" hidden="1" customWidth="1"/>
    <col min="16230" max="16384" width="20.140625" style="316"/>
  </cols>
  <sheetData>
    <row r="1" spans="1:102" x14ac:dyDescent="0.25">
      <c r="A1" s="316" t="s">
        <v>282</v>
      </c>
      <c r="I1" s="316" t="s">
        <v>35</v>
      </c>
      <c r="BE1" s="316" t="s">
        <v>35</v>
      </c>
      <c r="BO1" s="316" t="s">
        <v>35</v>
      </c>
      <c r="BW1" s="316" t="s">
        <v>35</v>
      </c>
      <c r="CD1" s="316" t="s">
        <v>35</v>
      </c>
      <c r="CL1" s="316" t="s">
        <v>35</v>
      </c>
    </row>
    <row r="2" spans="1:102" x14ac:dyDescent="0.25">
      <c r="BE2" s="317"/>
      <c r="BF2" s="317"/>
      <c r="BG2" s="317"/>
      <c r="BH2" s="317" t="s">
        <v>283</v>
      </c>
      <c r="BI2" s="317"/>
      <c r="BJ2" s="317"/>
      <c r="BK2" s="317"/>
      <c r="BL2" s="317"/>
      <c r="BM2" s="317"/>
      <c r="BO2" s="317"/>
      <c r="BP2" s="317"/>
      <c r="BQ2" s="317"/>
      <c r="BR2" s="317" t="s">
        <v>283</v>
      </c>
      <c r="BS2" s="317"/>
      <c r="BT2" s="317"/>
      <c r="BW2" s="317"/>
      <c r="BX2" s="317"/>
      <c r="BY2" s="317"/>
      <c r="BZ2" s="317" t="s">
        <v>283</v>
      </c>
      <c r="CA2" s="317"/>
      <c r="CB2" s="317"/>
      <c r="CD2" s="317"/>
      <c r="CE2" s="317"/>
      <c r="CF2" s="317"/>
      <c r="CG2" s="317" t="s">
        <v>283</v>
      </c>
      <c r="CH2" s="317"/>
      <c r="CI2" s="317"/>
      <c r="CL2" s="317"/>
      <c r="CM2" s="317"/>
      <c r="CN2" s="317"/>
      <c r="CO2" s="318" t="s">
        <v>284</v>
      </c>
      <c r="CP2" s="317"/>
      <c r="CQ2" s="317"/>
      <c r="CR2" s="317"/>
      <c r="CS2" s="317"/>
      <c r="CT2" s="317"/>
      <c r="CU2" s="317"/>
      <c r="CV2" s="317"/>
      <c r="CW2" s="317"/>
    </row>
    <row r="3" spans="1:102" x14ac:dyDescent="0.25">
      <c r="C3" s="316" t="s">
        <v>285</v>
      </c>
      <c r="K3" s="316" t="s">
        <v>286</v>
      </c>
      <c r="S3" s="316" t="s">
        <v>287</v>
      </c>
      <c r="AA3" s="316" t="s">
        <v>288</v>
      </c>
      <c r="AI3" s="316" t="s">
        <v>289</v>
      </c>
      <c r="AQ3" s="316" t="s">
        <v>290</v>
      </c>
      <c r="AY3" s="316" t="s">
        <v>291</v>
      </c>
      <c r="BE3" s="317"/>
      <c r="BF3" s="317"/>
      <c r="BG3" s="317"/>
      <c r="BH3" s="317" t="s">
        <v>292</v>
      </c>
      <c r="BI3" s="317"/>
      <c r="BJ3" s="317"/>
      <c r="BK3" s="317"/>
      <c r="BL3" s="317"/>
      <c r="BM3" s="317"/>
      <c r="BO3" s="317"/>
      <c r="BP3" s="317"/>
      <c r="BQ3" s="318" t="s">
        <v>293</v>
      </c>
      <c r="BR3" s="317"/>
      <c r="BS3" s="317"/>
      <c r="BT3" s="317"/>
      <c r="BW3" s="317"/>
      <c r="BX3" s="317"/>
      <c r="BY3" s="317" t="s">
        <v>294</v>
      </c>
      <c r="BZ3" s="317"/>
      <c r="CA3" s="317"/>
      <c r="CB3" s="317"/>
      <c r="CD3" s="317"/>
      <c r="CE3" s="317"/>
      <c r="CF3" s="319" t="s">
        <v>295</v>
      </c>
      <c r="CG3" s="317"/>
      <c r="CH3" s="317"/>
      <c r="CI3" s="317"/>
      <c r="CL3" s="317"/>
      <c r="CM3" s="317"/>
      <c r="CN3" s="319" t="s">
        <v>296</v>
      </c>
      <c r="CO3" s="317"/>
      <c r="CP3" s="317"/>
      <c r="CQ3" s="317"/>
      <c r="CR3" s="317"/>
      <c r="CS3" s="317"/>
      <c r="CT3" s="317"/>
      <c r="CU3" s="317"/>
      <c r="CV3" s="317"/>
      <c r="CW3" s="317"/>
    </row>
    <row r="4" spans="1:102" x14ac:dyDescent="0.25">
      <c r="C4" s="316" t="s">
        <v>297</v>
      </c>
      <c r="K4" s="316" t="s">
        <v>297</v>
      </c>
      <c r="S4" s="316" t="s">
        <v>297</v>
      </c>
      <c r="AA4" s="316" t="s">
        <v>297</v>
      </c>
      <c r="AI4" s="316" t="s">
        <v>297</v>
      </c>
      <c r="AQ4" s="316" t="s">
        <v>297</v>
      </c>
      <c r="AY4" s="316" t="s">
        <v>297</v>
      </c>
      <c r="BE4" s="317"/>
      <c r="BF4" s="317"/>
      <c r="BG4" s="317"/>
      <c r="BH4" s="317" t="s">
        <v>298</v>
      </c>
      <c r="BI4" s="317"/>
      <c r="BJ4" s="317"/>
      <c r="BK4" s="317"/>
      <c r="BL4" s="317"/>
      <c r="BM4" s="317"/>
      <c r="BO4" s="317"/>
      <c r="BP4" s="317"/>
      <c r="BQ4" s="320" t="s">
        <v>35</v>
      </c>
      <c r="BR4" s="318" t="s">
        <v>299</v>
      </c>
      <c r="BS4" s="317"/>
      <c r="BT4" s="317"/>
      <c r="BW4" s="317"/>
      <c r="BX4" s="317"/>
      <c r="BY4" s="319" t="s">
        <v>300</v>
      </c>
      <c r="BZ4" s="317"/>
      <c r="CA4" s="317"/>
      <c r="CB4" s="317"/>
      <c r="CD4" s="317"/>
      <c r="CE4" s="317"/>
      <c r="CF4" s="319" t="s">
        <v>300</v>
      </c>
      <c r="CG4" s="317"/>
      <c r="CH4" s="317"/>
      <c r="CI4" s="317"/>
      <c r="CL4" s="317"/>
      <c r="CM4" s="317"/>
      <c r="CN4" s="317" t="s">
        <v>35</v>
      </c>
      <c r="CO4" s="317"/>
      <c r="CP4" s="317"/>
      <c r="CQ4" s="321" t="s">
        <v>301</v>
      </c>
      <c r="CR4" s="317"/>
      <c r="CS4" s="317"/>
      <c r="CT4" s="317"/>
      <c r="CU4" s="317"/>
      <c r="CW4" s="317"/>
    </row>
    <row r="5" spans="1:102" x14ac:dyDescent="0.25">
      <c r="C5" s="316" t="s">
        <v>302</v>
      </c>
      <c r="K5" s="316" t="s">
        <v>303</v>
      </c>
      <c r="S5" s="316" t="s">
        <v>302</v>
      </c>
      <c r="AA5" s="316" t="s">
        <v>302</v>
      </c>
      <c r="AI5" s="316" t="s">
        <v>302</v>
      </c>
      <c r="AQ5" s="316" t="s">
        <v>302</v>
      </c>
      <c r="AY5" s="316" t="s">
        <v>302</v>
      </c>
      <c r="BE5" s="317"/>
      <c r="BF5" s="317"/>
      <c r="BG5" s="317"/>
      <c r="BH5" s="317" t="s">
        <v>304</v>
      </c>
      <c r="BI5" s="322">
        <v>30000000</v>
      </c>
      <c r="BJ5" s="317" t="s">
        <v>305</v>
      </c>
      <c r="BK5" s="317"/>
      <c r="BL5" s="317"/>
      <c r="BM5" s="317"/>
      <c r="BO5" s="317"/>
      <c r="BP5" s="317"/>
      <c r="BQ5" s="317"/>
      <c r="BR5" s="317" t="s">
        <v>304</v>
      </c>
      <c r="BS5" s="322">
        <v>17000000</v>
      </c>
      <c r="BT5" s="317"/>
      <c r="BW5" s="317"/>
      <c r="BX5" s="317"/>
      <c r="BY5" s="317"/>
      <c r="BZ5" s="317" t="s">
        <v>304</v>
      </c>
      <c r="CA5" s="322">
        <v>50000000</v>
      </c>
      <c r="CB5" s="317" t="s">
        <v>35</v>
      </c>
      <c r="CD5" s="317"/>
      <c r="CE5" s="317"/>
      <c r="CF5" s="317"/>
      <c r="CG5" s="317" t="s">
        <v>304</v>
      </c>
      <c r="CH5" s="322">
        <v>50000000</v>
      </c>
      <c r="CI5" s="317" t="s">
        <v>35</v>
      </c>
      <c r="CL5" s="317"/>
      <c r="CM5" s="317"/>
      <c r="CN5" s="317"/>
      <c r="CO5" s="317" t="s">
        <v>304</v>
      </c>
      <c r="CP5" s="317"/>
      <c r="CQ5" s="317"/>
      <c r="CR5" s="322">
        <v>83335000</v>
      </c>
      <c r="CS5" s="322"/>
      <c r="CT5" s="322"/>
      <c r="CU5" s="323" t="s">
        <v>306</v>
      </c>
      <c r="CW5" s="317" t="s">
        <v>35</v>
      </c>
      <c r="CX5" s="323" t="s">
        <v>307</v>
      </c>
    </row>
    <row r="6" spans="1:102" x14ac:dyDescent="0.25">
      <c r="C6" s="316" t="s">
        <v>308</v>
      </c>
      <c r="K6" s="316" t="s">
        <v>309</v>
      </c>
      <c r="S6" s="316" t="s">
        <v>310</v>
      </c>
      <c r="AA6" s="316" t="s">
        <v>310</v>
      </c>
      <c r="AI6" s="316" t="s">
        <v>311</v>
      </c>
      <c r="AQ6" s="316" t="s">
        <v>310</v>
      </c>
      <c r="AY6" s="316" t="s">
        <v>311</v>
      </c>
      <c r="BE6" s="317"/>
      <c r="BF6" s="317"/>
      <c r="BG6" s="317"/>
      <c r="BH6" s="317"/>
      <c r="BI6" s="317"/>
      <c r="BJ6" s="317"/>
      <c r="BK6" s="321" t="s">
        <v>312</v>
      </c>
      <c r="BL6" s="321" t="s">
        <v>313</v>
      </c>
      <c r="BM6" s="317"/>
      <c r="BO6" s="317"/>
      <c r="BP6" s="317"/>
      <c r="BQ6" s="317"/>
      <c r="BR6" s="317"/>
      <c r="BS6" s="317"/>
      <c r="BT6" s="324" t="s">
        <v>314</v>
      </c>
      <c r="BW6" s="317"/>
      <c r="BX6" s="317"/>
      <c r="BY6" s="317"/>
      <c r="BZ6" s="317"/>
      <c r="CA6" s="317"/>
      <c r="CB6" s="325" t="s">
        <v>35</v>
      </c>
      <c r="CD6" s="317"/>
      <c r="CE6" s="317"/>
      <c r="CF6" s="317"/>
      <c r="CG6" s="317"/>
      <c r="CH6" s="317"/>
      <c r="CI6" s="325" t="s">
        <v>35</v>
      </c>
      <c r="CL6" s="317"/>
      <c r="CM6" s="317"/>
      <c r="CN6" s="317"/>
      <c r="CO6" s="317"/>
      <c r="CP6" s="317"/>
      <c r="CQ6" s="317"/>
      <c r="CR6" s="317"/>
      <c r="CS6" s="321" t="s">
        <v>315</v>
      </c>
      <c r="CT6" s="326">
        <v>5.4949999999999999E-2</v>
      </c>
      <c r="CU6" s="321" t="s">
        <v>316</v>
      </c>
      <c r="CV6" s="317"/>
      <c r="CW6" s="325" t="s">
        <v>35</v>
      </c>
      <c r="CX6" s="321" t="s">
        <v>317</v>
      </c>
    </row>
    <row r="7" spans="1:102" x14ac:dyDescent="0.25">
      <c r="BE7" s="321" t="s">
        <v>318</v>
      </c>
      <c r="BF7" s="321" t="s">
        <v>319</v>
      </c>
      <c r="BG7" s="317"/>
      <c r="BH7" s="325" t="s">
        <v>320</v>
      </c>
      <c r="BI7" s="325" t="s">
        <v>320</v>
      </c>
      <c r="BJ7" s="325" t="s">
        <v>320</v>
      </c>
      <c r="BK7" s="321" t="s">
        <v>321</v>
      </c>
      <c r="BL7" s="321" t="s">
        <v>322</v>
      </c>
      <c r="BM7" s="325" t="s">
        <v>323</v>
      </c>
      <c r="BO7" s="321" t="s">
        <v>318</v>
      </c>
      <c r="BP7" s="321" t="s">
        <v>319</v>
      </c>
      <c r="BQ7" s="317"/>
      <c r="BR7" s="325" t="s">
        <v>324</v>
      </c>
      <c r="BS7" s="325" t="s">
        <v>325</v>
      </c>
      <c r="BT7" s="327" t="s">
        <v>326</v>
      </c>
      <c r="BW7" s="321" t="s">
        <v>318</v>
      </c>
      <c r="BX7" s="321" t="s">
        <v>319</v>
      </c>
      <c r="BY7" s="317"/>
      <c r="BZ7" s="325" t="s">
        <v>324</v>
      </c>
      <c r="CA7" s="325" t="s">
        <v>325</v>
      </c>
      <c r="CB7" s="324" t="s">
        <v>314</v>
      </c>
      <c r="CD7" s="321" t="s">
        <v>318</v>
      </c>
      <c r="CE7" s="321" t="s">
        <v>319</v>
      </c>
      <c r="CF7" s="317"/>
      <c r="CG7" s="325" t="s">
        <v>324</v>
      </c>
      <c r="CH7" s="325" t="s">
        <v>325</v>
      </c>
      <c r="CI7" s="324" t="s">
        <v>314</v>
      </c>
      <c r="CL7" s="321" t="s">
        <v>318</v>
      </c>
      <c r="CM7" s="321" t="s">
        <v>319</v>
      </c>
      <c r="CN7" s="317"/>
      <c r="CO7" s="325" t="s">
        <v>324</v>
      </c>
      <c r="CP7" s="325"/>
      <c r="CQ7" s="321" t="s">
        <v>327</v>
      </c>
      <c r="CR7" s="325" t="s">
        <v>328</v>
      </c>
      <c r="CS7" s="325" t="s">
        <v>329</v>
      </c>
      <c r="CT7" s="321" t="s">
        <v>330</v>
      </c>
      <c r="CU7" s="321" t="s">
        <v>331</v>
      </c>
      <c r="CV7" s="325" t="s">
        <v>325</v>
      </c>
      <c r="CW7" s="324" t="s">
        <v>314</v>
      </c>
      <c r="CX7" s="321" t="s">
        <v>332</v>
      </c>
    </row>
    <row r="8" spans="1:102" x14ac:dyDescent="0.25">
      <c r="BE8" s="328" t="s">
        <v>333</v>
      </c>
      <c r="BF8" s="328" t="s">
        <v>333</v>
      </c>
      <c r="BG8" s="329" t="s">
        <v>334</v>
      </c>
      <c r="BH8" s="329" t="s">
        <v>335</v>
      </c>
      <c r="BI8" s="329" t="s">
        <v>336</v>
      </c>
      <c r="BJ8" s="329" t="s">
        <v>326</v>
      </c>
      <c r="BK8" s="328" t="s">
        <v>326</v>
      </c>
      <c r="BL8" s="328" t="s">
        <v>337</v>
      </c>
      <c r="BM8" s="329" t="s">
        <v>337</v>
      </c>
      <c r="BO8" s="328" t="s">
        <v>333</v>
      </c>
      <c r="BP8" s="328" t="s">
        <v>333</v>
      </c>
      <c r="BQ8" s="329" t="s">
        <v>334</v>
      </c>
      <c r="BR8" s="329" t="s">
        <v>335</v>
      </c>
      <c r="BS8" s="329" t="s">
        <v>336</v>
      </c>
      <c r="BT8" s="329" t="s">
        <v>338</v>
      </c>
      <c r="BW8" s="328" t="s">
        <v>333</v>
      </c>
      <c r="BX8" s="328" t="s">
        <v>333</v>
      </c>
      <c r="BY8" s="329" t="s">
        <v>334</v>
      </c>
      <c r="BZ8" s="329" t="s">
        <v>335</v>
      </c>
      <c r="CA8" s="329" t="s">
        <v>336</v>
      </c>
      <c r="CB8" s="329" t="s">
        <v>326</v>
      </c>
      <c r="CD8" s="328" t="s">
        <v>333</v>
      </c>
      <c r="CE8" s="328" t="s">
        <v>333</v>
      </c>
      <c r="CF8" s="329" t="s">
        <v>334</v>
      </c>
      <c r="CG8" s="329" t="s">
        <v>335</v>
      </c>
      <c r="CH8" s="329" t="s">
        <v>336</v>
      </c>
      <c r="CI8" s="329" t="s">
        <v>326</v>
      </c>
      <c r="CL8" s="330" t="s">
        <v>333</v>
      </c>
      <c r="CM8" s="330" t="s">
        <v>333</v>
      </c>
      <c r="CN8" s="331" t="s">
        <v>334</v>
      </c>
      <c r="CO8" s="331" t="s">
        <v>335</v>
      </c>
      <c r="CP8" s="331"/>
      <c r="CQ8" s="330" t="s">
        <v>339</v>
      </c>
      <c r="CR8" s="331" t="s">
        <v>340</v>
      </c>
      <c r="CS8" s="331" t="s">
        <v>340</v>
      </c>
      <c r="CT8" s="330" t="s">
        <v>340</v>
      </c>
      <c r="CU8" s="330" t="s">
        <v>336</v>
      </c>
      <c r="CV8" s="329" t="s">
        <v>336</v>
      </c>
      <c r="CW8" s="329" t="s">
        <v>326</v>
      </c>
      <c r="CX8" s="330" t="s">
        <v>336</v>
      </c>
    </row>
    <row r="9" spans="1:102" hidden="1" x14ac:dyDescent="0.25">
      <c r="A9" s="329" t="s">
        <v>341</v>
      </c>
      <c r="B9" s="329" t="s">
        <v>342</v>
      </c>
      <c r="C9" s="332" t="s">
        <v>334</v>
      </c>
      <c r="E9" s="333" t="s">
        <v>343</v>
      </c>
      <c r="F9" s="334" t="s">
        <v>344</v>
      </c>
      <c r="G9" s="332" t="s">
        <v>345</v>
      </c>
      <c r="I9" s="332" t="s">
        <v>341</v>
      </c>
      <c r="J9" s="332" t="s">
        <v>342</v>
      </c>
      <c r="K9" s="332" t="s">
        <v>334</v>
      </c>
      <c r="M9" s="333" t="s">
        <v>343</v>
      </c>
      <c r="N9" s="334" t="s">
        <v>344</v>
      </c>
      <c r="O9" s="332" t="s">
        <v>345</v>
      </c>
      <c r="Q9" s="332" t="s">
        <v>341</v>
      </c>
      <c r="R9" s="332" t="s">
        <v>342</v>
      </c>
      <c r="S9" s="332" t="s">
        <v>334</v>
      </c>
      <c r="U9" s="333" t="s">
        <v>343</v>
      </c>
      <c r="V9" s="332" t="s">
        <v>344</v>
      </c>
      <c r="W9" s="332" t="s">
        <v>345</v>
      </c>
      <c r="Y9" s="332" t="s">
        <v>341</v>
      </c>
      <c r="Z9" s="332" t="s">
        <v>342</v>
      </c>
      <c r="AA9" s="332" t="s">
        <v>334</v>
      </c>
      <c r="AC9" s="333" t="s">
        <v>343</v>
      </c>
      <c r="AD9" s="332" t="s">
        <v>344</v>
      </c>
      <c r="AE9" s="332" t="s">
        <v>345</v>
      </c>
      <c r="AG9" s="332" t="s">
        <v>341</v>
      </c>
      <c r="AH9" s="332" t="s">
        <v>342</v>
      </c>
      <c r="AI9" s="332" t="s">
        <v>334</v>
      </c>
      <c r="AK9" s="333" t="s">
        <v>343</v>
      </c>
      <c r="AL9" s="332" t="s">
        <v>344</v>
      </c>
      <c r="AM9" s="332" t="s">
        <v>345</v>
      </c>
      <c r="AN9" s="332"/>
      <c r="AO9" s="332" t="s">
        <v>341</v>
      </c>
      <c r="AP9" s="332" t="s">
        <v>342</v>
      </c>
      <c r="AQ9" s="332" t="s">
        <v>334</v>
      </c>
      <c r="AS9" s="333" t="s">
        <v>343</v>
      </c>
      <c r="AT9" s="332" t="s">
        <v>344</v>
      </c>
      <c r="AU9" s="332" t="s">
        <v>345</v>
      </c>
      <c r="AV9" s="332"/>
      <c r="AW9" s="332" t="s">
        <v>341</v>
      </c>
      <c r="AX9" s="332" t="s">
        <v>342</v>
      </c>
      <c r="AY9" s="332" t="s">
        <v>334</v>
      </c>
      <c r="BA9" s="333" t="s">
        <v>343</v>
      </c>
      <c r="BB9" s="332" t="s">
        <v>344</v>
      </c>
      <c r="BC9" s="332" t="s">
        <v>345</v>
      </c>
      <c r="BD9" s="332"/>
      <c r="BE9" s="335">
        <v>33871</v>
      </c>
      <c r="BF9" s="335">
        <v>33876</v>
      </c>
      <c r="BG9" s="317">
        <f t="shared" ref="BG9:BG72" si="0">BF9-BE9</f>
        <v>5</v>
      </c>
      <c r="BH9" s="336">
        <v>3.3300000000000003E-2</v>
      </c>
      <c r="BI9" s="337">
        <f t="shared" ref="BI9:BI25" si="1">ROUND($BI$5*BH9*BG9/366,2)</f>
        <v>13647.54</v>
      </c>
      <c r="BJ9" s="338"/>
      <c r="BL9" s="338"/>
      <c r="BM9" s="338"/>
      <c r="BO9" s="335">
        <v>35829</v>
      </c>
      <c r="BP9" s="335">
        <v>35831</v>
      </c>
      <c r="BQ9" s="317">
        <f t="shared" ref="BQ9:BQ72" si="2">BP9-BO9</f>
        <v>2</v>
      </c>
      <c r="BR9" s="336">
        <v>3.5299999999999998E-2</v>
      </c>
      <c r="BS9" s="337">
        <f t="shared" ref="BS9:BS54" si="3">ROUND($BS$5*BR9*BQ9/365,2)</f>
        <v>3288.22</v>
      </c>
      <c r="BT9" s="338"/>
      <c r="BW9" s="335">
        <v>36047</v>
      </c>
      <c r="BX9" s="335">
        <v>36048</v>
      </c>
      <c r="BY9" s="317">
        <f t="shared" ref="BY9:BY72" si="4">BX9-BW9</f>
        <v>1</v>
      </c>
      <c r="BZ9" s="336">
        <v>2.7900000000000001E-2</v>
      </c>
      <c r="CA9" s="337">
        <f t="shared" ref="CA9:CA72" si="5">ROUND($CA$5*BZ9*BY9/365,2)</f>
        <v>3821.92</v>
      </c>
      <c r="CB9" s="338"/>
      <c r="CD9" s="335">
        <v>36049</v>
      </c>
      <c r="CE9" s="335">
        <v>36055</v>
      </c>
      <c r="CF9" s="317">
        <f t="shared" ref="CF9:CF72" si="6">CE9-CD9</f>
        <v>6</v>
      </c>
      <c r="CG9" s="336">
        <v>3.3000000000000002E-2</v>
      </c>
      <c r="CH9" s="337">
        <f t="shared" ref="CH9:CH72" si="7">ROUND($CA$5*CG9*CF9/365,2)</f>
        <v>27123.29</v>
      </c>
      <c r="CI9" s="338"/>
      <c r="CL9" s="335">
        <v>36747</v>
      </c>
      <c r="CM9" s="335">
        <v>36748</v>
      </c>
      <c r="CN9" s="317">
        <f t="shared" ref="CN9:CN72" si="8">CM9-CL9</f>
        <v>1</v>
      </c>
      <c r="CO9" s="336">
        <v>3.9899999999999998E-2</v>
      </c>
      <c r="CP9" s="336"/>
      <c r="CQ9" s="336"/>
      <c r="CR9" s="336"/>
      <c r="CS9" s="336"/>
      <c r="CT9" s="336"/>
      <c r="CU9" s="336"/>
      <c r="CV9" s="337">
        <f>ROUND($CR$5*CO9*CN9/366,6)</f>
        <v>9084.8811480000004</v>
      </c>
      <c r="CW9" s="338"/>
    </row>
    <row r="10" spans="1:102" hidden="1" x14ac:dyDescent="0.25">
      <c r="A10" s="335">
        <v>33864</v>
      </c>
      <c r="B10" s="335">
        <v>33871</v>
      </c>
      <c r="C10" s="317">
        <f t="shared" ref="C10:C73" si="9">B10-A10</f>
        <v>7</v>
      </c>
      <c r="D10" s="317"/>
      <c r="E10" s="336">
        <v>2.9260000000000001E-2</v>
      </c>
      <c r="F10" s="339">
        <f>E10</f>
        <v>2.9260000000000001E-2</v>
      </c>
      <c r="G10" s="317">
        <v>26.4</v>
      </c>
      <c r="I10" s="335">
        <v>33864</v>
      </c>
      <c r="J10" s="335">
        <v>33876</v>
      </c>
      <c r="K10" s="317">
        <f t="shared" ref="K10:K73" si="10">J10-I10</f>
        <v>12</v>
      </c>
      <c r="L10" s="317"/>
      <c r="M10" s="336">
        <v>2.9050000000000003E-2</v>
      </c>
      <c r="N10" s="339">
        <f>M10</f>
        <v>2.9050000000000003E-2</v>
      </c>
      <c r="O10" s="316">
        <v>49.2</v>
      </c>
      <c r="Q10" s="335">
        <v>34212</v>
      </c>
      <c r="R10" s="335">
        <v>34219</v>
      </c>
      <c r="S10" s="317">
        <f t="shared" ref="S10:S73" si="11">R10-Q10</f>
        <v>7</v>
      </c>
      <c r="T10" s="317"/>
      <c r="U10" s="336">
        <v>2.5500000000000002E-2</v>
      </c>
      <c r="V10" s="339">
        <f>U10</f>
        <v>2.5500000000000002E-2</v>
      </c>
      <c r="W10" s="340">
        <v>7</v>
      </c>
      <c r="Y10" s="335">
        <v>35340</v>
      </c>
      <c r="Z10" s="335">
        <v>35405</v>
      </c>
      <c r="AA10" s="317">
        <f t="shared" ref="AA10:AA73" si="12">Z10-Y10</f>
        <v>65</v>
      </c>
      <c r="AB10" s="317"/>
      <c r="AC10" s="336">
        <v>3.5900000000000001E-2</v>
      </c>
      <c r="AD10" s="339">
        <f>AC10</f>
        <v>3.5900000000000001E-2</v>
      </c>
      <c r="AE10" s="340">
        <v>96.6</v>
      </c>
      <c r="AG10" s="335">
        <v>35340</v>
      </c>
      <c r="AH10" s="335">
        <v>35411</v>
      </c>
      <c r="AI10" s="317">
        <f t="shared" ref="AI10:AI73" si="13">AH10-AG10</f>
        <v>71</v>
      </c>
      <c r="AJ10" s="317"/>
      <c r="AK10" s="336">
        <v>3.5729999999999998E-2</v>
      </c>
      <c r="AL10" s="339">
        <f>AK10</f>
        <v>3.5729999999999998E-2</v>
      </c>
      <c r="AM10" s="340">
        <v>120.6</v>
      </c>
      <c r="AN10" s="340"/>
      <c r="AO10" s="335">
        <v>35747</v>
      </c>
      <c r="AP10" s="335">
        <v>35816</v>
      </c>
      <c r="AQ10" s="317">
        <f t="shared" ref="AQ10:AQ41" si="14">AP10-AO10</f>
        <v>69</v>
      </c>
      <c r="AR10" s="317"/>
      <c r="AS10" s="336">
        <v>3.9E-2</v>
      </c>
      <c r="AT10" s="339">
        <f>AS10</f>
        <v>3.9E-2</v>
      </c>
      <c r="AU10" s="340">
        <v>69</v>
      </c>
      <c r="AV10" s="340"/>
      <c r="AW10" s="335">
        <v>35747</v>
      </c>
      <c r="AX10" s="335">
        <v>35748</v>
      </c>
      <c r="AY10" s="317">
        <f t="shared" ref="AY10:AY36" si="15">AX10-AW10</f>
        <v>1</v>
      </c>
      <c r="AZ10" s="317"/>
      <c r="BA10" s="336">
        <v>3.85E-2</v>
      </c>
      <c r="BB10" s="339">
        <f>BA10</f>
        <v>3.85E-2</v>
      </c>
      <c r="BC10" s="340">
        <v>76.400000000000006</v>
      </c>
      <c r="BD10" s="340"/>
      <c r="BE10" s="335">
        <f t="shared" ref="BE10:BE73" si="16">BF9</f>
        <v>33876</v>
      </c>
      <c r="BF10" s="335">
        <v>33878</v>
      </c>
      <c r="BG10" s="317">
        <f t="shared" si="0"/>
        <v>2</v>
      </c>
      <c r="BH10" s="336">
        <v>3.4000000000000002E-2</v>
      </c>
      <c r="BI10" s="337">
        <f t="shared" si="1"/>
        <v>5573.77</v>
      </c>
      <c r="BJ10" s="341">
        <f>SUM(BI10+BI9)</f>
        <v>19221.310000000001</v>
      </c>
      <c r="BK10" s="341">
        <v>17080.599999999999</v>
      </c>
      <c r="BL10" s="341">
        <f>BJ10-BK10</f>
        <v>2140.7100000000028</v>
      </c>
      <c r="BM10" s="341">
        <f>BM9+BL10</f>
        <v>2140.7100000000028</v>
      </c>
      <c r="BO10" s="335">
        <f t="shared" ref="BO10:BO73" si="17">BP9</f>
        <v>35831</v>
      </c>
      <c r="BP10" s="335">
        <v>35838</v>
      </c>
      <c r="BQ10" s="317">
        <f t="shared" si="2"/>
        <v>7</v>
      </c>
      <c r="BR10" s="336">
        <v>3.1800000000000002E-2</v>
      </c>
      <c r="BS10" s="337">
        <f t="shared" si="3"/>
        <v>10367.67</v>
      </c>
      <c r="BT10" s="341" t="s">
        <v>35</v>
      </c>
      <c r="BW10" s="335">
        <f t="shared" ref="BW10:BW73" si="18">BX9</f>
        <v>36048</v>
      </c>
      <c r="BX10" s="335">
        <v>36055</v>
      </c>
      <c r="BY10" s="317">
        <f t="shared" si="4"/>
        <v>7</v>
      </c>
      <c r="BZ10" s="336">
        <v>3.3000000000000002E-2</v>
      </c>
      <c r="CA10" s="337">
        <f t="shared" si="5"/>
        <v>31643.84</v>
      </c>
      <c r="CB10" s="341" t="s">
        <v>35</v>
      </c>
      <c r="CD10" s="335">
        <f t="shared" ref="CD10:CD73" si="19">CE9</f>
        <v>36055</v>
      </c>
      <c r="CE10" s="335">
        <v>36062</v>
      </c>
      <c r="CF10" s="317">
        <f t="shared" si="6"/>
        <v>7</v>
      </c>
      <c r="CG10" s="336">
        <v>3.8100000000000002E-2</v>
      </c>
      <c r="CH10" s="337">
        <f t="shared" si="7"/>
        <v>36534.25</v>
      </c>
      <c r="CI10" s="341" t="s">
        <v>35</v>
      </c>
      <c r="CL10" s="335">
        <f t="shared" ref="CL10:CL73" si="20">CM9</f>
        <v>36748</v>
      </c>
      <c r="CM10" s="335">
        <v>36755</v>
      </c>
      <c r="CN10" s="317">
        <f t="shared" si="8"/>
        <v>7</v>
      </c>
      <c r="CO10" s="336">
        <v>4.19E-2</v>
      </c>
      <c r="CP10" s="336"/>
      <c r="CQ10" s="336"/>
      <c r="CR10" s="336"/>
      <c r="CS10" s="336"/>
      <c r="CT10" s="336"/>
      <c r="CU10" s="336"/>
      <c r="CV10" s="337">
        <f>ROUND($CR$5*CO10*CN10/366,6)</f>
        <v>66781.845627999995</v>
      </c>
      <c r="CW10" s="341" t="s">
        <v>35</v>
      </c>
    </row>
    <row r="11" spans="1:102" hidden="1" x14ac:dyDescent="0.25">
      <c r="A11" s="335">
        <f t="shared" ref="A11:A74" si="21">B10</f>
        <v>33871</v>
      </c>
      <c r="B11" s="335">
        <v>33872</v>
      </c>
      <c r="C11" s="317">
        <f t="shared" si="9"/>
        <v>1</v>
      </c>
      <c r="D11" s="317"/>
      <c r="E11" s="336">
        <v>2.962E-2</v>
      </c>
      <c r="F11" s="339">
        <f>ROUND(((F10*C10)+(E11*C11))/SUM($C$10:C11),5)</f>
        <v>2.9309999999999999E-2</v>
      </c>
      <c r="G11" s="317">
        <v>43.5</v>
      </c>
      <c r="I11" s="335">
        <f t="shared" ref="I11:I74" si="22">J10</f>
        <v>33876</v>
      </c>
      <c r="J11" s="335">
        <v>33882</v>
      </c>
      <c r="K11" s="317">
        <f t="shared" si="10"/>
        <v>6</v>
      </c>
      <c r="L11" s="317"/>
      <c r="M11" s="336">
        <v>2.9000000000000001E-2</v>
      </c>
      <c r="N11" s="339">
        <f>ROUND(((N10*K10)+(M11*K11))/SUM($K$10:K11),5)</f>
        <v>2.903E-2</v>
      </c>
      <c r="O11" s="317">
        <v>51.1</v>
      </c>
      <c r="Q11" s="335">
        <f t="shared" ref="Q11:Q74" si="23">R10</f>
        <v>34219</v>
      </c>
      <c r="R11" s="335">
        <v>34220</v>
      </c>
      <c r="S11" s="317">
        <f t="shared" si="11"/>
        <v>1</v>
      </c>
      <c r="T11" s="317"/>
      <c r="U11" s="336">
        <v>2.3300000000000001E-2</v>
      </c>
      <c r="V11" s="339">
        <f>ROUND(((V10*S10)+(U11*S11))/SUM($S$10:S11),5)</f>
        <v>2.5229999999999999E-2</v>
      </c>
      <c r="W11" s="317">
        <v>21.6</v>
      </c>
      <c r="Y11" s="335">
        <f t="shared" ref="Y11:Y74" si="24">Z10</f>
        <v>35405</v>
      </c>
      <c r="Z11" s="335">
        <v>35408</v>
      </c>
      <c r="AA11" s="317">
        <f t="shared" si="12"/>
        <v>3</v>
      </c>
      <c r="AB11" s="317"/>
      <c r="AC11" s="336">
        <v>3.5990000000000001E-2</v>
      </c>
      <c r="AD11" s="339">
        <f>ROUND(((AD10*AA10)+(AC11*AA11))/SUM($AA$10:AA11),5)</f>
        <v>3.5900000000000001E-2</v>
      </c>
      <c r="AE11" s="317">
        <v>90.5</v>
      </c>
      <c r="AG11" s="335">
        <f t="shared" ref="AG11:AG74" si="25">AH10</f>
        <v>35411</v>
      </c>
      <c r="AH11" s="335">
        <v>35502</v>
      </c>
      <c r="AI11" s="317">
        <f t="shared" si="13"/>
        <v>91</v>
      </c>
      <c r="AJ11" s="317"/>
      <c r="AK11" s="336">
        <v>3.5680000000000003E-2</v>
      </c>
      <c r="AL11" s="339">
        <f>ROUND(((AL10*AI10)+(AK11*AI11))/SUM($AI$10:AI11),5)</f>
        <v>3.5700000000000003E-2</v>
      </c>
      <c r="AM11" s="317">
        <v>130.19999999999999</v>
      </c>
      <c r="AN11" s="317"/>
      <c r="AO11" s="335">
        <f t="shared" ref="AO11:AO74" si="26">AP10</f>
        <v>35816</v>
      </c>
      <c r="AP11" s="335">
        <v>35933</v>
      </c>
      <c r="AQ11" s="317">
        <f t="shared" si="14"/>
        <v>117</v>
      </c>
      <c r="AR11" s="317"/>
      <c r="AS11" s="336">
        <v>3.6499999999999998E-2</v>
      </c>
      <c r="AT11" s="339">
        <f>ROUND(((AT10*AQ10)+(AS11*AQ11))/SUM($AQ$10:AQ11),5)</f>
        <v>3.7429999999999998E-2</v>
      </c>
      <c r="AU11" s="342">
        <v>118.7</v>
      </c>
      <c r="AV11" s="317"/>
      <c r="AW11" s="335">
        <f t="shared" ref="AW11:AW57" si="27">AX10</f>
        <v>35748</v>
      </c>
      <c r="AX11" s="335">
        <v>35839</v>
      </c>
      <c r="AY11" s="317">
        <f t="shared" si="15"/>
        <v>91</v>
      </c>
      <c r="AZ11" s="317"/>
      <c r="BA11" s="336">
        <v>3.85E-2</v>
      </c>
      <c r="BB11" s="339">
        <f>ROUND(((BB10*AY10)+(BA11*AY11))/SUM($AY$10:AY11),5)</f>
        <v>3.85E-2</v>
      </c>
      <c r="BC11" s="343">
        <v>115</v>
      </c>
      <c r="BD11" s="317"/>
      <c r="BE11" s="335">
        <f t="shared" si="16"/>
        <v>33878</v>
      </c>
      <c r="BF11" s="335">
        <v>33883</v>
      </c>
      <c r="BG11" s="317">
        <f t="shared" si="0"/>
        <v>5</v>
      </c>
      <c r="BH11" s="336">
        <v>3.4000000000000002E-2</v>
      </c>
      <c r="BI11" s="337">
        <f t="shared" si="1"/>
        <v>13934.43</v>
      </c>
      <c r="BJ11" s="341"/>
      <c r="BK11" s="341"/>
      <c r="BL11" s="341"/>
      <c r="BM11" s="341"/>
      <c r="BO11" s="335">
        <f t="shared" si="17"/>
        <v>35838</v>
      </c>
      <c r="BP11" s="335">
        <v>35845</v>
      </c>
      <c r="BQ11" s="317">
        <f t="shared" si="2"/>
        <v>7</v>
      </c>
      <c r="BR11" s="336">
        <v>2.81E-2</v>
      </c>
      <c r="BS11" s="337">
        <f t="shared" si="3"/>
        <v>9161.3700000000008</v>
      </c>
      <c r="BT11" s="341"/>
      <c r="BW11" s="335">
        <f t="shared" si="18"/>
        <v>36055</v>
      </c>
      <c r="BX11" s="335">
        <v>36062</v>
      </c>
      <c r="BY11" s="317">
        <f t="shared" si="4"/>
        <v>7</v>
      </c>
      <c r="BZ11" s="336">
        <v>3.8100000000000002E-2</v>
      </c>
      <c r="CA11" s="337">
        <f t="shared" si="5"/>
        <v>36534.25</v>
      </c>
      <c r="CB11" s="341"/>
      <c r="CD11" s="335">
        <f t="shared" si="19"/>
        <v>36062</v>
      </c>
      <c r="CE11" s="335">
        <v>36069</v>
      </c>
      <c r="CF11" s="317">
        <f t="shared" si="6"/>
        <v>7</v>
      </c>
      <c r="CG11" s="336">
        <v>3.9699999999999999E-2</v>
      </c>
      <c r="CH11" s="337">
        <f t="shared" si="7"/>
        <v>38068.49</v>
      </c>
      <c r="CI11" s="341">
        <f>SUM(CH9:CH11)</f>
        <v>101726.03</v>
      </c>
      <c r="CL11" s="335">
        <f t="shared" si="20"/>
        <v>36755</v>
      </c>
      <c r="CM11" s="335">
        <v>36762</v>
      </c>
      <c r="CN11" s="317">
        <f t="shared" si="8"/>
        <v>7</v>
      </c>
      <c r="CO11" s="336">
        <v>4.19E-2</v>
      </c>
      <c r="CP11" s="336"/>
      <c r="CQ11" s="336"/>
      <c r="CR11" s="336"/>
      <c r="CS11" s="336"/>
      <c r="CT11" s="336"/>
      <c r="CU11" s="336"/>
      <c r="CV11" s="337">
        <f>ROUND($CR$5*CO11*CN11/366,2)</f>
        <v>66781.850000000006</v>
      </c>
      <c r="CW11" s="341" t="s">
        <v>35</v>
      </c>
    </row>
    <row r="12" spans="1:102" hidden="1" x14ac:dyDescent="0.25">
      <c r="A12" s="335">
        <f t="shared" si="21"/>
        <v>33872</v>
      </c>
      <c r="B12" s="335">
        <v>33875</v>
      </c>
      <c r="C12" s="317">
        <f t="shared" si="9"/>
        <v>3</v>
      </c>
      <c r="D12" s="317"/>
      <c r="E12" s="336">
        <v>2.9659999999999999E-2</v>
      </c>
      <c r="F12" s="339">
        <f>ROUND(((F11*SUM($C$10:C11))+(E12*C12))/SUM($C$10:C12),5)</f>
        <v>2.9409999999999999E-2</v>
      </c>
      <c r="G12" s="317">
        <v>48.5</v>
      </c>
      <c r="I12" s="335">
        <f t="shared" si="22"/>
        <v>33882</v>
      </c>
      <c r="J12" s="335">
        <v>33898</v>
      </c>
      <c r="K12" s="317">
        <f t="shared" si="10"/>
        <v>16</v>
      </c>
      <c r="L12" s="317"/>
      <c r="M12" s="336">
        <v>2.7550000000000002E-2</v>
      </c>
      <c r="N12" s="339">
        <f>ROUND(((N11*SUM($K$10:K11))+(M12*K12))/SUM($K$10:K12),5)</f>
        <v>2.8330000000000001E-2</v>
      </c>
      <c r="O12" s="317">
        <v>55.1</v>
      </c>
      <c r="Q12" s="335">
        <f t="shared" si="23"/>
        <v>34220</v>
      </c>
      <c r="R12" s="335">
        <v>34239</v>
      </c>
      <c r="S12" s="317">
        <f t="shared" si="11"/>
        <v>19</v>
      </c>
      <c r="U12" s="336">
        <v>2.317E-2</v>
      </c>
      <c r="V12" s="339">
        <f>ROUND(((V11*SUM($S$10:S11))+(U12*S12))/SUM($S$10:S12),5)</f>
        <v>2.3779999999999999E-2</v>
      </c>
      <c r="W12" s="340">
        <v>38</v>
      </c>
      <c r="Y12" s="335">
        <f t="shared" si="24"/>
        <v>35408</v>
      </c>
      <c r="Z12" s="335">
        <v>35436</v>
      </c>
      <c r="AA12" s="317">
        <f t="shared" si="12"/>
        <v>28</v>
      </c>
      <c r="AC12" s="336">
        <v>3.5999999999999997E-2</v>
      </c>
      <c r="AD12" s="339">
        <f>ROUND(((AD11*SUM($AA$10:AA11))+(AC12*AA12))/SUM($AA$10:AA12),5)</f>
        <v>3.5929999999999997E-2</v>
      </c>
      <c r="AE12" s="340">
        <v>93</v>
      </c>
      <c r="AG12" s="335">
        <f t="shared" si="25"/>
        <v>35502</v>
      </c>
      <c r="AH12" s="335">
        <v>35503</v>
      </c>
      <c r="AI12" s="317">
        <f t="shared" si="13"/>
        <v>1</v>
      </c>
      <c r="AK12" s="336">
        <v>3.5000000000000003E-2</v>
      </c>
      <c r="AL12" s="339">
        <f>ROUND(((AL11*SUM($AI$10:AI11))+(AK12*AI12))/SUM($AI$10:AI12),5)</f>
        <v>3.5700000000000003E-2</v>
      </c>
      <c r="AM12" s="340">
        <v>141.1</v>
      </c>
      <c r="AN12" s="340"/>
      <c r="AO12" s="335">
        <f t="shared" si="26"/>
        <v>35933</v>
      </c>
      <c r="AP12" s="335">
        <v>35936</v>
      </c>
      <c r="AQ12" s="317">
        <f t="shared" si="14"/>
        <v>3</v>
      </c>
      <c r="AS12" s="336">
        <v>3.703E-2</v>
      </c>
      <c r="AT12" s="339">
        <f>ROUND(((AT11*SUM($AQ$10:AQ11))+(AS12*AQ12))/SUM($AQ$10:AQ12),5)</f>
        <v>3.7420000000000002E-2</v>
      </c>
      <c r="AU12" s="340">
        <v>106.3</v>
      </c>
      <c r="AV12" s="340"/>
      <c r="AW12" s="335">
        <f t="shared" si="27"/>
        <v>35839</v>
      </c>
      <c r="AX12" s="344">
        <v>35880</v>
      </c>
      <c r="AY12" s="317">
        <f t="shared" si="15"/>
        <v>41</v>
      </c>
      <c r="BA12" s="336">
        <v>3.7449999999999997E-2</v>
      </c>
      <c r="BB12" s="339">
        <f>ROUND(((BB11*SUM($AY$10:AY11))+(BA12*AY12))/SUM($AY$10:AY12),5)</f>
        <v>3.8179999999999999E-2</v>
      </c>
      <c r="BC12" s="340">
        <v>96.1</v>
      </c>
      <c r="BD12" s="340"/>
      <c r="BE12" s="335">
        <f t="shared" si="16"/>
        <v>33883</v>
      </c>
      <c r="BF12" s="335">
        <v>33890</v>
      </c>
      <c r="BG12" s="317">
        <f t="shared" si="0"/>
        <v>7</v>
      </c>
      <c r="BH12" s="336">
        <v>2.4800000000000003E-2</v>
      </c>
      <c r="BI12" s="337">
        <f t="shared" si="1"/>
        <v>14229.51</v>
      </c>
      <c r="BJ12" s="341"/>
      <c r="BK12" s="341"/>
      <c r="BL12" s="341"/>
      <c r="BM12" s="341"/>
      <c r="BO12" s="335">
        <f t="shared" si="17"/>
        <v>35845</v>
      </c>
      <c r="BP12" s="335">
        <v>35852</v>
      </c>
      <c r="BQ12" s="317">
        <f t="shared" si="2"/>
        <v>7</v>
      </c>
      <c r="BR12" s="336">
        <v>3.1899999999999998E-2</v>
      </c>
      <c r="BS12" s="337">
        <f t="shared" si="3"/>
        <v>10400.27</v>
      </c>
      <c r="BT12" s="341"/>
      <c r="BW12" s="335">
        <f t="shared" si="18"/>
        <v>36062</v>
      </c>
      <c r="BX12" s="335">
        <v>36069</v>
      </c>
      <c r="BY12" s="317">
        <f t="shared" si="4"/>
        <v>7</v>
      </c>
      <c r="BZ12" s="336">
        <v>3.9699999999999999E-2</v>
      </c>
      <c r="CA12" s="337">
        <f t="shared" si="5"/>
        <v>38068.49</v>
      </c>
      <c r="CB12" s="341">
        <f>SUM(CA9:CA12)</f>
        <v>110068.5</v>
      </c>
      <c r="CD12" s="335">
        <f t="shared" si="19"/>
        <v>36069</v>
      </c>
      <c r="CE12" s="335">
        <v>36076</v>
      </c>
      <c r="CF12" s="317">
        <f t="shared" si="6"/>
        <v>7</v>
      </c>
      <c r="CG12" s="336">
        <v>3.56E-2</v>
      </c>
      <c r="CH12" s="337">
        <f t="shared" si="7"/>
        <v>34136.99</v>
      </c>
      <c r="CI12" s="341" t="s">
        <v>35</v>
      </c>
      <c r="CL12" s="335">
        <f t="shared" si="20"/>
        <v>36762</v>
      </c>
      <c r="CM12" s="335">
        <v>36769</v>
      </c>
      <c r="CN12" s="317">
        <f t="shared" si="8"/>
        <v>7</v>
      </c>
      <c r="CO12" s="336">
        <v>4.19E-2</v>
      </c>
      <c r="CP12" s="336"/>
      <c r="CQ12" s="336"/>
      <c r="CR12" s="336"/>
      <c r="CS12" s="336"/>
      <c r="CT12" s="336"/>
      <c r="CU12" s="336"/>
      <c r="CV12" s="337">
        <f>ROUND($CR$5*CO12*CN12/366,2)</f>
        <v>66781.850000000006</v>
      </c>
      <c r="CW12" s="341" t="s">
        <v>35</v>
      </c>
    </row>
    <row r="13" spans="1:102" hidden="1" x14ac:dyDescent="0.25">
      <c r="A13" s="335">
        <f t="shared" si="21"/>
        <v>33875</v>
      </c>
      <c r="B13" s="335">
        <v>33878</v>
      </c>
      <c r="C13" s="317">
        <f t="shared" si="9"/>
        <v>3</v>
      </c>
      <c r="D13" s="317"/>
      <c r="E13" s="336">
        <v>2.9530000000000001E-2</v>
      </c>
      <c r="F13" s="339">
        <f>ROUND(((F12*SUM($C$10:C12))+(E13*C13))/SUM($C$10:C13),5)</f>
        <v>2.9440000000000001E-2</v>
      </c>
      <c r="G13" s="317">
        <v>56.4</v>
      </c>
      <c r="I13" s="335">
        <f t="shared" si="22"/>
        <v>33898</v>
      </c>
      <c r="J13" s="335">
        <v>33907</v>
      </c>
      <c r="K13" s="317">
        <f t="shared" si="10"/>
        <v>9</v>
      </c>
      <c r="L13" s="317"/>
      <c r="M13" s="336">
        <v>2.7200000000000002E-2</v>
      </c>
      <c r="N13" s="339">
        <f>ROUND(((N12*SUM($K$10:K12))+(M13*K13))/SUM($K$10:K13),5)</f>
        <v>2.809E-2</v>
      </c>
      <c r="O13" s="317">
        <v>57.9</v>
      </c>
      <c r="Q13" s="335">
        <f t="shared" si="23"/>
        <v>34239</v>
      </c>
      <c r="R13" s="335">
        <v>34246</v>
      </c>
      <c r="S13" s="317">
        <f t="shared" si="11"/>
        <v>7</v>
      </c>
      <c r="U13" s="336">
        <v>2.496E-2</v>
      </c>
      <c r="V13" s="339">
        <f>ROUND(((V12*SUM($S$10:S12))+(U13*S13))/SUM($S$10:S13),5)</f>
        <v>2.402E-2</v>
      </c>
      <c r="W13" s="340">
        <v>49.3</v>
      </c>
      <c r="Y13" s="335">
        <f t="shared" si="24"/>
        <v>35436</v>
      </c>
      <c r="Z13" s="345">
        <v>35437</v>
      </c>
      <c r="AA13" s="317">
        <f t="shared" si="12"/>
        <v>1</v>
      </c>
      <c r="AC13" s="346">
        <v>3.5999999999999997E-2</v>
      </c>
      <c r="AD13" s="339">
        <f>ROUND(((AD12*SUM($AA$10:AA12))+(AC13*AA13))/SUM($AA$10:AA13),5)</f>
        <v>3.5929999999999997E-2</v>
      </c>
      <c r="AE13" s="316">
        <v>90.3</v>
      </c>
      <c r="AG13" s="335">
        <f t="shared" si="25"/>
        <v>35503</v>
      </c>
      <c r="AH13" s="345">
        <v>35506</v>
      </c>
      <c r="AI13" s="317">
        <f t="shared" si="13"/>
        <v>3</v>
      </c>
      <c r="AK13" s="346">
        <v>3.483E-2</v>
      </c>
      <c r="AL13" s="339">
        <f>ROUND(((AL12*SUM($AI$10:AI12))+(AK13*AI13))/SUM($AI$10:AI13),5)</f>
        <v>3.5680000000000003E-2</v>
      </c>
      <c r="AM13" s="316">
        <v>100.6</v>
      </c>
      <c r="AO13" s="335">
        <f t="shared" si="26"/>
        <v>35936</v>
      </c>
      <c r="AP13" s="345">
        <v>35937</v>
      </c>
      <c r="AQ13" s="317">
        <f t="shared" si="14"/>
        <v>1</v>
      </c>
      <c r="AS13" s="347">
        <v>3.8109999999999998E-2</v>
      </c>
      <c r="AT13" s="339">
        <f>ROUND(((AT12*SUM($AQ$10:AQ12))+(AS13*AQ13))/SUM($AQ$10:AQ13),5)</f>
        <v>3.7420000000000002E-2</v>
      </c>
      <c r="AU13" s="316">
        <v>48.9</v>
      </c>
      <c r="AW13" s="335">
        <f t="shared" si="27"/>
        <v>35880</v>
      </c>
      <c r="AX13" s="345">
        <v>35886</v>
      </c>
      <c r="AY13" s="317">
        <f t="shared" si="15"/>
        <v>6</v>
      </c>
      <c r="BA13" s="346">
        <v>3.5970000000000002E-2</v>
      </c>
      <c r="BB13" s="339">
        <f>ROUND(((BB12*SUM($AY$10:AY12))+(BA13*AY13))/SUM($AY$10:AY13),5)</f>
        <v>3.8080000000000003E-2</v>
      </c>
      <c r="BC13" s="348">
        <v>115</v>
      </c>
      <c r="BE13" s="335">
        <f t="shared" si="16"/>
        <v>33890</v>
      </c>
      <c r="BF13" s="335">
        <v>33897</v>
      </c>
      <c r="BG13" s="317">
        <f t="shared" si="0"/>
        <v>7</v>
      </c>
      <c r="BH13" s="336">
        <v>2.35E-2</v>
      </c>
      <c r="BI13" s="337">
        <f t="shared" si="1"/>
        <v>13483.61</v>
      </c>
      <c r="BJ13" s="341"/>
      <c r="BK13" s="341"/>
      <c r="BL13" s="341"/>
      <c r="BM13" s="341"/>
      <c r="BO13" s="335">
        <f t="shared" si="17"/>
        <v>35852</v>
      </c>
      <c r="BP13" s="335">
        <v>35855</v>
      </c>
      <c r="BQ13" s="317">
        <f t="shared" si="2"/>
        <v>3</v>
      </c>
      <c r="BR13" s="336">
        <v>3.4099999999999998E-2</v>
      </c>
      <c r="BS13" s="337">
        <f t="shared" si="3"/>
        <v>4764.66</v>
      </c>
      <c r="BT13" s="341">
        <f>SUM(BS9:BS13)</f>
        <v>37982.19</v>
      </c>
      <c r="BW13" s="335">
        <f t="shared" si="18"/>
        <v>36069</v>
      </c>
      <c r="BX13" s="335">
        <v>36076</v>
      </c>
      <c r="BY13" s="317">
        <f t="shared" si="4"/>
        <v>7</v>
      </c>
      <c r="BZ13" s="336">
        <v>3.56E-2</v>
      </c>
      <c r="CA13" s="337">
        <f t="shared" si="5"/>
        <v>34136.99</v>
      </c>
      <c r="CB13" s="341" t="s">
        <v>35</v>
      </c>
      <c r="CD13" s="335">
        <f t="shared" si="19"/>
        <v>36076</v>
      </c>
      <c r="CE13" s="335">
        <v>36083</v>
      </c>
      <c r="CF13" s="317">
        <f t="shared" si="6"/>
        <v>7</v>
      </c>
      <c r="CG13" s="336">
        <v>3.2099999999999997E-2</v>
      </c>
      <c r="CH13" s="337">
        <f t="shared" si="7"/>
        <v>30780.82</v>
      </c>
      <c r="CI13" s="341" t="s">
        <v>35</v>
      </c>
      <c r="CL13" s="335">
        <f t="shared" si="20"/>
        <v>36769</v>
      </c>
      <c r="CM13" s="335">
        <v>36770</v>
      </c>
      <c r="CN13" s="317">
        <f t="shared" si="8"/>
        <v>1</v>
      </c>
      <c r="CO13" s="336">
        <v>4.2299999999999997E-2</v>
      </c>
      <c r="CP13" s="336"/>
      <c r="CQ13" s="336"/>
      <c r="CR13" s="336"/>
      <c r="CS13" s="336"/>
      <c r="CT13" s="336"/>
      <c r="CU13" s="336"/>
      <c r="CV13" s="337">
        <f>ROUND($CR$5*CO13*CN13/366,2)</f>
        <v>9631.34</v>
      </c>
      <c r="CW13" s="341">
        <f>SUM(CV9:CV13)</f>
        <v>219061.766776</v>
      </c>
    </row>
    <row r="14" spans="1:102" hidden="1" x14ac:dyDescent="0.25">
      <c r="A14" s="335">
        <f t="shared" si="21"/>
        <v>33878</v>
      </c>
      <c r="B14" s="335">
        <v>33892</v>
      </c>
      <c r="C14" s="317">
        <f t="shared" si="9"/>
        <v>14</v>
      </c>
      <c r="D14" s="317"/>
      <c r="E14" s="336">
        <v>2.946E-2</v>
      </c>
      <c r="F14" s="339">
        <f>ROUND(((F13*SUM($C$10:C13))+(E14*C14))/SUM($C$10:C14),5)</f>
        <v>2.945E-2</v>
      </c>
      <c r="G14" s="317">
        <v>57.4</v>
      </c>
      <c r="I14" s="335">
        <f t="shared" si="22"/>
        <v>33907</v>
      </c>
      <c r="J14" s="335">
        <v>33912</v>
      </c>
      <c r="K14" s="317">
        <f t="shared" si="10"/>
        <v>5</v>
      </c>
      <c r="L14" s="317"/>
      <c r="M14" s="336">
        <v>2.7119999999999998E-2</v>
      </c>
      <c r="N14" s="339">
        <f>ROUND(((N13*SUM($K$10:K13))+(M14*K14))/SUM($K$10:K14),5)</f>
        <v>2.7990000000000001E-2</v>
      </c>
      <c r="O14" s="317">
        <v>55.3</v>
      </c>
      <c r="Q14" s="335">
        <f t="shared" si="23"/>
        <v>34246</v>
      </c>
      <c r="R14" s="335">
        <v>34247</v>
      </c>
      <c r="S14" s="317">
        <f t="shared" si="11"/>
        <v>1</v>
      </c>
      <c r="U14" s="336">
        <v>2.494E-2</v>
      </c>
      <c r="V14" s="339">
        <f>ROUND(((V13*SUM($S$10:S13))+(U14*S14))/SUM($S$10:S14),5)</f>
        <v>2.4049999999999998E-2</v>
      </c>
      <c r="W14" s="340">
        <v>49.2</v>
      </c>
      <c r="Y14" s="335">
        <f t="shared" si="24"/>
        <v>35437</v>
      </c>
      <c r="Z14" s="345">
        <v>35438</v>
      </c>
      <c r="AA14" s="317">
        <f t="shared" si="12"/>
        <v>1</v>
      </c>
      <c r="AC14" s="346">
        <v>3.5950000000000003E-2</v>
      </c>
      <c r="AD14" s="339">
        <f>ROUND(((AD13*SUM($AA$10:AA13))+(AC14*AA14))/SUM($AA$10:AA14),5)</f>
        <v>3.5929999999999997E-2</v>
      </c>
      <c r="AE14" s="316">
        <v>91.8</v>
      </c>
      <c r="AG14" s="335">
        <f t="shared" si="25"/>
        <v>35506</v>
      </c>
      <c r="AH14" s="345">
        <v>35507</v>
      </c>
      <c r="AI14" s="317">
        <f t="shared" si="13"/>
        <v>1</v>
      </c>
      <c r="AK14" s="346">
        <v>3.4889999999999997E-2</v>
      </c>
      <c r="AL14" s="339">
        <f>ROUND(((AL13*SUM($AI$10:AI13))+(AK14*AI14))/SUM($AI$10:AI14),5)</f>
        <v>3.5680000000000003E-2</v>
      </c>
      <c r="AM14" s="316">
        <v>125.5</v>
      </c>
      <c r="AO14" s="335">
        <f t="shared" si="26"/>
        <v>35937</v>
      </c>
      <c r="AP14" s="345">
        <v>35951</v>
      </c>
      <c r="AQ14" s="317">
        <f t="shared" si="14"/>
        <v>14</v>
      </c>
      <c r="AS14" s="347">
        <v>3.8109999999999998E-2</v>
      </c>
      <c r="AT14" s="339">
        <f>ROUND(((AT13*SUM($AQ$10:AQ13))+(AS14*AQ14))/SUM($AQ$10:AQ14),5)</f>
        <v>3.7470000000000003E-2</v>
      </c>
      <c r="AU14" s="316">
        <v>49.4</v>
      </c>
      <c r="AW14" s="335">
        <f t="shared" si="27"/>
        <v>35886</v>
      </c>
      <c r="AX14" s="345">
        <v>35985</v>
      </c>
      <c r="AY14" s="317">
        <f t="shared" si="15"/>
        <v>99</v>
      </c>
      <c r="BA14" s="346">
        <v>3.6499999999999998E-2</v>
      </c>
      <c r="BB14" s="339">
        <f>ROUND(((BB13*SUM($AY$10:AY13))+(BA14*AY14))/SUM($AY$10:AY14),5)</f>
        <v>3.7420000000000002E-2</v>
      </c>
      <c r="BC14" s="348">
        <v>137.30000000000001</v>
      </c>
      <c r="BE14" s="335">
        <f t="shared" si="16"/>
        <v>33897</v>
      </c>
      <c r="BF14" s="335">
        <v>33904</v>
      </c>
      <c r="BG14" s="317">
        <f t="shared" si="0"/>
        <v>7</v>
      </c>
      <c r="BH14" s="336">
        <v>2.35E-2</v>
      </c>
      <c r="BI14" s="337">
        <f t="shared" si="1"/>
        <v>13483.61</v>
      </c>
      <c r="BJ14" s="341"/>
      <c r="BK14" s="341"/>
      <c r="BL14" s="341"/>
      <c r="BM14" s="341"/>
      <c r="BO14" s="335">
        <f t="shared" si="17"/>
        <v>35855</v>
      </c>
      <c r="BP14" s="335">
        <v>35859</v>
      </c>
      <c r="BQ14" s="317">
        <f t="shared" si="2"/>
        <v>4</v>
      </c>
      <c r="BR14" s="336">
        <v>3.4099999999999998E-2</v>
      </c>
      <c r="BS14" s="337">
        <f t="shared" si="3"/>
        <v>6352.88</v>
      </c>
      <c r="BT14" s="341"/>
      <c r="BW14" s="335">
        <f t="shared" si="18"/>
        <v>36076</v>
      </c>
      <c r="BX14" s="345">
        <v>36083</v>
      </c>
      <c r="BY14" s="317">
        <f t="shared" si="4"/>
        <v>7</v>
      </c>
      <c r="BZ14" s="347">
        <v>3.2099999999999997E-2</v>
      </c>
      <c r="CA14" s="337">
        <f t="shared" si="5"/>
        <v>30780.82</v>
      </c>
      <c r="CD14" s="335">
        <f t="shared" si="19"/>
        <v>36083</v>
      </c>
      <c r="CE14" s="345">
        <v>36090</v>
      </c>
      <c r="CF14" s="317">
        <f t="shared" si="6"/>
        <v>7</v>
      </c>
      <c r="CG14" s="346">
        <v>3.32E-2</v>
      </c>
      <c r="CH14" s="337">
        <f t="shared" si="7"/>
        <v>31835.62</v>
      </c>
      <c r="CL14" s="335">
        <f t="shared" si="20"/>
        <v>36770</v>
      </c>
      <c r="CM14" s="345">
        <v>36776</v>
      </c>
      <c r="CN14" s="317">
        <f t="shared" si="8"/>
        <v>6</v>
      </c>
      <c r="CO14" s="346">
        <v>4.2299999999999997E-2</v>
      </c>
      <c r="CP14" s="346"/>
      <c r="CQ14" s="346"/>
      <c r="CR14" s="346"/>
      <c r="CS14" s="346"/>
      <c r="CT14" s="346"/>
      <c r="CU14" s="346"/>
      <c r="CV14" s="337">
        <f t="shared" ref="CV14:CV34" si="28">ROUND($CR$5*CO14*CN14/366,6)</f>
        <v>57788.040983999999</v>
      </c>
    </row>
    <row r="15" spans="1:102" hidden="1" x14ac:dyDescent="0.25">
      <c r="A15" s="335">
        <f t="shared" si="21"/>
        <v>33892</v>
      </c>
      <c r="B15" s="335">
        <v>33896</v>
      </c>
      <c r="C15" s="317">
        <f t="shared" si="9"/>
        <v>4</v>
      </c>
      <c r="D15" s="317"/>
      <c r="E15" s="336">
        <v>2.938E-2</v>
      </c>
      <c r="F15" s="339">
        <f>ROUND(((F14*SUM($C$10:C14))+(E15*C15))/SUM($C$10:C15),5)</f>
        <v>2.9440000000000001E-2</v>
      </c>
      <c r="G15" s="317">
        <v>55.4</v>
      </c>
      <c r="I15" s="335">
        <f t="shared" si="22"/>
        <v>33912</v>
      </c>
      <c r="J15" s="335">
        <v>33913</v>
      </c>
      <c r="K15" s="317">
        <f t="shared" si="10"/>
        <v>1</v>
      </c>
      <c r="L15" s="317"/>
      <c r="M15" s="336">
        <v>2.7210000000000002E-2</v>
      </c>
      <c r="N15" s="339">
        <f>ROUND(((N14*SUM($K$10:K14))+(M15*K15))/SUM($K$10:K15),5)</f>
        <v>2.7969999999999998E-2</v>
      </c>
      <c r="O15" s="317">
        <v>62.5</v>
      </c>
      <c r="Q15" s="335">
        <f t="shared" si="23"/>
        <v>34247</v>
      </c>
      <c r="R15" s="335">
        <v>34248</v>
      </c>
      <c r="S15" s="317">
        <f t="shared" si="11"/>
        <v>1</v>
      </c>
      <c r="U15" s="336">
        <v>2.494E-2</v>
      </c>
      <c r="V15" s="339">
        <f>ROUND(((V14*SUM($S$10:S14))+(U15*S15))/SUM($S$10:S15),5)</f>
        <v>2.4070000000000001E-2</v>
      </c>
      <c r="W15" s="340">
        <v>49.2</v>
      </c>
      <c r="Y15" s="335">
        <f t="shared" si="24"/>
        <v>35438</v>
      </c>
      <c r="Z15" s="345">
        <v>35439</v>
      </c>
      <c r="AA15" s="317">
        <f t="shared" si="12"/>
        <v>1</v>
      </c>
      <c r="AC15" s="346">
        <v>3.5950000000000003E-2</v>
      </c>
      <c r="AD15" s="339">
        <f>ROUND(((AD14*SUM($AA$10:AA14))+(AC15*AA15))/SUM($AA$10:AA15),5)</f>
        <v>3.5929999999999997E-2</v>
      </c>
      <c r="AE15" s="316">
        <v>91.8</v>
      </c>
      <c r="AG15" s="335">
        <f t="shared" si="25"/>
        <v>35507</v>
      </c>
      <c r="AH15" s="345">
        <v>35508</v>
      </c>
      <c r="AI15" s="317">
        <f t="shared" si="13"/>
        <v>1</v>
      </c>
      <c r="AK15" s="346">
        <v>3.4889999999999997E-2</v>
      </c>
      <c r="AL15" s="339">
        <f>ROUND(((AL14*SUM($AI$10:AI14))+(AK15*AI15))/SUM($AI$10:AI15),5)</f>
        <v>3.5680000000000003E-2</v>
      </c>
      <c r="AM15" s="316">
        <v>125.5</v>
      </c>
      <c r="AO15" s="335">
        <f t="shared" si="26"/>
        <v>35951</v>
      </c>
      <c r="AP15" s="345">
        <v>35962</v>
      </c>
      <c r="AQ15" s="317">
        <f t="shared" si="14"/>
        <v>11</v>
      </c>
      <c r="AS15" s="347">
        <v>3.7470000000000003E-2</v>
      </c>
      <c r="AT15" s="339">
        <f>ROUND(((AT14*SUM($AQ$10:AQ14))+(AS15*AQ15))/SUM($AQ$10:AQ15),5)</f>
        <v>3.7470000000000003E-2</v>
      </c>
      <c r="AU15" s="316">
        <v>92.2</v>
      </c>
      <c r="AW15" s="335">
        <f t="shared" si="27"/>
        <v>35985</v>
      </c>
      <c r="AX15" s="345">
        <v>36046</v>
      </c>
      <c r="AY15" s="317">
        <f t="shared" si="15"/>
        <v>61</v>
      </c>
      <c r="BA15" s="346">
        <v>3.5920000000000001E-2</v>
      </c>
      <c r="BB15" s="339">
        <f>ROUND(((BB14*SUM($AY$10:AY14))+(BA15*AY15))/SUM($AY$10:AY15),5)</f>
        <v>3.7109999999999997E-2</v>
      </c>
      <c r="BC15" s="348">
        <v>133.4</v>
      </c>
      <c r="BE15" s="335">
        <f t="shared" si="16"/>
        <v>33904</v>
      </c>
      <c r="BF15" s="335">
        <v>33909</v>
      </c>
      <c r="BG15" s="317">
        <f t="shared" si="0"/>
        <v>5</v>
      </c>
      <c r="BH15" s="336">
        <v>2.7300000000000001E-2</v>
      </c>
      <c r="BI15" s="337">
        <f t="shared" si="1"/>
        <v>11188.52</v>
      </c>
      <c r="BJ15" s="341">
        <f>SUM(BI11:BI15)</f>
        <v>66319.680000000008</v>
      </c>
      <c r="BK15" s="341">
        <v>73417.53</v>
      </c>
      <c r="BL15" s="341">
        <f>BJ15-BK15</f>
        <v>-7097.8499999999913</v>
      </c>
      <c r="BM15" s="341">
        <f>BM10+BL15</f>
        <v>-4957.1399999999885</v>
      </c>
      <c r="BO15" s="335">
        <f t="shared" si="17"/>
        <v>35859</v>
      </c>
      <c r="BP15" s="345">
        <v>35866</v>
      </c>
      <c r="BQ15" s="317">
        <f t="shared" si="2"/>
        <v>7</v>
      </c>
      <c r="BR15" s="346">
        <v>2.9100000000000001E-2</v>
      </c>
      <c r="BS15" s="337">
        <f t="shared" si="3"/>
        <v>9487.4</v>
      </c>
      <c r="BW15" s="335">
        <f t="shared" si="18"/>
        <v>36083</v>
      </c>
      <c r="BX15" s="345">
        <v>36090</v>
      </c>
      <c r="BY15" s="317">
        <f t="shared" si="4"/>
        <v>7</v>
      </c>
      <c r="BZ15" s="347">
        <v>3.32E-2</v>
      </c>
      <c r="CA15" s="337">
        <f t="shared" si="5"/>
        <v>31835.62</v>
      </c>
      <c r="CD15" s="335">
        <f t="shared" si="19"/>
        <v>36090</v>
      </c>
      <c r="CE15" s="345">
        <v>36097</v>
      </c>
      <c r="CF15" s="317">
        <f t="shared" si="6"/>
        <v>7</v>
      </c>
      <c r="CG15" s="346">
        <v>3.1E-2</v>
      </c>
      <c r="CH15" s="337">
        <f t="shared" si="7"/>
        <v>29726.03</v>
      </c>
      <c r="CL15" s="335">
        <f t="shared" si="20"/>
        <v>36776</v>
      </c>
      <c r="CM15" s="345">
        <v>36783</v>
      </c>
      <c r="CN15" s="317">
        <f t="shared" si="8"/>
        <v>7</v>
      </c>
      <c r="CO15" s="346">
        <v>3.8800000000000001E-2</v>
      </c>
      <c r="CP15" s="346"/>
      <c r="CQ15" s="346"/>
      <c r="CR15" s="346"/>
      <c r="CS15" s="346"/>
      <c r="CT15" s="346"/>
      <c r="CU15" s="346"/>
      <c r="CV15" s="337">
        <f t="shared" si="28"/>
        <v>61840.945355000003</v>
      </c>
    </row>
    <row r="16" spans="1:102" hidden="1" x14ac:dyDescent="0.25">
      <c r="A16" s="335">
        <f t="shared" si="21"/>
        <v>33896</v>
      </c>
      <c r="B16" s="335">
        <v>33897</v>
      </c>
      <c r="C16" s="317">
        <f t="shared" si="9"/>
        <v>1</v>
      </c>
      <c r="D16" s="317"/>
      <c r="E16" s="336">
        <v>2.8729999999999999E-2</v>
      </c>
      <c r="F16" s="339">
        <f>ROUND(((F15*SUM($C$10:C15))+(E16*C16))/SUM($C$10:C16),5)</f>
        <v>2.9420000000000002E-2</v>
      </c>
      <c r="G16" s="317">
        <v>60.4</v>
      </c>
      <c r="I16" s="335">
        <f t="shared" si="22"/>
        <v>33913</v>
      </c>
      <c r="J16" s="335">
        <v>33917</v>
      </c>
      <c r="K16" s="317">
        <f t="shared" si="10"/>
        <v>4</v>
      </c>
      <c r="L16" s="317"/>
      <c r="M16" s="336">
        <v>2.726E-2</v>
      </c>
      <c r="N16" s="339">
        <f>ROUND(((N15*SUM($K$10:K15))+(M16*K16))/SUM($K$10:K16),5)</f>
        <v>2.792E-2</v>
      </c>
      <c r="O16" s="317">
        <v>62.8</v>
      </c>
      <c r="Q16" s="335">
        <f t="shared" si="23"/>
        <v>34248</v>
      </c>
      <c r="R16" s="335">
        <v>34257</v>
      </c>
      <c r="S16" s="317">
        <f t="shared" si="11"/>
        <v>9</v>
      </c>
      <c r="U16" s="336">
        <v>2.4889999999999999E-2</v>
      </c>
      <c r="V16" s="339">
        <f>ROUND(((V15*SUM($S$10:S15))+(U16*S16))/SUM($S$10:S16),5)</f>
        <v>2.4230000000000002E-2</v>
      </c>
      <c r="W16" s="340">
        <v>50.3</v>
      </c>
      <c r="Y16" s="335">
        <f t="shared" si="24"/>
        <v>35439</v>
      </c>
      <c r="Z16" s="345">
        <v>35440</v>
      </c>
      <c r="AA16" s="317">
        <f t="shared" si="12"/>
        <v>1</v>
      </c>
      <c r="AC16" s="346">
        <v>3.5900000000000001E-2</v>
      </c>
      <c r="AD16" s="339">
        <f>ROUND(((AD15*SUM($AA$10:AA15))+(AC16*AA16))/SUM($AA$10:AA16),5)</f>
        <v>3.5929999999999997E-2</v>
      </c>
      <c r="AE16" s="316">
        <v>96.5</v>
      </c>
      <c r="AG16" s="335">
        <f t="shared" si="25"/>
        <v>35508</v>
      </c>
      <c r="AH16" s="345">
        <v>35578</v>
      </c>
      <c r="AI16" s="317">
        <f t="shared" si="13"/>
        <v>70</v>
      </c>
      <c r="AK16" s="346">
        <v>3.5020000000000003E-2</v>
      </c>
      <c r="AL16" s="339">
        <f>ROUND(((AL15*SUM($AI$10:AI15))+(AK16*AI16))/SUM($AI$10:AI16),5)</f>
        <v>3.5490000000000001E-2</v>
      </c>
      <c r="AM16" s="316">
        <v>141.19999999999999</v>
      </c>
      <c r="AO16" s="335">
        <f t="shared" si="26"/>
        <v>35962</v>
      </c>
      <c r="AP16" s="345">
        <v>35978</v>
      </c>
      <c r="AQ16" s="317">
        <f t="shared" si="14"/>
        <v>16</v>
      </c>
      <c r="AS16" s="347">
        <v>3.739E-2</v>
      </c>
      <c r="AT16" s="339">
        <f>ROUND(((AT15*SUM($AQ$10:AQ15))+(AS16*AQ16))/SUM($AQ$10:AQ16),5)</f>
        <v>3.746E-2</v>
      </c>
      <c r="AU16" s="316">
        <v>92.4</v>
      </c>
      <c r="AW16" s="335">
        <f t="shared" si="27"/>
        <v>36046</v>
      </c>
      <c r="AX16" s="345">
        <v>36075</v>
      </c>
      <c r="AY16" s="317">
        <f t="shared" si="15"/>
        <v>29</v>
      </c>
      <c r="BA16" s="346">
        <v>3.4500000000000003E-2</v>
      </c>
      <c r="BB16" s="339">
        <f>ROUND(((BB15*SUM($AY$10:AY15))+(BA16*AY16))/SUM($AY$10:AY16),5)</f>
        <v>3.6880000000000003E-2</v>
      </c>
      <c r="BC16" s="348">
        <v>126.6</v>
      </c>
      <c r="BE16" s="335">
        <f t="shared" si="16"/>
        <v>33909</v>
      </c>
      <c r="BF16" s="335">
        <v>33911</v>
      </c>
      <c r="BG16" s="317">
        <f t="shared" si="0"/>
        <v>2</v>
      </c>
      <c r="BH16" s="336">
        <v>2.7300000000000001E-2</v>
      </c>
      <c r="BI16" s="337">
        <f t="shared" si="1"/>
        <v>4475.41</v>
      </c>
      <c r="BJ16" s="341"/>
      <c r="BK16" s="341"/>
      <c r="BL16" s="341"/>
      <c r="BM16" s="341"/>
      <c r="BO16" s="335">
        <f t="shared" si="17"/>
        <v>35866</v>
      </c>
      <c r="BP16" s="345">
        <v>35873</v>
      </c>
      <c r="BQ16" s="317">
        <f t="shared" si="2"/>
        <v>7</v>
      </c>
      <c r="BR16" s="346">
        <v>2.93E-2</v>
      </c>
      <c r="BS16" s="337">
        <f t="shared" si="3"/>
        <v>9552.6</v>
      </c>
      <c r="BW16" s="335">
        <f t="shared" si="18"/>
        <v>36090</v>
      </c>
      <c r="BX16" s="345">
        <v>36097</v>
      </c>
      <c r="BY16" s="317">
        <f t="shared" si="4"/>
        <v>7</v>
      </c>
      <c r="BZ16" s="347">
        <v>3.1E-2</v>
      </c>
      <c r="CA16" s="337">
        <f t="shared" si="5"/>
        <v>29726.03</v>
      </c>
      <c r="CD16" s="335">
        <f t="shared" si="19"/>
        <v>36097</v>
      </c>
      <c r="CE16" s="345">
        <v>36100</v>
      </c>
      <c r="CF16" s="317">
        <f t="shared" si="6"/>
        <v>3</v>
      </c>
      <c r="CG16" s="346">
        <v>3.1099999999999999E-2</v>
      </c>
      <c r="CH16" s="337">
        <f t="shared" si="7"/>
        <v>12780.82</v>
      </c>
      <c r="CI16" s="341">
        <f>SUM(CH12:CH16)</f>
        <v>139260.28</v>
      </c>
      <c r="CL16" s="335">
        <f t="shared" si="20"/>
        <v>36783</v>
      </c>
      <c r="CM16" s="345">
        <v>36790</v>
      </c>
      <c r="CN16" s="317">
        <f t="shared" si="8"/>
        <v>7</v>
      </c>
      <c r="CO16" s="346">
        <v>4.1399999999999999E-2</v>
      </c>
      <c r="CP16" s="346"/>
      <c r="CQ16" s="346"/>
      <c r="CR16" s="346"/>
      <c r="CS16" s="346"/>
      <c r="CT16" s="346"/>
      <c r="CU16" s="346"/>
      <c r="CV16" s="337">
        <f t="shared" si="28"/>
        <v>65984.926229999997</v>
      </c>
      <c r="CW16" s="341" t="s">
        <v>35</v>
      </c>
    </row>
    <row r="17" spans="1:101" hidden="1" x14ac:dyDescent="0.25">
      <c r="A17" s="335">
        <f t="shared" si="21"/>
        <v>33897</v>
      </c>
      <c r="B17" s="335">
        <v>33904</v>
      </c>
      <c r="C17" s="317">
        <f t="shared" si="9"/>
        <v>7</v>
      </c>
      <c r="D17" s="317"/>
      <c r="E17" s="336">
        <v>2.8709999999999999E-2</v>
      </c>
      <c r="F17" s="339">
        <f>ROUND(((F16*SUM($C$10:C16))+(E17*C17))/SUM($C$10:C17),5)</f>
        <v>2.93E-2</v>
      </c>
      <c r="G17" s="317">
        <v>60.6</v>
      </c>
      <c r="I17" s="335">
        <f t="shared" si="22"/>
        <v>33917</v>
      </c>
      <c r="J17" s="335">
        <v>33924</v>
      </c>
      <c r="K17" s="317">
        <f t="shared" si="10"/>
        <v>7</v>
      </c>
      <c r="L17" s="317"/>
      <c r="M17" s="336">
        <v>2.7269999999999999E-2</v>
      </c>
      <c r="N17" s="339">
        <f>ROUND(((N16*SUM($K$10:K16))+(M17*K17))/SUM($K$10:K17),5)</f>
        <v>2.784E-2</v>
      </c>
      <c r="O17" s="317">
        <v>64.400000000000006</v>
      </c>
      <c r="Q17" s="335">
        <f t="shared" si="23"/>
        <v>34257</v>
      </c>
      <c r="R17" s="335">
        <v>34288</v>
      </c>
      <c r="S17" s="317">
        <f t="shared" si="11"/>
        <v>31</v>
      </c>
      <c r="U17" s="336">
        <v>2.5930000000000002E-2</v>
      </c>
      <c r="V17" s="339">
        <f>ROUND(((V16*SUM($S$10:S16))+(U17*S17))/SUM($S$10:S17),5)</f>
        <v>2.4920000000000001E-2</v>
      </c>
      <c r="W17" s="340">
        <v>80.8</v>
      </c>
      <c r="Y17" s="335">
        <f t="shared" si="24"/>
        <v>35440</v>
      </c>
      <c r="Z17" s="345">
        <v>35446</v>
      </c>
      <c r="AA17" s="317">
        <f t="shared" si="12"/>
        <v>6</v>
      </c>
      <c r="AC17" s="346">
        <v>3.4729999999999997E-2</v>
      </c>
      <c r="AD17" s="339">
        <f>ROUND(((AD16*SUM($AA$10:AA16))+(AC17*AA17))/SUM($AA$10:AA17),5)</f>
        <v>3.5860000000000003E-2</v>
      </c>
      <c r="AE17" s="316">
        <v>11.7</v>
      </c>
      <c r="AG17" s="335">
        <f t="shared" si="25"/>
        <v>35578</v>
      </c>
      <c r="AH17" s="345">
        <v>35681</v>
      </c>
      <c r="AI17" s="317">
        <f t="shared" si="13"/>
        <v>103</v>
      </c>
      <c r="AK17" s="346">
        <v>3.6269999999999997E-2</v>
      </c>
      <c r="AL17" s="339">
        <f>ROUND(((AL16*SUM($AI$10:AI16))+(AK17*AI17))/SUM($AI$10:AI17),5)</f>
        <v>3.5729999999999998E-2</v>
      </c>
      <c r="AM17" s="316">
        <v>173.5</v>
      </c>
      <c r="AO17" s="335">
        <f t="shared" si="26"/>
        <v>35978</v>
      </c>
      <c r="AP17" s="345">
        <v>35982</v>
      </c>
      <c r="AQ17" s="317">
        <f t="shared" si="14"/>
        <v>4</v>
      </c>
      <c r="AS17" s="347">
        <v>3.7350000000000001E-2</v>
      </c>
      <c r="AT17" s="339">
        <f>ROUND(((AT16*SUM($AQ$10:AQ16))+(AS17*AQ17))/SUM($AQ$10:AQ17),5)</f>
        <v>3.746E-2</v>
      </c>
      <c r="AU17" s="316">
        <v>89.6</v>
      </c>
      <c r="AW17" s="335">
        <f t="shared" si="27"/>
        <v>36075</v>
      </c>
      <c r="AX17" s="345">
        <v>36199</v>
      </c>
      <c r="AY17" s="317">
        <f t="shared" si="15"/>
        <v>124</v>
      </c>
      <c r="BA17" s="346">
        <v>3.3939999999999998E-2</v>
      </c>
      <c r="BB17" s="339">
        <f>ROUND(((BB16*SUM($AY$10:AY16))+(BA17*AY17))/SUM($AY$10:AY17),5)</f>
        <v>3.6069999999999998E-2</v>
      </c>
      <c r="BC17" s="348">
        <v>141.1</v>
      </c>
      <c r="BE17" s="335">
        <f t="shared" si="16"/>
        <v>33911</v>
      </c>
      <c r="BF17" s="335">
        <v>33918</v>
      </c>
      <c r="BG17" s="317">
        <f t="shared" si="0"/>
        <v>7</v>
      </c>
      <c r="BH17" s="336">
        <v>2.5700000000000001E-2</v>
      </c>
      <c r="BI17" s="337">
        <f t="shared" si="1"/>
        <v>14745.9</v>
      </c>
      <c r="BJ17" s="341"/>
      <c r="BK17" s="341"/>
      <c r="BL17" s="341"/>
      <c r="BM17" s="341"/>
      <c r="BO17" s="335">
        <f t="shared" si="17"/>
        <v>35873</v>
      </c>
      <c r="BP17" s="345">
        <v>35880</v>
      </c>
      <c r="BQ17" s="317">
        <f t="shared" si="2"/>
        <v>7</v>
      </c>
      <c r="BR17" s="346">
        <v>3.4799999999999998E-2</v>
      </c>
      <c r="BS17" s="337">
        <f t="shared" si="3"/>
        <v>11345.75</v>
      </c>
      <c r="BW17" s="335">
        <f t="shared" si="18"/>
        <v>36097</v>
      </c>
      <c r="BX17" s="345">
        <v>36100</v>
      </c>
      <c r="BY17" s="317">
        <f t="shared" si="4"/>
        <v>3</v>
      </c>
      <c r="BZ17" s="347">
        <v>3.1099999999999999E-2</v>
      </c>
      <c r="CA17" s="337">
        <f t="shared" si="5"/>
        <v>12780.82</v>
      </c>
      <c r="CB17" s="341">
        <f>SUM(CA13:CA17)</f>
        <v>139260.28</v>
      </c>
      <c r="CD17" s="335">
        <f t="shared" si="19"/>
        <v>36100</v>
      </c>
      <c r="CE17" s="345">
        <v>36104</v>
      </c>
      <c r="CF17" s="317">
        <f t="shared" si="6"/>
        <v>4</v>
      </c>
      <c r="CG17" s="346">
        <v>3.1099999999999999E-2</v>
      </c>
      <c r="CH17" s="337">
        <f t="shared" si="7"/>
        <v>17041.099999999999</v>
      </c>
      <c r="CL17" s="335">
        <f t="shared" si="20"/>
        <v>36790</v>
      </c>
      <c r="CM17" s="345">
        <v>36797</v>
      </c>
      <c r="CN17" s="317">
        <f t="shared" si="8"/>
        <v>7</v>
      </c>
      <c r="CO17" s="346">
        <v>4.3400000000000001E-2</v>
      </c>
      <c r="CP17" s="346"/>
      <c r="CQ17" s="346"/>
      <c r="CR17" s="346"/>
      <c r="CS17" s="346"/>
      <c r="CT17" s="346"/>
      <c r="CU17" s="346"/>
      <c r="CV17" s="337">
        <f t="shared" si="28"/>
        <v>69172.603824999998</v>
      </c>
    </row>
    <row r="18" spans="1:101" hidden="1" x14ac:dyDescent="0.25">
      <c r="A18" s="335">
        <f t="shared" si="21"/>
        <v>33904</v>
      </c>
      <c r="B18" s="335">
        <v>33905</v>
      </c>
      <c r="C18" s="317">
        <f t="shared" si="9"/>
        <v>1</v>
      </c>
      <c r="D18" s="317"/>
      <c r="E18" s="336">
        <v>2.8750000000000001E-2</v>
      </c>
      <c r="F18" s="339">
        <f>ROUND(((F17*SUM($C$10:C17))+(E18*C18))/SUM($C$10:C18),5)</f>
        <v>2.929E-2</v>
      </c>
      <c r="G18" s="317">
        <v>60.6</v>
      </c>
      <c r="I18" s="335">
        <f t="shared" si="22"/>
        <v>33924</v>
      </c>
      <c r="J18" s="335">
        <v>33945</v>
      </c>
      <c r="K18" s="317">
        <f t="shared" si="10"/>
        <v>21</v>
      </c>
      <c r="L18" s="317"/>
      <c r="M18" s="336">
        <v>2.708E-2</v>
      </c>
      <c r="N18" s="339">
        <f>ROUND(((N17*SUM($K$10:K17))+(M18*K18))/SUM($K$10:K18),5)</f>
        <v>2.7640000000000001E-2</v>
      </c>
      <c r="O18" s="340">
        <v>71</v>
      </c>
      <c r="Q18" s="335">
        <f t="shared" si="23"/>
        <v>34288</v>
      </c>
      <c r="R18" s="335">
        <v>34290</v>
      </c>
      <c r="S18" s="317">
        <f t="shared" si="11"/>
        <v>2</v>
      </c>
      <c r="U18" s="336">
        <v>2.5659999999999999E-2</v>
      </c>
      <c r="V18" s="339">
        <f>ROUND(((V17*SUM($S$10:S17))+(U18*S18))/SUM($S$10:S18),5)</f>
        <v>2.494E-2</v>
      </c>
      <c r="W18" s="340">
        <v>77.599999999999994</v>
      </c>
      <c r="Y18" s="335">
        <f t="shared" si="24"/>
        <v>35446</v>
      </c>
      <c r="Z18" s="345">
        <v>35472</v>
      </c>
      <c r="AA18" s="317">
        <f t="shared" si="12"/>
        <v>26</v>
      </c>
      <c r="AC18" s="346">
        <v>3.4959999999999998E-2</v>
      </c>
      <c r="AD18" s="339">
        <f>ROUND(((AD17*SUM($AA$10:AA17))+(AC18*AA18))/SUM($AA$10:AA18),5)</f>
        <v>3.5680000000000003E-2</v>
      </c>
      <c r="AE18" s="316">
        <v>94.5</v>
      </c>
      <c r="AG18" s="335">
        <f t="shared" si="25"/>
        <v>35681</v>
      </c>
      <c r="AH18" s="345">
        <v>35682</v>
      </c>
      <c r="AI18" s="317">
        <f t="shared" si="13"/>
        <v>1</v>
      </c>
      <c r="AK18" s="346">
        <v>3.6299999999999999E-2</v>
      </c>
      <c r="AL18" s="339">
        <f>ROUND(((AL17*SUM($AI$10:AI17))+(AK18*AI18))/SUM($AI$10:AI18),5)</f>
        <v>3.5729999999999998E-2</v>
      </c>
      <c r="AM18" s="316">
        <v>157.9</v>
      </c>
      <c r="AO18" s="335">
        <f t="shared" si="26"/>
        <v>35982</v>
      </c>
      <c r="AP18" s="345">
        <v>35989</v>
      </c>
      <c r="AQ18" s="317">
        <f t="shared" si="14"/>
        <v>7</v>
      </c>
      <c r="AS18" s="347">
        <v>3.7240000000000002E-2</v>
      </c>
      <c r="AT18" s="339">
        <f>ROUND(((AT17*SUM($AQ$10:AQ17))+(AS18*AQ18))/SUM($AQ$10:AQ18),5)</f>
        <v>3.7449999999999997E-2</v>
      </c>
      <c r="AU18" s="316">
        <v>98.6</v>
      </c>
      <c r="AW18" s="335">
        <f t="shared" si="27"/>
        <v>36199</v>
      </c>
      <c r="AX18" s="345">
        <v>36200</v>
      </c>
      <c r="AY18" s="317">
        <f t="shared" si="15"/>
        <v>1</v>
      </c>
      <c r="BA18" s="346">
        <v>3.218E-2</v>
      </c>
      <c r="BB18" s="339">
        <f>ROUND(((BB17*SUM($AY$10:AY17))+(BA18*AY18))/SUM($AY$10:AY18),5)</f>
        <v>3.6060000000000002E-2</v>
      </c>
      <c r="BC18" s="348">
        <v>127.4</v>
      </c>
      <c r="BE18" s="335">
        <f t="shared" si="16"/>
        <v>33918</v>
      </c>
      <c r="BF18" s="335">
        <v>33925</v>
      </c>
      <c r="BG18" s="317">
        <f t="shared" si="0"/>
        <v>7</v>
      </c>
      <c r="BH18" s="336">
        <v>2.53E-2</v>
      </c>
      <c r="BI18" s="337">
        <f t="shared" si="1"/>
        <v>14516.39</v>
      </c>
      <c r="BJ18" s="341"/>
      <c r="BK18" s="341"/>
      <c r="BL18" s="341"/>
      <c r="BM18" s="341"/>
      <c r="BO18" s="335">
        <f t="shared" si="17"/>
        <v>35880</v>
      </c>
      <c r="BP18" s="345">
        <v>35886</v>
      </c>
      <c r="BQ18" s="317">
        <f t="shared" si="2"/>
        <v>6</v>
      </c>
      <c r="BR18" s="346">
        <v>3.6700000000000003E-2</v>
      </c>
      <c r="BS18" s="337">
        <f t="shared" si="3"/>
        <v>10255.89</v>
      </c>
      <c r="BT18" s="341">
        <f>SUM(BS14:BS18)</f>
        <v>46994.52</v>
      </c>
      <c r="BW18" s="335">
        <f t="shared" si="18"/>
        <v>36100</v>
      </c>
      <c r="BX18" s="345">
        <v>36104</v>
      </c>
      <c r="BY18" s="317">
        <f t="shared" si="4"/>
        <v>4</v>
      </c>
      <c r="BZ18" s="347">
        <v>3.1099999999999999E-2</v>
      </c>
      <c r="CA18" s="337">
        <f t="shared" si="5"/>
        <v>17041.099999999999</v>
      </c>
      <c r="CD18" s="335">
        <f t="shared" si="19"/>
        <v>36104</v>
      </c>
      <c r="CE18" s="345">
        <v>36111</v>
      </c>
      <c r="CF18" s="317">
        <f t="shared" si="6"/>
        <v>7</v>
      </c>
      <c r="CG18" s="346">
        <v>2.9899999999999999E-2</v>
      </c>
      <c r="CH18" s="337">
        <f t="shared" si="7"/>
        <v>28671.23</v>
      </c>
      <c r="CL18" s="335">
        <f t="shared" si="20"/>
        <v>36797</v>
      </c>
      <c r="CM18" s="345">
        <v>36800</v>
      </c>
      <c r="CN18" s="317">
        <f t="shared" si="8"/>
        <v>3</v>
      </c>
      <c r="CO18" s="346">
        <v>5.5199999999999999E-2</v>
      </c>
      <c r="CP18" s="346"/>
      <c r="CQ18" s="346"/>
      <c r="CR18" s="346"/>
      <c r="CS18" s="346"/>
      <c r="CT18" s="346"/>
      <c r="CU18" s="346"/>
      <c r="CV18" s="337">
        <f t="shared" si="28"/>
        <v>37705.672130999999</v>
      </c>
      <c r="CW18" s="341">
        <f>SUM(CV14:CV18)</f>
        <v>292492.18852500001</v>
      </c>
    </row>
    <row r="19" spans="1:101" hidden="1" x14ac:dyDescent="0.25">
      <c r="A19" s="335">
        <f t="shared" si="21"/>
        <v>33905</v>
      </c>
      <c r="B19" s="335">
        <v>33911</v>
      </c>
      <c r="C19" s="317">
        <f t="shared" si="9"/>
        <v>6</v>
      </c>
      <c r="D19" s="317"/>
      <c r="E19" s="336">
        <v>2.8740000000000002E-2</v>
      </c>
      <c r="F19" s="339">
        <f>ROUND(((F18*SUM($C$10:C18))+(E19*C19))/SUM($C$10:C19),5)</f>
        <v>2.9219999999999999E-2</v>
      </c>
      <c r="G19" s="317">
        <v>60.2</v>
      </c>
      <c r="I19" s="335">
        <f t="shared" si="22"/>
        <v>33945</v>
      </c>
      <c r="J19" s="335">
        <v>33952</v>
      </c>
      <c r="K19" s="317">
        <f t="shared" si="10"/>
        <v>7</v>
      </c>
      <c r="L19" s="317"/>
      <c r="M19" s="336">
        <v>2.7050000000000001E-2</v>
      </c>
      <c r="N19" s="339">
        <f>ROUND(((N18*SUM($K$10:K18))+(M19*K19))/SUM($K$10:K19),5)</f>
        <v>2.759E-2</v>
      </c>
      <c r="O19" s="317">
        <v>76.5</v>
      </c>
      <c r="Q19" s="335">
        <f t="shared" si="23"/>
        <v>34290</v>
      </c>
      <c r="R19" s="335">
        <v>34302</v>
      </c>
      <c r="S19" s="317">
        <f t="shared" si="11"/>
        <v>12</v>
      </c>
      <c r="U19" s="336">
        <v>2.571E-2</v>
      </c>
      <c r="V19" s="339">
        <f>ROUND(((V18*SUM($S$10:S18))+(U19*S19))/SUM($S$10:S19),5)</f>
        <v>2.504E-2</v>
      </c>
      <c r="W19" s="340">
        <v>78</v>
      </c>
      <c r="Y19" s="335">
        <f t="shared" si="24"/>
        <v>35472</v>
      </c>
      <c r="Z19" s="345">
        <v>35493</v>
      </c>
      <c r="AA19" s="317">
        <f t="shared" si="12"/>
        <v>21</v>
      </c>
      <c r="AC19" s="346">
        <v>3.4970000000000001E-2</v>
      </c>
      <c r="AD19" s="339">
        <f>ROUND(((AD18*SUM($AA$10:AA18))+(AC19*AA19))/SUM($AA$10:AA19),5)</f>
        <v>3.5580000000000001E-2</v>
      </c>
      <c r="AE19" s="316">
        <v>93.9</v>
      </c>
      <c r="AG19" s="335">
        <f t="shared" si="25"/>
        <v>35682</v>
      </c>
      <c r="AH19" s="345">
        <v>35684</v>
      </c>
      <c r="AI19" s="317">
        <f t="shared" si="13"/>
        <v>2</v>
      </c>
      <c r="AK19" s="346">
        <v>3.6360000000000003E-2</v>
      </c>
      <c r="AL19" s="339">
        <f>ROUND(((AL18*SUM($AI$10:AI18))+(AK19*AI19))/SUM($AI$10:AI19),5)</f>
        <v>3.5729999999999998E-2</v>
      </c>
      <c r="AM19" s="316">
        <v>166.3</v>
      </c>
      <c r="AO19" s="335">
        <f t="shared" si="26"/>
        <v>35989</v>
      </c>
      <c r="AP19" s="345">
        <v>36021</v>
      </c>
      <c r="AQ19" s="317">
        <f t="shared" si="14"/>
        <v>32</v>
      </c>
      <c r="AS19" s="347">
        <v>3.7159999999999999E-2</v>
      </c>
      <c r="AT19" s="339">
        <f>ROUND(((AT18*SUM($AQ$10:AQ18))+(AS19*AQ19))/SUM($AQ$10:AQ19),5)</f>
        <v>3.7420000000000002E-2</v>
      </c>
      <c r="AU19" s="348">
        <v>107</v>
      </c>
      <c r="AW19" s="335">
        <f t="shared" si="27"/>
        <v>36200</v>
      </c>
      <c r="AX19" s="345">
        <v>36291</v>
      </c>
      <c r="AY19" s="317">
        <f t="shared" si="15"/>
        <v>91</v>
      </c>
      <c r="BA19" s="346">
        <v>2.7E-2</v>
      </c>
      <c r="BB19" s="339">
        <f>ROUND(((BB18*SUM($AY$10:AY18))+(BA19*AY19))/SUM($AY$10:AY19),5)</f>
        <v>3.4540000000000001E-2</v>
      </c>
      <c r="BC19" s="348">
        <v>91.4</v>
      </c>
      <c r="BE19" s="335">
        <f t="shared" si="16"/>
        <v>33925</v>
      </c>
      <c r="BF19" s="335">
        <v>33932</v>
      </c>
      <c r="BG19" s="317">
        <f t="shared" si="0"/>
        <v>7</v>
      </c>
      <c r="BH19" s="336">
        <v>2.5600000000000001E-2</v>
      </c>
      <c r="BI19" s="337">
        <f t="shared" si="1"/>
        <v>14688.52</v>
      </c>
      <c r="BJ19" s="341"/>
      <c r="BK19" s="341"/>
      <c r="BL19" s="341"/>
      <c r="BM19" s="341"/>
      <c r="BO19" s="335">
        <f t="shared" si="17"/>
        <v>35886</v>
      </c>
      <c r="BP19" s="345">
        <v>35887</v>
      </c>
      <c r="BQ19" s="317">
        <f t="shared" si="2"/>
        <v>1</v>
      </c>
      <c r="BR19" s="346">
        <v>3.6700000000000003E-2</v>
      </c>
      <c r="BS19" s="337">
        <f t="shared" si="3"/>
        <v>1709.32</v>
      </c>
      <c r="BW19" s="335">
        <f t="shared" si="18"/>
        <v>36104</v>
      </c>
      <c r="BX19" s="345">
        <v>36111</v>
      </c>
      <c r="BY19" s="317">
        <f t="shared" si="4"/>
        <v>7</v>
      </c>
      <c r="BZ19" s="347">
        <v>2.9899999999999999E-2</v>
      </c>
      <c r="CA19" s="337">
        <f t="shared" si="5"/>
        <v>28671.23</v>
      </c>
      <c r="CD19" s="335">
        <f t="shared" si="19"/>
        <v>36111</v>
      </c>
      <c r="CE19" s="345">
        <v>36118</v>
      </c>
      <c r="CF19" s="317">
        <f t="shared" si="6"/>
        <v>7</v>
      </c>
      <c r="CG19" s="346">
        <v>3.2399999999999998E-2</v>
      </c>
      <c r="CH19" s="337">
        <f t="shared" si="7"/>
        <v>31068.49</v>
      </c>
      <c r="CL19" s="335">
        <f t="shared" si="20"/>
        <v>36800</v>
      </c>
      <c r="CM19" s="345">
        <v>36804</v>
      </c>
      <c r="CN19" s="317">
        <f t="shared" si="8"/>
        <v>4</v>
      </c>
      <c r="CO19" s="346">
        <v>5.5199999999999999E-2</v>
      </c>
      <c r="CP19" s="346"/>
      <c r="CQ19" s="346"/>
      <c r="CR19" s="346"/>
      <c r="CS19" s="346"/>
      <c r="CT19" s="346"/>
      <c r="CU19" s="346"/>
      <c r="CV19" s="337">
        <f t="shared" si="28"/>
        <v>50274.229507999997</v>
      </c>
    </row>
    <row r="20" spans="1:101" hidden="1" x14ac:dyDescent="0.25">
      <c r="A20" s="335">
        <f t="shared" si="21"/>
        <v>33911</v>
      </c>
      <c r="B20" s="335">
        <v>33920</v>
      </c>
      <c r="C20" s="317">
        <f t="shared" si="9"/>
        <v>9</v>
      </c>
      <c r="D20" s="317"/>
      <c r="E20" s="336">
        <v>2.8410000000000001E-2</v>
      </c>
      <c r="F20" s="339">
        <f>ROUND(((F19*SUM($C$10:C19))+(E20*C20))/SUM($C$10:C20),5)</f>
        <v>2.9090000000000001E-2</v>
      </c>
      <c r="G20" s="317">
        <v>63.2</v>
      </c>
      <c r="I20" s="335">
        <f t="shared" si="22"/>
        <v>33952</v>
      </c>
      <c r="J20" s="335">
        <v>33954</v>
      </c>
      <c r="K20" s="317">
        <f t="shared" si="10"/>
        <v>2</v>
      </c>
      <c r="L20" s="317"/>
      <c r="M20" s="336">
        <v>2.6980000000000001E-2</v>
      </c>
      <c r="N20" s="339">
        <f>ROUND(((N19*SUM($K$10:K19))+(M20*K20))/SUM($K$10:K20),5)</f>
        <v>2.758E-2</v>
      </c>
      <c r="O20" s="317">
        <v>79.8</v>
      </c>
      <c r="Q20" s="335">
        <f t="shared" si="23"/>
        <v>34302</v>
      </c>
      <c r="R20" s="335">
        <v>34312</v>
      </c>
      <c r="S20" s="317">
        <f t="shared" si="11"/>
        <v>10</v>
      </c>
      <c r="U20" s="336">
        <v>2.58E-2</v>
      </c>
      <c r="V20" s="339">
        <f>ROUND(((V19*SUM($S$10:S19))+(U20*S20))/SUM($S$10:S20),5)</f>
        <v>2.512E-2</v>
      </c>
      <c r="W20" s="340">
        <v>82.1</v>
      </c>
      <c r="Y20" s="335">
        <f t="shared" si="24"/>
        <v>35493</v>
      </c>
      <c r="Z20" s="345">
        <v>35501</v>
      </c>
      <c r="AA20" s="317">
        <f t="shared" si="12"/>
        <v>8</v>
      </c>
      <c r="AC20" s="346">
        <v>3.4959999999999998E-2</v>
      </c>
      <c r="AD20" s="339">
        <f>ROUND(((AD19*SUM($AA$10:AA19))+(AC20*AA20))/SUM($AA$10:AA20),5)</f>
        <v>3.5549999999999998E-2</v>
      </c>
      <c r="AE20" s="316">
        <v>94.5</v>
      </c>
      <c r="AG20" s="335">
        <f t="shared" si="25"/>
        <v>35684</v>
      </c>
      <c r="AH20" s="345">
        <v>35739</v>
      </c>
      <c r="AI20" s="317">
        <f t="shared" si="13"/>
        <v>55</v>
      </c>
      <c r="AK20" s="346">
        <v>3.8440000000000002E-2</v>
      </c>
      <c r="AL20" s="339">
        <f>ROUND(((AL19*SUM($AI$10:AI19))+(AK20*AI20))/SUM($AI$10:AI20),5)</f>
        <v>3.61E-2</v>
      </c>
      <c r="AM20" s="316">
        <v>150.6</v>
      </c>
      <c r="AO20" s="335">
        <f t="shared" si="26"/>
        <v>36021</v>
      </c>
      <c r="AP20" s="345">
        <v>36076</v>
      </c>
      <c r="AQ20" s="317">
        <f t="shared" si="14"/>
        <v>55</v>
      </c>
      <c r="AS20" s="347">
        <v>3.6499999999999998E-2</v>
      </c>
      <c r="AT20" s="339">
        <f>ROUND(((AT19*SUM($AQ$10:AQ19))+(AS20*AQ20))/SUM($AQ$10:AQ20),5)</f>
        <v>3.7269999999999998E-2</v>
      </c>
      <c r="AU20" s="316">
        <v>121.8</v>
      </c>
      <c r="AW20" s="335">
        <f t="shared" si="27"/>
        <v>36291</v>
      </c>
      <c r="AX20" s="345">
        <v>36377</v>
      </c>
      <c r="AY20" s="317">
        <f t="shared" si="15"/>
        <v>86</v>
      </c>
      <c r="BA20" s="346">
        <v>3.2500000000000001E-2</v>
      </c>
      <c r="BB20" s="339">
        <f>ROUND(((BB19*SUM($AY$10:AY19))+(BA20*AY20))/SUM($AY$10:AY20),5)</f>
        <v>3.4259999999999999E-2</v>
      </c>
      <c r="BC20" s="348">
        <v>86</v>
      </c>
      <c r="BE20" s="335">
        <f t="shared" si="16"/>
        <v>33932</v>
      </c>
      <c r="BF20" s="335">
        <v>33939</v>
      </c>
      <c r="BG20" s="317">
        <f t="shared" si="0"/>
        <v>7</v>
      </c>
      <c r="BH20" s="336">
        <v>2.4800000000000003E-2</v>
      </c>
      <c r="BI20" s="337">
        <f t="shared" si="1"/>
        <v>14229.51</v>
      </c>
      <c r="BJ20" s="341">
        <f>SUM(BI16:BI20)</f>
        <v>62655.73</v>
      </c>
      <c r="BK20" s="341">
        <v>67282.28</v>
      </c>
      <c r="BL20" s="341">
        <f>BJ20-BK20</f>
        <v>-4626.5499999999956</v>
      </c>
      <c r="BM20" s="341">
        <f>BM15+BL20</f>
        <v>-9583.6899999999841</v>
      </c>
      <c r="BO20" s="335">
        <f t="shared" si="17"/>
        <v>35887</v>
      </c>
      <c r="BP20" s="345">
        <v>35894</v>
      </c>
      <c r="BQ20" s="317">
        <f t="shared" si="2"/>
        <v>7</v>
      </c>
      <c r="BR20" s="346">
        <v>3.5999999999999997E-2</v>
      </c>
      <c r="BS20" s="337">
        <f t="shared" si="3"/>
        <v>11736.99</v>
      </c>
      <c r="BW20" s="335">
        <f t="shared" si="18"/>
        <v>36111</v>
      </c>
      <c r="BX20" s="345">
        <v>36118</v>
      </c>
      <c r="BY20" s="317">
        <f t="shared" si="4"/>
        <v>7</v>
      </c>
      <c r="BZ20" s="347">
        <v>3.2399999999999998E-2</v>
      </c>
      <c r="CA20" s="337">
        <f t="shared" si="5"/>
        <v>31068.49</v>
      </c>
      <c r="CD20" s="335">
        <f t="shared" si="19"/>
        <v>36118</v>
      </c>
      <c r="CE20" s="345">
        <v>36126</v>
      </c>
      <c r="CF20" s="317">
        <f t="shared" si="6"/>
        <v>8</v>
      </c>
      <c r="CG20" s="346">
        <v>3.4299999999999997E-2</v>
      </c>
      <c r="CH20" s="337">
        <f t="shared" si="7"/>
        <v>37589.040000000001</v>
      </c>
      <c r="CL20" s="335">
        <f t="shared" si="20"/>
        <v>36804</v>
      </c>
      <c r="CM20" s="345">
        <v>36811</v>
      </c>
      <c r="CN20" s="317">
        <f t="shared" si="8"/>
        <v>7</v>
      </c>
      <c r="CO20" s="346">
        <v>4.1599999999999998E-2</v>
      </c>
      <c r="CP20" s="346"/>
      <c r="CQ20" s="346"/>
      <c r="CR20" s="346"/>
      <c r="CS20" s="346"/>
      <c r="CT20" s="346"/>
      <c r="CU20" s="346"/>
      <c r="CV20" s="337">
        <f t="shared" si="28"/>
        <v>66303.693989000007</v>
      </c>
    </row>
    <row r="21" spans="1:101" hidden="1" x14ac:dyDescent="0.25">
      <c r="A21" s="335">
        <f t="shared" si="21"/>
        <v>33920</v>
      </c>
      <c r="B21" s="335">
        <v>33921</v>
      </c>
      <c r="C21" s="317">
        <f t="shared" si="9"/>
        <v>1</v>
      </c>
      <c r="D21" s="317"/>
      <c r="E21" s="336">
        <v>2.8330000000000001E-2</v>
      </c>
      <c r="F21" s="339">
        <f>ROUND(((F20*SUM($C$10:C20))+(E21*C21))/SUM($C$10:C21),5)</f>
        <v>2.9080000000000002E-2</v>
      </c>
      <c r="G21" s="317">
        <v>64.099999999999994</v>
      </c>
      <c r="I21" s="335">
        <f t="shared" si="22"/>
        <v>33954</v>
      </c>
      <c r="J21" s="335">
        <v>33984</v>
      </c>
      <c r="K21" s="317">
        <f t="shared" si="10"/>
        <v>30</v>
      </c>
      <c r="L21" s="317"/>
      <c r="M21" s="336">
        <v>2.6679999999999999E-2</v>
      </c>
      <c r="N21" s="339">
        <f>ROUND(((N20*SUM($K$10:K20))+(M21*K21))/SUM($K$10:K21),5)</f>
        <v>2.7359999999999999E-2</v>
      </c>
      <c r="O21" s="340">
        <v>77</v>
      </c>
      <c r="Q21" s="335">
        <f t="shared" si="23"/>
        <v>34312</v>
      </c>
      <c r="R21" s="335">
        <v>34344</v>
      </c>
      <c r="S21" s="317">
        <f t="shared" si="11"/>
        <v>32</v>
      </c>
      <c r="U21" s="336">
        <v>2.5860000000000001E-2</v>
      </c>
      <c r="V21" s="339">
        <f>ROUND(((V20*SUM($S$10:S20))+(U21*S21))/SUM($S$10:S21),5)</f>
        <v>2.53E-2</v>
      </c>
      <c r="W21" s="340">
        <v>78.7</v>
      </c>
      <c r="Y21" s="335">
        <f t="shared" si="24"/>
        <v>35501</v>
      </c>
      <c r="Z21" s="345">
        <v>35521</v>
      </c>
      <c r="AA21" s="317">
        <f t="shared" si="12"/>
        <v>20</v>
      </c>
      <c r="AC21" s="346">
        <v>3.4939999999999999E-2</v>
      </c>
      <c r="AD21" s="339">
        <f>ROUND(((AD20*SUM($AA$10:AA20))+(AC21*AA21))/SUM($AA$10:AA21),5)</f>
        <v>3.5479999999999998E-2</v>
      </c>
      <c r="AE21" s="348">
        <v>94</v>
      </c>
      <c r="AG21" s="335">
        <f t="shared" si="25"/>
        <v>35739</v>
      </c>
      <c r="AH21" s="345">
        <v>35775</v>
      </c>
      <c r="AI21" s="317">
        <f t="shared" si="13"/>
        <v>36</v>
      </c>
      <c r="AK21" s="346">
        <v>3.8210000000000001E-2</v>
      </c>
      <c r="AL21" s="339">
        <f>ROUND(((AL20*SUM($AI$10:AI20))+(AK21*AI21))/SUM($AI$10:AI21),5)</f>
        <v>3.6269999999999997E-2</v>
      </c>
      <c r="AM21" s="316">
        <v>117.5</v>
      </c>
      <c r="AO21" s="335">
        <f t="shared" si="26"/>
        <v>36076</v>
      </c>
      <c r="AP21" s="345">
        <v>36077</v>
      </c>
      <c r="AQ21" s="317">
        <f t="shared" si="14"/>
        <v>1</v>
      </c>
      <c r="AS21" s="347">
        <v>3.628E-2</v>
      </c>
      <c r="AT21" s="339">
        <f>ROUND(((AT20*SUM($AQ$10:AQ20))+(AS21*AQ21))/SUM($AQ$10:AQ21),5)</f>
        <v>3.7269999999999998E-2</v>
      </c>
      <c r="AU21" s="316">
        <v>121.8</v>
      </c>
      <c r="AW21" s="335">
        <f t="shared" si="27"/>
        <v>36377</v>
      </c>
      <c r="AX21" s="345">
        <v>36472</v>
      </c>
      <c r="AY21" s="317">
        <f t="shared" si="15"/>
        <v>95</v>
      </c>
      <c r="BA21" s="346">
        <v>3.3500000000000002E-2</v>
      </c>
      <c r="BB21" s="339">
        <f>ROUND(((BB20*SUM($AY$10:AY20))+(BA21*AY21))/SUM($AY$10:AY21),5)</f>
        <v>3.4160000000000003E-2</v>
      </c>
      <c r="BC21" s="348">
        <v>95</v>
      </c>
      <c r="BE21" s="335">
        <f t="shared" si="16"/>
        <v>33939</v>
      </c>
      <c r="BF21" s="335">
        <v>33946</v>
      </c>
      <c r="BG21" s="317">
        <f t="shared" si="0"/>
        <v>7</v>
      </c>
      <c r="BH21" s="336">
        <v>2.41E-2</v>
      </c>
      <c r="BI21" s="337">
        <f t="shared" si="1"/>
        <v>13827.87</v>
      </c>
      <c r="BJ21" s="341"/>
      <c r="BK21" s="341"/>
      <c r="BL21" s="341"/>
      <c r="BM21" s="341"/>
      <c r="BO21" s="335">
        <f t="shared" si="17"/>
        <v>35894</v>
      </c>
      <c r="BP21" s="345">
        <v>35901</v>
      </c>
      <c r="BQ21" s="317">
        <f t="shared" si="2"/>
        <v>7</v>
      </c>
      <c r="BR21" s="346">
        <v>3.7699999999999997E-2</v>
      </c>
      <c r="BS21" s="337">
        <f t="shared" si="3"/>
        <v>12291.23</v>
      </c>
      <c r="BW21" s="335">
        <f t="shared" si="18"/>
        <v>36118</v>
      </c>
      <c r="BX21" s="345">
        <v>36126</v>
      </c>
      <c r="BY21" s="317">
        <f t="shared" si="4"/>
        <v>8</v>
      </c>
      <c r="BZ21" s="347">
        <v>3.4299999999999997E-2</v>
      </c>
      <c r="CA21" s="337">
        <f t="shared" si="5"/>
        <v>37589.040000000001</v>
      </c>
      <c r="CD21" s="335">
        <f t="shared" si="19"/>
        <v>36126</v>
      </c>
      <c r="CE21" s="345">
        <v>36130</v>
      </c>
      <c r="CF21" s="317">
        <f t="shared" si="6"/>
        <v>4</v>
      </c>
      <c r="CG21" s="346">
        <v>3.1300000000000001E-2</v>
      </c>
      <c r="CH21" s="337">
        <f t="shared" si="7"/>
        <v>17150.68</v>
      </c>
      <c r="CI21" s="341">
        <f>SUM(CH17:CH21)</f>
        <v>131520.54</v>
      </c>
      <c r="CL21" s="335">
        <f t="shared" si="20"/>
        <v>36811</v>
      </c>
      <c r="CM21" s="345">
        <v>36818</v>
      </c>
      <c r="CN21" s="317">
        <f t="shared" si="8"/>
        <v>7</v>
      </c>
      <c r="CO21" s="346">
        <v>4.2099999999999999E-2</v>
      </c>
      <c r="CP21" s="346"/>
      <c r="CQ21" s="346"/>
      <c r="CR21" s="346"/>
      <c r="CS21" s="346"/>
      <c r="CT21" s="346"/>
      <c r="CU21" s="346"/>
      <c r="CV21" s="337">
        <f t="shared" si="28"/>
        <v>67100.613387999998</v>
      </c>
    </row>
    <row r="22" spans="1:101" hidden="1" x14ac:dyDescent="0.25">
      <c r="A22" s="335">
        <f t="shared" si="21"/>
        <v>33921</v>
      </c>
      <c r="B22" s="335">
        <v>33927</v>
      </c>
      <c r="C22" s="317">
        <f t="shared" si="9"/>
        <v>6</v>
      </c>
      <c r="D22" s="317"/>
      <c r="E22" s="336">
        <v>2.835E-2</v>
      </c>
      <c r="F22" s="339">
        <f>ROUND(((F21*SUM($C$10:C21))+(E22*C22))/SUM($C$10:C22),5)</f>
        <v>2.9010000000000001E-2</v>
      </c>
      <c r="G22" s="317">
        <v>64.5</v>
      </c>
      <c r="I22" s="335">
        <f t="shared" si="22"/>
        <v>33984</v>
      </c>
      <c r="J22" s="335">
        <v>33988</v>
      </c>
      <c r="K22" s="317">
        <f t="shared" si="10"/>
        <v>4</v>
      </c>
      <c r="L22" s="317"/>
      <c r="M22" s="336">
        <v>2.6500000000000003E-2</v>
      </c>
      <c r="N22" s="339">
        <f>ROUND(((N21*SUM($K$10:K21))+(M22*K22))/SUM($K$10:K22),5)</f>
        <v>2.733E-2</v>
      </c>
      <c r="O22" s="340">
        <v>71.3</v>
      </c>
      <c r="Q22" s="335">
        <f t="shared" si="23"/>
        <v>34344</v>
      </c>
      <c r="R22" s="335">
        <v>34345</v>
      </c>
      <c r="S22" s="317">
        <f t="shared" si="11"/>
        <v>1</v>
      </c>
      <c r="U22" s="336">
        <v>2.5090000000000001E-2</v>
      </c>
      <c r="V22" s="339">
        <f>ROUND(((V21*SUM($S$10:S21))+(U22*S22))/SUM($S$10:S22),5)</f>
        <v>2.53E-2</v>
      </c>
      <c r="W22" s="340">
        <v>78.7</v>
      </c>
      <c r="Y22" s="335">
        <f t="shared" si="24"/>
        <v>35521</v>
      </c>
      <c r="Z22" s="345">
        <v>35522</v>
      </c>
      <c r="AA22" s="317">
        <f t="shared" si="12"/>
        <v>1</v>
      </c>
      <c r="AC22" s="346">
        <v>3.4970000000000001E-2</v>
      </c>
      <c r="AD22" s="339">
        <f>ROUND(((AD21*SUM($AA$10:AA21))+(AC22*AA22))/SUM($AA$10:AA22),5)</f>
        <v>3.5479999999999998E-2</v>
      </c>
      <c r="AE22" s="348">
        <v>93.7</v>
      </c>
      <c r="AG22" s="335">
        <f t="shared" si="25"/>
        <v>35775</v>
      </c>
      <c r="AH22" s="345">
        <v>35809</v>
      </c>
      <c r="AI22" s="317">
        <f t="shared" si="13"/>
        <v>34</v>
      </c>
      <c r="AK22" s="346">
        <v>3.8240000000000003E-2</v>
      </c>
      <c r="AL22" s="339">
        <f>ROUND(((AL21*SUM($AI$10:AI21))+(AK22*AI22))/SUM($AI$10:AI22),5)</f>
        <v>3.6409999999999998E-2</v>
      </c>
      <c r="AM22" s="316">
        <v>122.9</v>
      </c>
      <c r="AO22" s="335">
        <f t="shared" si="26"/>
        <v>36077</v>
      </c>
      <c r="AP22" s="345">
        <v>36089</v>
      </c>
      <c r="AQ22" s="317">
        <f t="shared" si="14"/>
        <v>12</v>
      </c>
      <c r="AS22" s="347">
        <v>3.415E-2</v>
      </c>
      <c r="AT22" s="339">
        <f>ROUND(((AT21*SUM($AQ$10:AQ21))+(AS22*AQ22))/SUM($AQ$10:AQ22),5)</f>
        <v>3.7159999999999999E-2</v>
      </c>
      <c r="AU22" s="316">
        <v>130.30000000000001</v>
      </c>
      <c r="AW22" s="335">
        <f t="shared" si="27"/>
        <v>36472</v>
      </c>
      <c r="AX22" s="345">
        <v>36553</v>
      </c>
      <c r="AY22" s="317">
        <f t="shared" si="15"/>
        <v>81</v>
      </c>
      <c r="BA22" s="346">
        <v>3.85E-2</v>
      </c>
      <c r="BB22" s="339">
        <f>ROUND(((BB21*SUM($AY$10:AY21))+(BA22*AY22))/SUM($AY$10:AY22),5)</f>
        <v>3.4599999999999999E-2</v>
      </c>
      <c r="BC22" s="348">
        <v>81</v>
      </c>
      <c r="BE22" s="335">
        <f t="shared" si="16"/>
        <v>33946</v>
      </c>
      <c r="BF22" s="335">
        <v>33953</v>
      </c>
      <c r="BG22" s="317">
        <f t="shared" si="0"/>
        <v>7</v>
      </c>
      <c r="BH22" s="336">
        <v>2.3300000000000001E-2</v>
      </c>
      <c r="BI22" s="337">
        <f t="shared" si="1"/>
        <v>13368.85</v>
      </c>
      <c r="BJ22" s="341"/>
      <c r="BK22" s="341"/>
      <c r="BL22" s="341"/>
      <c r="BM22" s="341"/>
      <c r="BO22" s="335">
        <f t="shared" si="17"/>
        <v>35901</v>
      </c>
      <c r="BP22" s="345">
        <v>35908</v>
      </c>
      <c r="BQ22" s="317">
        <f t="shared" si="2"/>
        <v>7</v>
      </c>
      <c r="BR22" s="346">
        <v>3.9899999999999998E-2</v>
      </c>
      <c r="BS22" s="337">
        <f t="shared" si="3"/>
        <v>13008.49</v>
      </c>
      <c r="BW22" s="335">
        <f t="shared" si="18"/>
        <v>36126</v>
      </c>
      <c r="BX22" s="345">
        <v>36130</v>
      </c>
      <c r="BY22" s="317">
        <f t="shared" si="4"/>
        <v>4</v>
      </c>
      <c r="BZ22" s="347">
        <v>3.1300000000000001E-2</v>
      </c>
      <c r="CA22" s="337">
        <f t="shared" si="5"/>
        <v>17150.68</v>
      </c>
      <c r="CB22" s="341">
        <f>SUM(CA18:CA22)</f>
        <v>131520.54</v>
      </c>
      <c r="CD22" s="335">
        <f t="shared" si="19"/>
        <v>36130</v>
      </c>
      <c r="CE22" s="345">
        <v>36132</v>
      </c>
      <c r="CF22" s="317">
        <f t="shared" si="6"/>
        <v>2</v>
      </c>
      <c r="CG22" s="347">
        <v>3.1300000000000001E-2</v>
      </c>
      <c r="CH22" s="337">
        <f t="shared" si="7"/>
        <v>8575.34</v>
      </c>
      <c r="CL22" s="335">
        <f t="shared" si="20"/>
        <v>36818</v>
      </c>
      <c r="CM22" s="345">
        <v>36825</v>
      </c>
      <c r="CN22" s="317">
        <f t="shared" si="8"/>
        <v>7</v>
      </c>
      <c r="CO22" s="346">
        <v>4.2299999999999997E-2</v>
      </c>
      <c r="CP22" s="346"/>
      <c r="CQ22" s="346"/>
      <c r="CR22" s="346"/>
      <c r="CS22" s="346"/>
      <c r="CT22" s="346"/>
      <c r="CU22" s="346"/>
      <c r="CV22" s="337">
        <f t="shared" si="28"/>
        <v>67419.381148</v>
      </c>
    </row>
    <row r="23" spans="1:101" hidden="1" x14ac:dyDescent="0.25">
      <c r="A23" s="335">
        <f t="shared" si="21"/>
        <v>33927</v>
      </c>
      <c r="B23" s="335">
        <v>33940</v>
      </c>
      <c r="C23" s="317">
        <f t="shared" si="9"/>
        <v>13</v>
      </c>
      <c r="D23" s="317"/>
      <c r="E23" s="336">
        <v>2.7230000000000001E-2</v>
      </c>
      <c r="F23" s="339">
        <f>ROUND(((F22*SUM($C$10:C22))+(E23*C23))/SUM($C$10:C23),5)</f>
        <v>2.8709999999999999E-2</v>
      </c>
      <c r="G23" s="317">
        <v>72.900000000000006</v>
      </c>
      <c r="I23" s="335">
        <f t="shared" si="22"/>
        <v>33988</v>
      </c>
      <c r="J23" s="335">
        <v>33989</v>
      </c>
      <c r="K23" s="317">
        <f t="shared" si="10"/>
        <v>1</v>
      </c>
      <c r="L23" s="317"/>
      <c r="M23" s="336">
        <v>2.5739999999999999E-2</v>
      </c>
      <c r="N23" s="339">
        <f>ROUND(((N22*SUM($K$10:K22))+(M23*K23))/SUM($K$10:K23),5)</f>
        <v>2.7320000000000001E-2</v>
      </c>
      <c r="O23" s="340">
        <v>68.599999999999994</v>
      </c>
      <c r="Q23" s="335">
        <f t="shared" si="23"/>
        <v>34345</v>
      </c>
      <c r="R23" s="335">
        <v>34347</v>
      </c>
      <c r="S23" s="317">
        <f t="shared" si="11"/>
        <v>2</v>
      </c>
      <c r="U23" s="336">
        <v>2.479E-2</v>
      </c>
      <c r="V23" s="339">
        <f>ROUND(((V22*SUM($S$10:S22))+(U23*S23))/SUM($S$10:S23),5)</f>
        <v>2.529E-2</v>
      </c>
      <c r="W23" s="340">
        <v>78.2</v>
      </c>
      <c r="Y23" s="335">
        <f t="shared" si="24"/>
        <v>35522</v>
      </c>
      <c r="Z23" s="345">
        <v>35527</v>
      </c>
      <c r="AA23" s="317">
        <f t="shared" si="12"/>
        <v>5</v>
      </c>
      <c r="AC23" s="346">
        <v>3.4970000000000001E-2</v>
      </c>
      <c r="AD23" s="339">
        <f>ROUND(((AD22*SUM($AA$10:AA22))+(AC23*AA23))/SUM($AA$10:AA23),5)</f>
        <v>3.5470000000000002E-2</v>
      </c>
      <c r="AE23" s="348">
        <v>93.8</v>
      </c>
      <c r="AG23" s="335">
        <f t="shared" si="25"/>
        <v>35809</v>
      </c>
      <c r="AH23" s="345">
        <v>35836</v>
      </c>
      <c r="AI23" s="317">
        <f t="shared" si="13"/>
        <v>27</v>
      </c>
      <c r="AK23" s="346">
        <v>3.7699999999999997E-2</v>
      </c>
      <c r="AL23" s="339">
        <f>ROUND(((AL22*SUM($AI$10:AI22))+(AK23*AI23))/SUM($AI$10:AI23),5)</f>
        <v>3.6479999999999999E-2</v>
      </c>
      <c r="AM23" s="316">
        <v>123.6</v>
      </c>
      <c r="AO23" s="335">
        <f t="shared" si="26"/>
        <v>36089</v>
      </c>
      <c r="AP23" s="345">
        <v>36090</v>
      </c>
      <c r="AQ23" s="317">
        <f t="shared" si="14"/>
        <v>1</v>
      </c>
      <c r="AS23" s="347">
        <v>3.397E-2</v>
      </c>
      <c r="AT23" s="339">
        <f>ROUND(((AT22*SUM($AQ$10:AQ22))+(AS23*AQ23))/SUM($AQ$10:AQ23),5)</f>
        <v>3.7150000000000002E-2</v>
      </c>
      <c r="AU23" s="348">
        <v>119</v>
      </c>
      <c r="AW23" s="335">
        <f t="shared" si="27"/>
        <v>36553</v>
      </c>
      <c r="AX23" s="345">
        <v>36648</v>
      </c>
      <c r="AY23" s="317">
        <f t="shared" si="15"/>
        <v>95</v>
      </c>
      <c r="BA23" s="346">
        <v>3.7499999999999999E-2</v>
      </c>
      <c r="BB23" s="339">
        <f>ROUND(((BB22*SUM($AY$10:AY22))+(BA23*AY23))/SUM($AY$10:AY23),5)</f>
        <v>3.4909999999999997E-2</v>
      </c>
      <c r="BC23" s="348">
        <v>95</v>
      </c>
      <c r="BE23" s="335">
        <f t="shared" si="16"/>
        <v>33953</v>
      </c>
      <c r="BF23" s="335">
        <v>33960</v>
      </c>
      <c r="BG23" s="317">
        <f t="shared" si="0"/>
        <v>7</v>
      </c>
      <c r="BH23" s="336">
        <v>2.81E-2</v>
      </c>
      <c r="BI23" s="337">
        <f t="shared" si="1"/>
        <v>16122.95</v>
      </c>
      <c r="BJ23" s="341"/>
      <c r="BK23" s="338"/>
      <c r="BL23" s="338"/>
      <c r="BM23" s="338"/>
      <c r="BO23" s="335">
        <f t="shared" si="17"/>
        <v>35908</v>
      </c>
      <c r="BP23" s="345">
        <v>35915</v>
      </c>
      <c r="BQ23" s="317">
        <f t="shared" si="2"/>
        <v>7</v>
      </c>
      <c r="BR23" s="346">
        <v>4.3700000000000003E-2</v>
      </c>
      <c r="BS23" s="337">
        <f t="shared" si="3"/>
        <v>14247.4</v>
      </c>
      <c r="BW23" s="335">
        <f t="shared" si="18"/>
        <v>36130</v>
      </c>
      <c r="BX23" s="345">
        <v>36132</v>
      </c>
      <c r="BY23" s="317">
        <f t="shared" si="4"/>
        <v>2</v>
      </c>
      <c r="BZ23" s="347">
        <v>3.1300000000000001E-2</v>
      </c>
      <c r="CA23" s="337">
        <f t="shared" si="5"/>
        <v>8575.34</v>
      </c>
      <c r="CD23" s="335">
        <f t="shared" si="19"/>
        <v>36132</v>
      </c>
      <c r="CE23" s="345">
        <v>36139</v>
      </c>
      <c r="CF23" s="317">
        <f t="shared" si="6"/>
        <v>7</v>
      </c>
      <c r="CG23" s="347">
        <v>2.8299999999999999E-2</v>
      </c>
      <c r="CH23" s="337">
        <f t="shared" si="7"/>
        <v>27136.99</v>
      </c>
      <c r="CI23" s="341" t="s">
        <v>35</v>
      </c>
      <c r="CL23" s="335">
        <f t="shared" si="20"/>
        <v>36825</v>
      </c>
      <c r="CM23" s="345">
        <v>36831</v>
      </c>
      <c r="CN23" s="317">
        <f t="shared" si="8"/>
        <v>6</v>
      </c>
      <c r="CO23" s="346">
        <v>4.3299999999999998E-2</v>
      </c>
      <c r="CP23" s="346"/>
      <c r="CQ23" s="346"/>
      <c r="CR23" s="346"/>
      <c r="CS23" s="346"/>
      <c r="CT23" s="346"/>
      <c r="CU23" s="346"/>
      <c r="CV23" s="337">
        <f t="shared" si="28"/>
        <v>59154.188524999998</v>
      </c>
      <c r="CW23" s="341">
        <f>SUM(CV19:CV23)</f>
        <v>310252.10655800003</v>
      </c>
    </row>
    <row r="24" spans="1:101" hidden="1" x14ac:dyDescent="0.25">
      <c r="A24" s="335">
        <f t="shared" si="21"/>
        <v>33940</v>
      </c>
      <c r="B24" s="335">
        <v>33949</v>
      </c>
      <c r="C24" s="317">
        <f t="shared" si="9"/>
        <v>9</v>
      </c>
      <c r="D24" s="317"/>
      <c r="E24" s="336">
        <v>2.7320000000000001E-2</v>
      </c>
      <c r="F24" s="339">
        <f>ROUND(((F23*SUM($C$10:C23))+(E24*C24))/SUM($C$10:C24),5)</f>
        <v>2.8559999999999999E-2</v>
      </c>
      <c r="G24" s="317">
        <v>75.2</v>
      </c>
      <c r="I24" s="335">
        <f t="shared" si="22"/>
        <v>33989</v>
      </c>
      <c r="J24" s="335">
        <v>33990</v>
      </c>
      <c r="K24" s="317">
        <f t="shared" si="10"/>
        <v>1</v>
      </c>
      <c r="L24" s="317"/>
      <c r="M24" s="336">
        <v>2.513E-2</v>
      </c>
      <c r="N24" s="339">
        <f>ROUND(((N23*SUM($K$10:K23))+(M24*K24))/SUM($K$10:K24),5)</f>
        <v>2.7300000000000001E-2</v>
      </c>
      <c r="O24" s="340">
        <v>70</v>
      </c>
      <c r="Q24" s="335">
        <f t="shared" si="23"/>
        <v>34347</v>
      </c>
      <c r="R24" s="335">
        <v>34348</v>
      </c>
      <c r="S24" s="317">
        <f t="shared" si="11"/>
        <v>1</v>
      </c>
      <c r="U24" s="336">
        <v>2.4809999999999999E-2</v>
      </c>
      <c r="V24" s="339">
        <f>ROUND(((V23*SUM($S$10:S23))+(U24*S24))/SUM($S$10:S24),5)</f>
        <v>2.529E-2</v>
      </c>
      <c r="W24" s="340">
        <v>73.599999999999994</v>
      </c>
      <c r="Y24" s="335">
        <f t="shared" si="24"/>
        <v>35527</v>
      </c>
      <c r="Z24" s="345">
        <v>35528</v>
      </c>
      <c r="AA24" s="317">
        <f t="shared" si="12"/>
        <v>1</v>
      </c>
      <c r="AC24" s="346">
        <v>3.5000000000000003E-2</v>
      </c>
      <c r="AD24" s="339">
        <f>ROUND(((AD23*SUM($AA$10:AA23))+(AC24*AA24))/SUM($AA$10:AA24),5)</f>
        <v>3.5470000000000002E-2</v>
      </c>
      <c r="AE24" s="348">
        <v>92.3</v>
      </c>
      <c r="AG24" s="335">
        <f t="shared" si="25"/>
        <v>35836</v>
      </c>
      <c r="AH24" s="345">
        <v>35838</v>
      </c>
      <c r="AI24" s="317">
        <f t="shared" si="13"/>
        <v>2</v>
      </c>
      <c r="AK24" s="346">
        <v>3.703E-2</v>
      </c>
      <c r="AL24" s="339">
        <f>ROUND(((AL23*SUM($AI$10:AI23))+(AK24*AI24))/SUM($AI$10:AI24),5)</f>
        <v>3.6479999999999999E-2</v>
      </c>
      <c r="AM24" s="316">
        <v>112.8</v>
      </c>
      <c r="AO24" s="335">
        <f t="shared" si="26"/>
        <v>36090</v>
      </c>
      <c r="AP24" s="345">
        <v>36091</v>
      </c>
      <c r="AQ24" s="317">
        <f t="shared" si="14"/>
        <v>1</v>
      </c>
      <c r="AS24" s="347">
        <v>3.397E-2</v>
      </c>
      <c r="AT24" s="339">
        <f>ROUND(((AT23*SUM($AQ$10:AQ23))+(AS24*AQ24))/SUM($AQ$10:AQ24),5)</f>
        <v>3.7139999999999999E-2</v>
      </c>
      <c r="AU24" s="348">
        <v>119</v>
      </c>
      <c r="AW24" s="335">
        <f t="shared" si="27"/>
        <v>36648</v>
      </c>
      <c r="AX24" s="345">
        <v>36685</v>
      </c>
      <c r="AY24" s="317">
        <f t="shared" si="15"/>
        <v>37</v>
      </c>
      <c r="BA24" s="346">
        <v>4.1161000000000003E-2</v>
      </c>
      <c r="BB24" s="339">
        <f>ROUND(((BB23*SUM($AY$10:AY23))+(BA24*AY24))/SUM($AY$10:AY24),5)</f>
        <v>3.5159999999999997E-2</v>
      </c>
      <c r="BC24" s="348">
        <v>60.65</v>
      </c>
      <c r="BE24" s="335">
        <f t="shared" si="16"/>
        <v>33960</v>
      </c>
      <c r="BF24" s="335">
        <v>33967</v>
      </c>
      <c r="BG24" s="317">
        <f t="shared" si="0"/>
        <v>7</v>
      </c>
      <c r="BH24" s="336">
        <v>3.6000000000000004E-2</v>
      </c>
      <c r="BI24" s="337">
        <f t="shared" si="1"/>
        <v>20655.740000000002</v>
      </c>
      <c r="BJ24" s="341"/>
      <c r="BK24" s="349"/>
      <c r="BL24" s="338"/>
      <c r="BM24" s="338"/>
      <c r="BO24" s="335">
        <f t="shared" si="17"/>
        <v>35915</v>
      </c>
      <c r="BP24" s="345">
        <v>35916</v>
      </c>
      <c r="BQ24" s="317">
        <f t="shared" si="2"/>
        <v>1</v>
      </c>
      <c r="BR24" s="346">
        <v>4.1000000000000002E-2</v>
      </c>
      <c r="BS24" s="337">
        <f t="shared" si="3"/>
        <v>1909.59</v>
      </c>
      <c r="BT24" s="341">
        <f>SUM(BS19:BS24)</f>
        <v>54903.02</v>
      </c>
      <c r="BW24" s="335">
        <f t="shared" si="18"/>
        <v>36132</v>
      </c>
      <c r="BX24" s="345">
        <v>36139</v>
      </c>
      <c r="BY24" s="317">
        <f t="shared" si="4"/>
        <v>7</v>
      </c>
      <c r="BZ24" s="347">
        <v>2.8299999999999999E-2</v>
      </c>
      <c r="CA24" s="337">
        <f t="shared" si="5"/>
        <v>27136.99</v>
      </c>
      <c r="CB24" s="341" t="s">
        <v>35</v>
      </c>
      <c r="CD24" s="335">
        <f t="shared" si="19"/>
        <v>36139</v>
      </c>
      <c r="CE24" s="345">
        <v>36146</v>
      </c>
      <c r="CF24" s="317">
        <f t="shared" si="6"/>
        <v>7</v>
      </c>
      <c r="CG24" s="347">
        <v>3.1399999999999997E-2</v>
      </c>
      <c r="CH24" s="337">
        <f t="shared" si="7"/>
        <v>30109.59</v>
      </c>
      <c r="CI24" s="341" t="s">
        <v>35</v>
      </c>
      <c r="CL24" s="335">
        <f t="shared" si="20"/>
        <v>36831</v>
      </c>
      <c r="CM24" s="345">
        <v>36832</v>
      </c>
      <c r="CN24" s="317">
        <f t="shared" si="8"/>
        <v>1</v>
      </c>
      <c r="CO24" s="346">
        <v>4.3299999999999998E-2</v>
      </c>
      <c r="CP24" s="346"/>
      <c r="CQ24" s="346"/>
      <c r="CR24" s="346"/>
      <c r="CS24" s="346"/>
      <c r="CT24" s="346"/>
      <c r="CU24" s="346"/>
      <c r="CV24" s="337">
        <f t="shared" si="28"/>
        <v>9859.0314209999997</v>
      </c>
    </row>
    <row r="25" spans="1:101" hidden="1" x14ac:dyDescent="0.25">
      <c r="A25" s="335">
        <f t="shared" si="21"/>
        <v>33949</v>
      </c>
      <c r="B25" s="335">
        <v>33974</v>
      </c>
      <c r="C25" s="317">
        <f t="shared" si="9"/>
        <v>25</v>
      </c>
      <c r="D25" s="317"/>
      <c r="E25" s="336">
        <v>2.708E-2</v>
      </c>
      <c r="F25" s="339">
        <f>ROUND(((F24*SUM($C$10:C24))+(E25*C25))/SUM($C$10:C25),5)</f>
        <v>2.8219999999999999E-2</v>
      </c>
      <c r="G25" s="317">
        <v>81.599999999999994</v>
      </c>
      <c r="I25" s="335">
        <f t="shared" si="22"/>
        <v>33990</v>
      </c>
      <c r="J25" s="335">
        <v>33991</v>
      </c>
      <c r="K25" s="317">
        <f t="shared" si="10"/>
        <v>1</v>
      </c>
      <c r="L25" s="317"/>
      <c r="M25" s="336">
        <v>2.511E-2</v>
      </c>
      <c r="N25" s="339">
        <f>ROUND(((N24*SUM($K$10:K24))+(M25*K25))/SUM($K$10:K25),5)</f>
        <v>2.7279999999999999E-2</v>
      </c>
      <c r="O25" s="340">
        <v>72.2</v>
      </c>
      <c r="Q25" s="335">
        <f t="shared" si="23"/>
        <v>34348</v>
      </c>
      <c r="R25" s="335">
        <v>34352</v>
      </c>
      <c r="S25" s="317">
        <f t="shared" si="11"/>
        <v>4</v>
      </c>
      <c r="U25" s="336">
        <v>2.4809999999999999E-2</v>
      </c>
      <c r="V25" s="339">
        <f>ROUND(((V24*SUM($S$10:S24))+(U25*S25))/SUM($S$10:S25),5)</f>
        <v>2.528E-2</v>
      </c>
      <c r="W25" s="340">
        <v>73.7</v>
      </c>
      <c r="Y25" s="335">
        <f t="shared" si="24"/>
        <v>35528</v>
      </c>
      <c r="Z25" s="345">
        <v>35529</v>
      </c>
      <c r="AA25" s="317">
        <f t="shared" si="12"/>
        <v>1</v>
      </c>
      <c r="AC25" s="346">
        <v>3.499E-2</v>
      </c>
      <c r="AD25" s="339">
        <f>ROUND(((AD24*SUM($AA$10:AA24))+(AC25*AA25))/SUM($AA$10:AA25),5)</f>
        <v>3.5470000000000002E-2</v>
      </c>
      <c r="AE25" s="348">
        <v>87.6</v>
      </c>
      <c r="AG25" s="335">
        <f t="shared" si="25"/>
        <v>35838</v>
      </c>
      <c r="AH25" s="345">
        <v>35881</v>
      </c>
      <c r="AI25" s="317">
        <f t="shared" si="13"/>
        <v>43</v>
      </c>
      <c r="AK25" s="346">
        <v>3.4639999999999997E-2</v>
      </c>
      <c r="AL25" s="339">
        <f>ROUND(((AL24*SUM($AI$10:AI24))+(AK25*AI25))/SUM($AI$10:AI25),5)</f>
        <v>3.6330000000000001E-2</v>
      </c>
      <c r="AM25" s="316">
        <v>89.1</v>
      </c>
      <c r="AO25" s="335">
        <f t="shared" si="26"/>
        <v>36091</v>
      </c>
      <c r="AP25" s="345">
        <v>36094</v>
      </c>
      <c r="AQ25" s="317">
        <f t="shared" si="14"/>
        <v>3</v>
      </c>
      <c r="AS25" s="347">
        <v>3.397E-2</v>
      </c>
      <c r="AT25" s="339">
        <f>ROUND(((AT24*SUM($AQ$10:AQ24))+(AS25*AQ25))/SUM($AQ$10:AQ25),5)</f>
        <v>3.7109999999999997E-2</v>
      </c>
      <c r="AU25" s="316">
        <v>119.3</v>
      </c>
      <c r="AW25" s="335">
        <f t="shared" si="27"/>
        <v>36685</v>
      </c>
      <c r="AX25" s="345">
        <v>36721</v>
      </c>
      <c r="AY25" s="317">
        <f t="shared" si="15"/>
        <v>36</v>
      </c>
      <c r="BA25" s="346">
        <v>4.4732000000000001E-2</v>
      </c>
      <c r="BB25" s="339">
        <f>ROUND(((BB24*SUM($AY$10:AY24))+(BA25*AY25))/SUM($AY$10:AY25),5)</f>
        <v>3.551E-2</v>
      </c>
      <c r="BC25" s="348">
        <v>64.680000000000007</v>
      </c>
      <c r="BE25" s="335">
        <f t="shared" si="16"/>
        <v>33967</v>
      </c>
      <c r="BF25" s="335">
        <v>33970</v>
      </c>
      <c r="BG25" s="317">
        <f t="shared" si="0"/>
        <v>3</v>
      </c>
      <c r="BH25" s="336">
        <v>4.1100000000000005E-2</v>
      </c>
      <c r="BI25" s="337">
        <f t="shared" si="1"/>
        <v>10106.56</v>
      </c>
      <c r="BJ25" s="341">
        <f>SUM(BI21:BI25)</f>
        <v>74081.97</v>
      </c>
      <c r="BK25" s="341">
        <v>68394.2</v>
      </c>
      <c r="BL25" s="341">
        <f>BJ25-BK25</f>
        <v>5687.7700000000041</v>
      </c>
      <c r="BM25" s="341">
        <f>BM20+BL25</f>
        <v>-3895.9199999999801</v>
      </c>
      <c r="BO25" s="335">
        <f t="shared" si="17"/>
        <v>35916</v>
      </c>
      <c r="BP25" s="345">
        <v>35922</v>
      </c>
      <c r="BQ25" s="317">
        <f t="shared" si="2"/>
        <v>6</v>
      </c>
      <c r="BR25" s="346">
        <v>4.1000000000000002E-2</v>
      </c>
      <c r="BS25" s="337">
        <f t="shared" si="3"/>
        <v>11457.53</v>
      </c>
      <c r="BT25" s="341" t="s">
        <v>35</v>
      </c>
      <c r="BW25" s="335">
        <f t="shared" si="18"/>
        <v>36139</v>
      </c>
      <c r="BX25" s="345">
        <v>36146</v>
      </c>
      <c r="BY25" s="317">
        <f t="shared" si="4"/>
        <v>7</v>
      </c>
      <c r="BZ25" s="347">
        <v>3.1399999999999997E-2</v>
      </c>
      <c r="CA25" s="337">
        <f t="shared" si="5"/>
        <v>30109.59</v>
      </c>
      <c r="CD25" s="335">
        <f t="shared" si="19"/>
        <v>36146</v>
      </c>
      <c r="CE25" s="345">
        <v>36153</v>
      </c>
      <c r="CF25" s="317">
        <f t="shared" si="6"/>
        <v>7</v>
      </c>
      <c r="CG25" s="347">
        <v>3.4500000000000003E-2</v>
      </c>
      <c r="CH25" s="337">
        <f t="shared" si="7"/>
        <v>33082.19</v>
      </c>
      <c r="CL25" s="335">
        <f t="shared" si="20"/>
        <v>36832</v>
      </c>
      <c r="CM25" s="345">
        <v>36839</v>
      </c>
      <c r="CN25" s="317">
        <f t="shared" si="8"/>
        <v>7</v>
      </c>
      <c r="CO25" s="346">
        <v>4.2799999999999998E-2</v>
      </c>
      <c r="CP25" s="346"/>
      <c r="CQ25" s="346"/>
      <c r="CR25" s="346"/>
      <c r="CS25" s="346"/>
      <c r="CT25" s="346"/>
      <c r="CU25" s="346"/>
      <c r="CV25" s="337">
        <f t="shared" si="28"/>
        <v>68216.300545999999</v>
      </c>
    </row>
    <row r="26" spans="1:101" hidden="1" x14ac:dyDescent="0.25">
      <c r="A26" s="335">
        <f t="shared" si="21"/>
        <v>33974</v>
      </c>
      <c r="B26" s="335">
        <v>33982</v>
      </c>
      <c r="C26" s="317">
        <f t="shared" si="9"/>
        <v>8</v>
      </c>
      <c r="D26" s="317"/>
      <c r="E26" s="336">
        <v>2.6950000000000002E-2</v>
      </c>
      <c r="F26" s="339">
        <f>ROUND(((F25*SUM($C$10:C25))+(E26*C26))/SUM($C$10:C26),5)</f>
        <v>2.8129999999999999E-2</v>
      </c>
      <c r="G26" s="317">
        <v>80.900000000000006</v>
      </c>
      <c r="I26" s="335">
        <f t="shared" si="22"/>
        <v>33991</v>
      </c>
      <c r="J26" s="335">
        <v>33995</v>
      </c>
      <c r="K26" s="317">
        <f t="shared" si="10"/>
        <v>4</v>
      </c>
      <c r="L26" s="317"/>
      <c r="M26" s="336">
        <v>2.511E-2</v>
      </c>
      <c r="N26" s="339">
        <f>ROUND(((N25*SUM($K$10:K25))+(M26*K26))/SUM($K$10:K26),5)</f>
        <v>2.7210000000000002E-2</v>
      </c>
      <c r="O26" s="340">
        <v>73.8</v>
      </c>
      <c r="Q26" s="335">
        <f t="shared" si="23"/>
        <v>34352</v>
      </c>
      <c r="R26" s="335">
        <v>34353</v>
      </c>
      <c r="S26" s="317">
        <f t="shared" si="11"/>
        <v>1</v>
      </c>
      <c r="U26" s="336">
        <v>2.4809999999999999E-2</v>
      </c>
      <c r="V26" s="339">
        <f>ROUND(((V25*SUM($S$10:S25))+(U26*S26))/SUM($S$10:S26),5)</f>
        <v>2.528E-2</v>
      </c>
      <c r="W26" s="340">
        <v>73.599999999999994</v>
      </c>
      <c r="Y26" s="335">
        <f t="shared" si="24"/>
        <v>35529</v>
      </c>
      <c r="Z26" s="345">
        <v>35573</v>
      </c>
      <c r="AA26" s="317">
        <f t="shared" si="12"/>
        <v>44</v>
      </c>
      <c r="AC26" s="346">
        <v>3.6380000000000003E-2</v>
      </c>
      <c r="AD26" s="339">
        <f>ROUND(((AD25*SUM($AA$10:AA25))+(AC26*AA26))/SUM($AA$10:AA26),5)</f>
        <v>3.5639999999999998E-2</v>
      </c>
      <c r="AE26" s="348">
        <v>127.7</v>
      </c>
      <c r="AG26" s="335">
        <f t="shared" si="25"/>
        <v>35881</v>
      </c>
      <c r="AH26" s="345">
        <v>35919</v>
      </c>
      <c r="AI26" s="317">
        <f t="shared" si="13"/>
        <v>38</v>
      </c>
      <c r="AK26" s="346">
        <v>3.5459999999999998E-2</v>
      </c>
      <c r="AL26" s="339">
        <f>ROUND(((AL25*SUM($AI$10:AI25))+(AK26*AI26))/SUM($AI$10:AI26),5)</f>
        <v>3.6269999999999997E-2</v>
      </c>
      <c r="AM26" s="316">
        <v>102.6</v>
      </c>
      <c r="AO26" s="335">
        <f t="shared" si="26"/>
        <v>36094</v>
      </c>
      <c r="AP26" s="345">
        <v>36112</v>
      </c>
      <c r="AQ26" s="317">
        <f t="shared" si="14"/>
        <v>18</v>
      </c>
      <c r="AS26" s="347">
        <v>3.3689999999999998E-2</v>
      </c>
      <c r="AT26" s="339">
        <f>ROUND(((AT25*SUM($AQ$10:AQ25))+(AS26*AQ26))/SUM($AQ$10:AQ26),5)</f>
        <v>3.6940000000000001E-2</v>
      </c>
      <c r="AU26" s="316">
        <v>131.1</v>
      </c>
      <c r="AW26" s="335">
        <f t="shared" si="27"/>
        <v>36721</v>
      </c>
      <c r="AX26" s="345">
        <v>36756</v>
      </c>
      <c r="AY26" s="317">
        <f t="shared" si="15"/>
        <v>35</v>
      </c>
      <c r="BA26" s="346">
        <v>4.4808000000000001E-2</v>
      </c>
      <c r="BB26" s="339">
        <f>ROUND(((BB25*SUM($AY$10:AY25))+(BA26*AY26))/SUM($AY$10:AY26),5)</f>
        <v>3.5830000000000001E-2</v>
      </c>
      <c r="BC26" s="348">
        <v>56.78</v>
      </c>
      <c r="BE26" s="335">
        <f t="shared" si="16"/>
        <v>33970</v>
      </c>
      <c r="BF26" s="335">
        <v>33974</v>
      </c>
      <c r="BG26" s="317">
        <f t="shared" si="0"/>
        <v>4</v>
      </c>
      <c r="BH26" s="336">
        <v>4.1100000000000005E-2</v>
      </c>
      <c r="BI26" s="337">
        <f t="shared" ref="BI26:BI89" si="29">ROUND($BI$5*BH26*BG26/365,2)</f>
        <v>13512.33</v>
      </c>
      <c r="BJ26" s="338"/>
      <c r="BK26" s="341"/>
      <c r="BL26" s="338"/>
      <c r="BM26" s="338"/>
      <c r="BO26" s="335">
        <f t="shared" si="17"/>
        <v>35922</v>
      </c>
      <c r="BP26" s="345">
        <v>35929</v>
      </c>
      <c r="BQ26" s="317">
        <f t="shared" si="2"/>
        <v>7</v>
      </c>
      <c r="BR26" s="346">
        <v>3.8199999999999998E-2</v>
      </c>
      <c r="BS26" s="337">
        <f t="shared" si="3"/>
        <v>12454.25</v>
      </c>
      <c r="BW26" s="335">
        <f t="shared" si="18"/>
        <v>36146</v>
      </c>
      <c r="BX26" s="345">
        <v>36153</v>
      </c>
      <c r="BY26" s="317">
        <f t="shared" si="4"/>
        <v>7</v>
      </c>
      <c r="BZ26" s="347">
        <v>3.4500000000000003E-2</v>
      </c>
      <c r="CA26" s="337">
        <f t="shared" si="5"/>
        <v>33082.19</v>
      </c>
      <c r="CD26" s="335">
        <f t="shared" si="19"/>
        <v>36153</v>
      </c>
      <c r="CE26" s="345">
        <v>36160</v>
      </c>
      <c r="CF26" s="317">
        <f t="shared" si="6"/>
        <v>7</v>
      </c>
      <c r="CG26" s="347">
        <v>3.7600000000000001E-2</v>
      </c>
      <c r="CH26" s="337">
        <f t="shared" si="7"/>
        <v>36054.79</v>
      </c>
      <c r="CL26" s="335">
        <f t="shared" si="20"/>
        <v>36839</v>
      </c>
      <c r="CM26" s="345">
        <v>36846</v>
      </c>
      <c r="CN26" s="317">
        <f t="shared" si="8"/>
        <v>7</v>
      </c>
      <c r="CO26" s="346">
        <v>4.3900000000000002E-2</v>
      </c>
      <c r="CP26" s="346"/>
      <c r="CQ26" s="346"/>
      <c r="CR26" s="346"/>
      <c r="CS26" s="346"/>
      <c r="CT26" s="346"/>
      <c r="CU26" s="346"/>
      <c r="CV26" s="337">
        <f t="shared" si="28"/>
        <v>69969.523224000004</v>
      </c>
    </row>
    <row r="27" spans="1:101" hidden="1" x14ac:dyDescent="0.25">
      <c r="A27" s="335">
        <f t="shared" si="21"/>
        <v>33982</v>
      </c>
      <c r="B27" s="335">
        <v>33988</v>
      </c>
      <c r="C27" s="317">
        <f t="shared" si="9"/>
        <v>6</v>
      </c>
      <c r="D27" s="317"/>
      <c r="E27" s="336">
        <v>2.528E-2</v>
      </c>
      <c r="F27" s="339">
        <f>ROUND(((F26*SUM($C$10:C26))+(E27*C27))/SUM($C$10:C27),5)</f>
        <v>2.7990000000000001E-2</v>
      </c>
      <c r="G27" s="317">
        <v>65.099999999999994</v>
      </c>
      <c r="I27" s="335">
        <f t="shared" si="22"/>
        <v>33995</v>
      </c>
      <c r="J27" s="335">
        <v>34010</v>
      </c>
      <c r="K27" s="317">
        <f t="shared" si="10"/>
        <v>15</v>
      </c>
      <c r="L27" s="317"/>
      <c r="M27" s="336">
        <v>2.5250000000000002E-2</v>
      </c>
      <c r="N27" s="339">
        <f>ROUND(((N26*SUM($K$10:K26))+(M27*K27))/SUM($K$10:K27),5)</f>
        <v>2.7009999999999999E-2</v>
      </c>
      <c r="O27" s="340">
        <v>93.5</v>
      </c>
      <c r="Q27" s="335">
        <f t="shared" si="23"/>
        <v>34353</v>
      </c>
      <c r="R27" s="335">
        <v>34361</v>
      </c>
      <c r="S27" s="317">
        <f t="shared" si="11"/>
        <v>8</v>
      </c>
      <c r="U27" s="336">
        <v>2.4800000000000003E-2</v>
      </c>
      <c r="V27" s="339">
        <f>ROUND(((V26*SUM($S$10:S26))+(U27*S27))/SUM($S$10:S27),5)</f>
        <v>2.5250000000000002E-2</v>
      </c>
      <c r="W27" s="340">
        <v>73.8</v>
      </c>
      <c r="Y27" s="335">
        <f t="shared" si="24"/>
        <v>35573</v>
      </c>
      <c r="Z27" s="345">
        <v>35619</v>
      </c>
      <c r="AA27" s="317">
        <f t="shared" si="12"/>
        <v>46</v>
      </c>
      <c r="AC27" s="346">
        <v>3.6999999999999998E-2</v>
      </c>
      <c r="AD27" s="339">
        <f>ROUND(((AD26*SUM($AA$10:AA26))+(AC27*AA27))/SUM($AA$10:AA27),5)</f>
        <v>3.5860000000000003E-2</v>
      </c>
      <c r="AE27" s="348">
        <v>102.5</v>
      </c>
      <c r="AG27" s="335">
        <f t="shared" si="25"/>
        <v>35919</v>
      </c>
      <c r="AH27" s="345">
        <v>35927</v>
      </c>
      <c r="AI27" s="317">
        <f t="shared" si="13"/>
        <v>8</v>
      </c>
      <c r="AK27" s="346">
        <v>3.6560000000000002E-2</v>
      </c>
      <c r="AL27" s="339">
        <f>ROUND(((AL26*SUM($AI$10:AI26))+(AK27*AI27))/SUM($AI$10:AI27),5)</f>
        <v>3.6269999999999997E-2</v>
      </c>
      <c r="AM27" s="316">
        <v>121.4</v>
      </c>
      <c r="AO27" s="335">
        <f t="shared" si="26"/>
        <v>36112</v>
      </c>
      <c r="AP27" s="345">
        <v>36140</v>
      </c>
      <c r="AQ27" s="317">
        <f t="shared" si="14"/>
        <v>28</v>
      </c>
      <c r="AS27" s="347">
        <v>3.3489999999999999E-2</v>
      </c>
      <c r="AT27" s="339">
        <f>ROUND(((AT26*SUM($AQ$10:AQ26))+(AS27*AQ27))/SUM($AQ$10:AQ27),5)</f>
        <v>3.669E-2</v>
      </c>
      <c r="AU27" s="348">
        <v>126.9</v>
      </c>
      <c r="AW27" s="335">
        <f t="shared" si="27"/>
        <v>36756</v>
      </c>
      <c r="AX27" s="345">
        <v>36791</v>
      </c>
      <c r="AY27" s="317">
        <f t="shared" si="15"/>
        <v>35</v>
      </c>
      <c r="BA27" s="346">
        <v>4.5999999999999999E-2</v>
      </c>
      <c r="BB27" s="339">
        <f>ROUND(((BB26*SUM($AY$10:AY26))+(BA27*AY27))/SUM($AY$10:AY27),5)</f>
        <v>3.6170000000000001E-2</v>
      </c>
      <c r="BC27" s="348">
        <v>35</v>
      </c>
      <c r="BE27" s="335">
        <f t="shared" si="16"/>
        <v>33974</v>
      </c>
      <c r="BF27" s="335">
        <v>33981</v>
      </c>
      <c r="BG27" s="317">
        <f t="shared" si="0"/>
        <v>7</v>
      </c>
      <c r="BH27" s="336">
        <v>1.78E-2</v>
      </c>
      <c r="BI27" s="337">
        <f t="shared" si="29"/>
        <v>10241.1</v>
      </c>
      <c r="BJ27" s="338"/>
      <c r="BK27" s="341"/>
      <c r="BL27" s="338"/>
      <c r="BM27" s="338"/>
      <c r="BO27" s="335">
        <f t="shared" si="17"/>
        <v>35929</v>
      </c>
      <c r="BP27" s="345">
        <v>35936</v>
      </c>
      <c r="BQ27" s="317">
        <f t="shared" si="2"/>
        <v>7</v>
      </c>
      <c r="BR27" s="346">
        <v>3.9E-2</v>
      </c>
      <c r="BS27" s="337">
        <f t="shared" si="3"/>
        <v>12715.07</v>
      </c>
      <c r="BT27" s="350" t="s">
        <v>35</v>
      </c>
      <c r="BW27" s="335">
        <f t="shared" si="18"/>
        <v>36153</v>
      </c>
      <c r="BX27" s="345">
        <v>36160</v>
      </c>
      <c r="BY27" s="317">
        <f t="shared" si="4"/>
        <v>7</v>
      </c>
      <c r="BZ27" s="347">
        <v>3.7600000000000001E-2</v>
      </c>
      <c r="CA27" s="337">
        <f t="shared" si="5"/>
        <v>36054.79</v>
      </c>
      <c r="CD27" s="335">
        <f t="shared" si="19"/>
        <v>36160</v>
      </c>
      <c r="CE27" s="345">
        <v>36161</v>
      </c>
      <c r="CF27" s="317">
        <f t="shared" si="6"/>
        <v>1</v>
      </c>
      <c r="CG27" s="347">
        <v>0.04</v>
      </c>
      <c r="CH27" s="337">
        <f t="shared" si="7"/>
        <v>5479.45</v>
      </c>
      <c r="CI27" s="341">
        <f>SUM(CH22:CH27)</f>
        <v>140438.35</v>
      </c>
      <c r="CL27" s="335">
        <f t="shared" si="20"/>
        <v>36846</v>
      </c>
      <c r="CM27" s="345">
        <v>36853</v>
      </c>
      <c r="CN27" s="317">
        <f t="shared" si="8"/>
        <v>7</v>
      </c>
      <c r="CO27" s="346">
        <v>4.5600000000000002E-2</v>
      </c>
      <c r="CP27" s="346"/>
      <c r="CQ27" s="346"/>
      <c r="CR27" s="346"/>
      <c r="CS27" s="346"/>
      <c r="CT27" s="346"/>
      <c r="CU27" s="346"/>
      <c r="CV27" s="337">
        <f t="shared" si="28"/>
        <v>72679.049180000002</v>
      </c>
    </row>
    <row r="28" spans="1:101" hidden="1" x14ac:dyDescent="0.25">
      <c r="A28" s="335">
        <f t="shared" si="21"/>
        <v>33988</v>
      </c>
      <c r="B28" s="335">
        <v>33989</v>
      </c>
      <c r="C28" s="317">
        <f t="shared" si="9"/>
        <v>1</v>
      </c>
      <c r="D28" s="317"/>
      <c r="E28" s="336">
        <v>2.4050000000000002E-2</v>
      </c>
      <c r="F28" s="339">
        <f>ROUND(((F27*SUM($C$10:C27))+(E28*C28))/SUM($C$10:C28),5)</f>
        <v>2.7959999999999999E-2</v>
      </c>
      <c r="G28" s="317">
        <v>73.3</v>
      </c>
      <c r="I28" s="335">
        <f t="shared" si="22"/>
        <v>34010</v>
      </c>
      <c r="J28" s="335">
        <v>34017</v>
      </c>
      <c r="K28" s="317">
        <f t="shared" si="10"/>
        <v>7</v>
      </c>
      <c r="L28" s="317"/>
      <c r="M28" s="336">
        <v>2.5159999999999998E-2</v>
      </c>
      <c r="N28" s="339">
        <f>ROUND(((N27*SUM($K$10:K27))+(M28*K28))/SUM($K$10:K28),5)</f>
        <v>2.6929999999999999E-2</v>
      </c>
      <c r="O28" s="340">
        <v>98.7</v>
      </c>
      <c r="Q28" s="335">
        <f t="shared" si="23"/>
        <v>34361</v>
      </c>
      <c r="R28" s="335">
        <v>34367</v>
      </c>
      <c r="S28" s="317">
        <f t="shared" si="11"/>
        <v>6</v>
      </c>
      <c r="U28" s="336">
        <v>2.2669999999999999E-2</v>
      </c>
      <c r="V28" s="339">
        <f>ROUND(((V27*SUM($S$10:S27))+(U28*S28))/SUM($S$10:S28),5)</f>
        <v>2.5149999999999999E-2</v>
      </c>
      <c r="W28" s="340">
        <v>40.200000000000003</v>
      </c>
      <c r="Y28" s="335">
        <f t="shared" si="24"/>
        <v>35619</v>
      </c>
      <c r="Z28" s="345">
        <v>35620</v>
      </c>
      <c r="AA28" s="317">
        <f t="shared" si="12"/>
        <v>1</v>
      </c>
      <c r="AC28" s="346">
        <v>3.6979999999999999E-2</v>
      </c>
      <c r="AD28" s="339">
        <f>ROUND(((AD27*SUM($AA$10:AA27))+(AC28*AA28))/SUM($AA$10:AA28),5)</f>
        <v>3.5860000000000003E-2</v>
      </c>
      <c r="AE28" s="348">
        <v>97.4</v>
      </c>
      <c r="AG28" s="335">
        <f t="shared" si="25"/>
        <v>35927</v>
      </c>
      <c r="AH28" s="345">
        <v>35928</v>
      </c>
      <c r="AI28" s="317">
        <f t="shared" si="13"/>
        <v>1</v>
      </c>
      <c r="AK28" s="346">
        <v>3.637E-2</v>
      </c>
      <c r="AL28" s="339">
        <f>ROUND(((AL27*SUM($AI$10:AI27))+(AK28*AI28))/SUM($AI$10:AI28),5)</f>
        <v>3.6269999999999997E-2</v>
      </c>
      <c r="AM28" s="316">
        <v>107.7</v>
      </c>
      <c r="AO28" s="335">
        <f t="shared" si="26"/>
        <v>36140</v>
      </c>
      <c r="AP28" s="345">
        <v>36147</v>
      </c>
      <c r="AQ28" s="317">
        <f t="shared" si="14"/>
        <v>7</v>
      </c>
      <c r="AS28" s="347">
        <v>3.2199999999999999E-2</v>
      </c>
      <c r="AT28" s="339">
        <f>ROUND(((AT27*SUM($AQ$10:AQ27))+(AS28*AQ28))/SUM($AQ$10:AQ28),5)</f>
        <v>3.6609999999999997E-2</v>
      </c>
      <c r="AU28" s="316">
        <v>126.4</v>
      </c>
      <c r="AW28" s="335">
        <f t="shared" si="27"/>
        <v>36791</v>
      </c>
      <c r="AX28" s="345">
        <v>36826</v>
      </c>
      <c r="AY28" s="317">
        <f t="shared" si="15"/>
        <v>35</v>
      </c>
      <c r="BA28" s="346">
        <v>4.9000000000000002E-2</v>
      </c>
      <c r="BB28" s="339">
        <f>ROUND(((BB27*SUM($AY$10:AY27))+(BA28*AY28))/SUM($AY$10:AY28),5)</f>
        <v>3.6589999999999998E-2</v>
      </c>
      <c r="BC28" s="348">
        <v>35</v>
      </c>
      <c r="BE28" s="335">
        <f t="shared" si="16"/>
        <v>33981</v>
      </c>
      <c r="BF28" s="335">
        <v>33988</v>
      </c>
      <c r="BG28" s="317">
        <f t="shared" si="0"/>
        <v>7</v>
      </c>
      <c r="BH28" s="336">
        <v>1.66E-2</v>
      </c>
      <c r="BI28" s="337">
        <f t="shared" si="29"/>
        <v>9550.68</v>
      </c>
      <c r="BJ28" s="338"/>
      <c r="BK28" s="341"/>
      <c r="BL28" s="338"/>
      <c r="BM28" s="338"/>
      <c r="BO28" s="335">
        <f t="shared" si="17"/>
        <v>35936</v>
      </c>
      <c r="BP28" s="345">
        <v>35943</v>
      </c>
      <c r="BQ28" s="317">
        <f t="shared" si="2"/>
        <v>7</v>
      </c>
      <c r="BR28" s="346">
        <v>3.7999999999999999E-2</v>
      </c>
      <c r="BS28" s="337">
        <f t="shared" si="3"/>
        <v>12389.04</v>
      </c>
      <c r="BW28" s="335">
        <f t="shared" si="18"/>
        <v>36160</v>
      </c>
      <c r="BX28" s="345">
        <v>36161</v>
      </c>
      <c r="BY28" s="317">
        <f t="shared" si="4"/>
        <v>1</v>
      </c>
      <c r="BZ28" s="347">
        <v>0.04</v>
      </c>
      <c r="CA28" s="337">
        <f t="shared" si="5"/>
        <v>5479.45</v>
      </c>
      <c r="CB28" s="341">
        <f>SUM(CA23:CA28)</f>
        <v>140438.35</v>
      </c>
      <c r="CD28" s="335">
        <f t="shared" si="19"/>
        <v>36161</v>
      </c>
      <c r="CE28" s="345">
        <v>36167</v>
      </c>
      <c r="CF28" s="317">
        <f t="shared" si="6"/>
        <v>6</v>
      </c>
      <c r="CG28" s="347">
        <v>0.04</v>
      </c>
      <c r="CH28" s="337">
        <f t="shared" si="7"/>
        <v>32876.71</v>
      </c>
      <c r="CL28" s="335">
        <f t="shared" si="20"/>
        <v>36853</v>
      </c>
      <c r="CM28" s="345">
        <v>36860</v>
      </c>
      <c r="CN28" s="317">
        <f t="shared" si="8"/>
        <v>7</v>
      </c>
      <c r="CO28" s="347">
        <v>4.2999999999999997E-2</v>
      </c>
      <c r="CP28" s="347"/>
      <c r="CQ28" s="347"/>
      <c r="CR28" s="347"/>
      <c r="CS28" s="347"/>
      <c r="CT28" s="347"/>
      <c r="CU28" s="347"/>
      <c r="CV28" s="337">
        <f t="shared" si="28"/>
        <v>68535.068306000001</v>
      </c>
    </row>
    <row r="29" spans="1:101" hidden="1" x14ac:dyDescent="0.25">
      <c r="A29" s="335">
        <f t="shared" si="21"/>
        <v>33989</v>
      </c>
      <c r="B29" s="335">
        <v>33996</v>
      </c>
      <c r="C29" s="317">
        <f t="shared" si="9"/>
        <v>7</v>
      </c>
      <c r="D29" s="317"/>
      <c r="E29" s="336">
        <v>2.3259999999999999E-2</v>
      </c>
      <c r="F29" s="339">
        <f>ROUND(((F28*SUM($C$10:C28))+(E29*C29))/SUM($C$10:C29),5)</f>
        <v>2.7709999999999999E-2</v>
      </c>
      <c r="G29" s="317">
        <v>65.599999999999994</v>
      </c>
      <c r="I29" s="335">
        <f t="shared" si="22"/>
        <v>34017</v>
      </c>
      <c r="J29" s="335">
        <v>34029</v>
      </c>
      <c r="K29" s="317">
        <f t="shared" si="10"/>
        <v>12</v>
      </c>
      <c r="L29" s="317"/>
      <c r="M29" s="336">
        <v>2.4289999999999999E-2</v>
      </c>
      <c r="N29" s="339">
        <f>ROUND(((N28*SUM($K$10:K28))+(M29*K29))/SUM($K$10:K29),5)</f>
        <v>2.674E-2</v>
      </c>
      <c r="O29" s="340">
        <v>95.2</v>
      </c>
      <c r="Q29" s="335">
        <f t="shared" si="23"/>
        <v>34367</v>
      </c>
      <c r="R29" s="335">
        <v>34372</v>
      </c>
      <c r="S29" s="317">
        <f t="shared" si="11"/>
        <v>5</v>
      </c>
      <c r="U29" s="336">
        <v>2.274E-2</v>
      </c>
      <c r="V29" s="339">
        <f>ROUND(((V28*SUM($S$10:S28))+(U29*S29))/SUM($S$10:S29),5)</f>
        <v>2.5069999999999999E-2</v>
      </c>
      <c r="W29" s="340">
        <v>39.200000000000003</v>
      </c>
      <c r="Y29" s="335">
        <f t="shared" si="24"/>
        <v>35620</v>
      </c>
      <c r="Z29" s="345">
        <v>35621</v>
      </c>
      <c r="AA29" s="317">
        <f t="shared" si="12"/>
        <v>1</v>
      </c>
      <c r="AC29" s="346">
        <v>3.6979999999999999E-2</v>
      </c>
      <c r="AD29" s="339">
        <f>ROUND(((AD28*SUM($AA$10:AA28))+(AC29*AA29))/SUM($AA$10:AA29),5)</f>
        <v>3.5860000000000003E-2</v>
      </c>
      <c r="AE29" s="348">
        <v>97.4</v>
      </c>
      <c r="AG29" s="335">
        <f t="shared" si="25"/>
        <v>35928</v>
      </c>
      <c r="AH29" s="345">
        <v>35951</v>
      </c>
      <c r="AI29" s="317">
        <f t="shared" si="13"/>
        <v>23</v>
      </c>
      <c r="AK29" s="346">
        <v>3.6479999999999999E-2</v>
      </c>
      <c r="AL29" s="339">
        <f>ROUND(((AL28*SUM($AI$10:AI28))+(AK29*AI29))/SUM($AI$10:AI29),5)</f>
        <v>3.628E-2</v>
      </c>
      <c r="AM29" s="316">
        <v>118.5</v>
      </c>
      <c r="AO29" s="335">
        <f t="shared" si="26"/>
        <v>36147</v>
      </c>
      <c r="AP29" s="345">
        <v>36182</v>
      </c>
      <c r="AQ29" s="317">
        <f t="shared" si="14"/>
        <v>35</v>
      </c>
      <c r="AS29" s="347">
        <v>3.0929999999999999E-2</v>
      </c>
      <c r="AT29" s="339">
        <f>ROUND(((AT28*SUM($AQ$10:AQ28))+(AS29*AQ29))/SUM($AQ$10:AQ29),5)</f>
        <v>3.6150000000000002E-2</v>
      </c>
      <c r="AU29" s="316">
        <v>124.1</v>
      </c>
      <c r="AW29" s="335">
        <f t="shared" si="27"/>
        <v>36826</v>
      </c>
      <c r="AX29" s="345">
        <v>36938</v>
      </c>
      <c r="AY29" s="317">
        <f t="shared" si="15"/>
        <v>112</v>
      </c>
      <c r="BA29" s="346">
        <v>4.6431E-2</v>
      </c>
      <c r="BB29" s="339">
        <f>ROUND(((BB28*SUM($AY$10:AY28))+(BA29*AY29))/SUM($AY$10:AY29),5)</f>
        <v>3.7519999999999998E-2</v>
      </c>
      <c r="BC29" s="348">
        <v>81.69</v>
      </c>
      <c r="BE29" s="335">
        <f t="shared" si="16"/>
        <v>33988</v>
      </c>
      <c r="BF29" s="335">
        <v>33995</v>
      </c>
      <c r="BG29" s="317">
        <f t="shared" si="0"/>
        <v>7</v>
      </c>
      <c r="BH29" s="336">
        <v>2.0500000000000001E-2</v>
      </c>
      <c r="BI29" s="337">
        <f t="shared" si="29"/>
        <v>11794.52</v>
      </c>
      <c r="BJ29" s="338"/>
      <c r="BK29" s="341"/>
      <c r="BL29" s="338"/>
      <c r="BM29" s="338"/>
      <c r="BO29" s="335">
        <f t="shared" si="17"/>
        <v>35943</v>
      </c>
      <c r="BP29" s="345">
        <v>35947</v>
      </c>
      <c r="BQ29" s="317">
        <f t="shared" si="2"/>
        <v>4</v>
      </c>
      <c r="BR29" s="346">
        <v>3.8699999999999998E-2</v>
      </c>
      <c r="BS29" s="337">
        <f t="shared" si="3"/>
        <v>7209.86</v>
      </c>
      <c r="BT29" s="341">
        <f>SUM(BS25:BS29)</f>
        <v>56225.75</v>
      </c>
      <c r="BW29" s="335">
        <f t="shared" si="18"/>
        <v>36161</v>
      </c>
      <c r="BX29" s="345">
        <v>36167</v>
      </c>
      <c r="BY29" s="317">
        <f t="shared" si="4"/>
        <v>6</v>
      </c>
      <c r="BZ29" s="347">
        <v>0.04</v>
      </c>
      <c r="CA29" s="337">
        <f t="shared" si="5"/>
        <v>32876.71</v>
      </c>
      <c r="CD29" s="335">
        <f t="shared" si="19"/>
        <v>36167</v>
      </c>
      <c r="CE29" s="345">
        <v>36174</v>
      </c>
      <c r="CF29" s="317">
        <f t="shared" si="6"/>
        <v>7</v>
      </c>
      <c r="CG29" s="347">
        <v>2.86E-2</v>
      </c>
      <c r="CH29" s="337">
        <f t="shared" si="7"/>
        <v>27424.66</v>
      </c>
      <c r="CL29" s="335">
        <f t="shared" si="20"/>
        <v>36860</v>
      </c>
      <c r="CM29" s="345">
        <v>36861</v>
      </c>
      <c r="CN29" s="317">
        <f t="shared" si="8"/>
        <v>1</v>
      </c>
      <c r="CO29" s="347">
        <v>4.1200000000000001E-2</v>
      </c>
      <c r="CP29" s="347"/>
      <c r="CQ29" s="347"/>
      <c r="CR29" s="347"/>
      <c r="CS29" s="347"/>
      <c r="CT29" s="347"/>
      <c r="CU29" s="347"/>
      <c r="CV29" s="337">
        <f t="shared" si="28"/>
        <v>9380.8797809999996</v>
      </c>
      <c r="CW29" s="341">
        <f>SUM(CV24:CV29)</f>
        <v>298639.85245800001</v>
      </c>
    </row>
    <row r="30" spans="1:101" hidden="1" x14ac:dyDescent="0.25">
      <c r="A30" s="335">
        <f t="shared" si="21"/>
        <v>33996</v>
      </c>
      <c r="B30" s="335">
        <v>34002</v>
      </c>
      <c r="C30" s="317">
        <f t="shared" si="9"/>
        <v>6</v>
      </c>
      <c r="D30" s="317"/>
      <c r="E30" s="336">
        <v>2.3230000000000001E-2</v>
      </c>
      <c r="F30" s="339">
        <f>ROUND(((F29*SUM($C$10:C29))+(E30*C30))/SUM($C$10:C30),5)</f>
        <v>2.7519999999999999E-2</v>
      </c>
      <c r="G30" s="317">
        <v>66.2</v>
      </c>
      <c r="I30" s="335">
        <f t="shared" si="22"/>
        <v>34029</v>
      </c>
      <c r="J30" s="335">
        <v>34057</v>
      </c>
      <c r="K30" s="317">
        <f t="shared" si="10"/>
        <v>28</v>
      </c>
      <c r="L30" s="317"/>
      <c r="M30" s="336">
        <v>2.392E-2</v>
      </c>
      <c r="N30" s="339">
        <f>ROUND(((N29*SUM($K$10:K29))+(M30*K30))/SUM($K$10:K30),5)</f>
        <v>2.6329999999999999E-2</v>
      </c>
      <c r="O30" s="340">
        <v>88.2</v>
      </c>
      <c r="Q30" s="335">
        <f t="shared" si="23"/>
        <v>34372</v>
      </c>
      <c r="R30" s="335">
        <v>34373</v>
      </c>
      <c r="S30" s="317">
        <f t="shared" si="11"/>
        <v>1</v>
      </c>
      <c r="U30" s="336">
        <v>2.2759999999999999E-2</v>
      </c>
      <c r="V30" s="339">
        <f>ROUND(((V29*SUM($S$10:S29))+(U30*S30))/SUM($S$10:S30),5)</f>
        <v>2.5059999999999999E-2</v>
      </c>
      <c r="W30" s="340">
        <v>39</v>
      </c>
      <c r="Y30" s="335">
        <f t="shared" si="24"/>
        <v>35621</v>
      </c>
      <c r="Z30" s="345">
        <v>35657</v>
      </c>
      <c r="AA30" s="317">
        <f t="shared" si="12"/>
        <v>36</v>
      </c>
      <c r="AC30" s="346">
        <v>3.7150000000000002E-2</v>
      </c>
      <c r="AD30" s="339">
        <f>ROUND(((AD29*SUM($AA$10:AA29))+(AC30*AA30))/SUM($AA$10:AA30),5)</f>
        <v>3.601E-2</v>
      </c>
      <c r="AE30" s="348">
        <v>115.7</v>
      </c>
      <c r="AG30" s="335">
        <f t="shared" si="25"/>
        <v>35951</v>
      </c>
      <c r="AH30" s="345">
        <v>35990</v>
      </c>
      <c r="AI30" s="317">
        <f t="shared" si="13"/>
        <v>39</v>
      </c>
      <c r="AK30" s="346">
        <v>3.6819999999999999E-2</v>
      </c>
      <c r="AL30" s="339">
        <f>ROUND(((AL29*SUM($AI$10:AI29))+(AK30*AI30))/SUM($AI$10:AI30),5)</f>
        <v>3.6310000000000002E-2</v>
      </c>
      <c r="AM30" s="348">
        <v>115</v>
      </c>
      <c r="AO30" s="335">
        <f t="shared" si="26"/>
        <v>36182</v>
      </c>
      <c r="AP30" s="345">
        <v>36185</v>
      </c>
      <c r="AQ30" s="317">
        <f t="shared" si="14"/>
        <v>3</v>
      </c>
      <c r="AS30" s="347">
        <v>3.0839999999999999E-2</v>
      </c>
      <c r="AT30" s="339">
        <f>ROUND(((AT29*SUM($AQ$10:AQ29))+(AS30*AQ30))/SUM($AQ$10:AQ30),5)</f>
        <v>3.6110000000000003E-2</v>
      </c>
      <c r="AU30" s="316">
        <v>119.3</v>
      </c>
      <c r="AW30" s="335">
        <f t="shared" si="27"/>
        <v>36938</v>
      </c>
      <c r="AX30" s="345">
        <v>36991</v>
      </c>
      <c r="AY30" s="317">
        <f t="shared" si="15"/>
        <v>53</v>
      </c>
      <c r="BA30" s="346">
        <v>4.3968E-2</v>
      </c>
      <c r="BB30" s="339">
        <f>ROUND(((BB29*SUM($AY$10:AY29))+(BA30*AY30))/SUM($AY$10:AY30),5)</f>
        <v>3.7789999999999997E-2</v>
      </c>
      <c r="BC30" s="348">
        <v>52.93</v>
      </c>
      <c r="BE30" s="335">
        <f t="shared" si="16"/>
        <v>33995</v>
      </c>
      <c r="BF30" s="335">
        <v>34001</v>
      </c>
      <c r="BG30" s="317">
        <f t="shared" si="0"/>
        <v>6</v>
      </c>
      <c r="BH30" s="336">
        <v>2.4900000000000002E-2</v>
      </c>
      <c r="BI30" s="337">
        <f t="shared" si="29"/>
        <v>12279.45</v>
      </c>
      <c r="BJ30" s="341">
        <f>SUM(BI26:BI30)</f>
        <v>57378.080000000002</v>
      </c>
      <c r="BK30" s="341">
        <v>61685.75</v>
      </c>
      <c r="BL30" s="341">
        <f>BJ30-BK30</f>
        <v>-4307.6699999999983</v>
      </c>
      <c r="BM30" s="341">
        <f>BM25+BL30</f>
        <v>-8203.5899999999783</v>
      </c>
      <c r="BO30" s="335">
        <f t="shared" si="17"/>
        <v>35947</v>
      </c>
      <c r="BP30" s="345">
        <v>35950</v>
      </c>
      <c r="BQ30" s="317">
        <f t="shared" si="2"/>
        <v>3</v>
      </c>
      <c r="BR30" s="346">
        <v>3.8699999999999998E-2</v>
      </c>
      <c r="BS30" s="337">
        <f t="shared" si="3"/>
        <v>5407.4</v>
      </c>
      <c r="BW30" s="335">
        <f t="shared" si="18"/>
        <v>36167</v>
      </c>
      <c r="BX30" s="345">
        <v>36174</v>
      </c>
      <c r="BY30" s="317">
        <f t="shared" si="4"/>
        <v>7</v>
      </c>
      <c r="BZ30" s="347">
        <v>2.86E-2</v>
      </c>
      <c r="CA30" s="337">
        <f t="shared" si="5"/>
        <v>27424.66</v>
      </c>
      <c r="CD30" s="335">
        <f t="shared" si="19"/>
        <v>36174</v>
      </c>
      <c r="CE30" s="345">
        <v>36181</v>
      </c>
      <c r="CF30" s="317">
        <f t="shared" si="6"/>
        <v>7</v>
      </c>
      <c r="CG30" s="347">
        <v>2.9700000000000001E-2</v>
      </c>
      <c r="CH30" s="337">
        <f t="shared" si="7"/>
        <v>28479.45</v>
      </c>
      <c r="CL30" s="335">
        <f t="shared" si="20"/>
        <v>36861</v>
      </c>
      <c r="CM30" s="345">
        <v>36867</v>
      </c>
      <c r="CN30" s="317">
        <f t="shared" si="8"/>
        <v>6</v>
      </c>
      <c r="CO30" s="347">
        <v>4.1200000000000001E-2</v>
      </c>
      <c r="CP30" s="347"/>
      <c r="CQ30" s="347"/>
      <c r="CR30" s="347"/>
      <c r="CS30" s="347"/>
      <c r="CT30" s="347"/>
      <c r="CU30" s="347"/>
      <c r="CV30" s="337">
        <f t="shared" si="28"/>
        <v>56285.278688999999</v>
      </c>
    </row>
    <row r="31" spans="1:101" hidden="1" x14ac:dyDescent="0.25">
      <c r="A31" s="335">
        <f t="shared" si="21"/>
        <v>34002</v>
      </c>
      <c r="B31" s="335">
        <v>34003</v>
      </c>
      <c r="C31" s="317">
        <f t="shared" si="9"/>
        <v>1</v>
      </c>
      <c r="D31" s="317"/>
      <c r="E31" s="336">
        <v>2.265E-2</v>
      </c>
      <c r="F31" s="339">
        <f>ROUND(((F30*SUM($C$10:C30))+(E31*C31))/SUM($C$10:C31),5)</f>
        <v>2.7480000000000001E-2</v>
      </c>
      <c r="G31" s="317">
        <v>72.400000000000006</v>
      </c>
      <c r="I31" s="335">
        <f t="shared" si="22"/>
        <v>34057</v>
      </c>
      <c r="J31" s="335">
        <v>34065</v>
      </c>
      <c r="K31" s="317">
        <f t="shared" si="10"/>
        <v>8</v>
      </c>
      <c r="L31" s="317"/>
      <c r="M31" s="336">
        <v>2.4129999999999999E-2</v>
      </c>
      <c r="N31" s="339">
        <f>ROUND(((N30*SUM($K$10:K30))+(M31*K31))/SUM($K$10:K31),5)</f>
        <v>2.6239999999999999E-2</v>
      </c>
      <c r="O31" s="340">
        <v>86.2</v>
      </c>
      <c r="Q31" s="335">
        <f t="shared" si="23"/>
        <v>34373</v>
      </c>
      <c r="R31" s="335">
        <v>34374</v>
      </c>
      <c r="S31" s="317">
        <f t="shared" si="11"/>
        <v>1</v>
      </c>
      <c r="U31" s="336">
        <v>2.2759999999999999E-2</v>
      </c>
      <c r="V31" s="339">
        <f>ROUND(((V30*SUM($S$10:S30))+(U31*S31))/SUM($S$10:S31),5)</f>
        <v>2.5049999999999999E-2</v>
      </c>
      <c r="W31" s="340">
        <v>39</v>
      </c>
      <c r="Y31" s="335">
        <f t="shared" si="24"/>
        <v>35657</v>
      </c>
      <c r="Z31" s="345">
        <v>35684</v>
      </c>
      <c r="AA31" s="317">
        <f t="shared" si="12"/>
        <v>27</v>
      </c>
      <c r="AC31" s="346">
        <v>3.7530000000000001E-2</v>
      </c>
      <c r="AD31" s="339">
        <f>ROUND(((AD30*SUM($AA$10:AA30))+(AC31*AA31))/SUM($AA$10:AA31),5)</f>
        <v>3.6130000000000002E-2</v>
      </c>
      <c r="AE31" s="348">
        <v>112.3</v>
      </c>
      <c r="AG31" s="335">
        <f t="shared" si="25"/>
        <v>35990</v>
      </c>
      <c r="AH31" s="345">
        <v>36042</v>
      </c>
      <c r="AI31" s="317">
        <f t="shared" si="13"/>
        <v>52</v>
      </c>
      <c r="AK31" s="346">
        <v>3.6510000000000001E-2</v>
      </c>
      <c r="AL31" s="339">
        <f>ROUND(((AL30*SUM($AI$10:AI30))+(AK31*AI31))/SUM($AI$10:AI31),5)</f>
        <v>3.6319999999999998E-2</v>
      </c>
      <c r="AM31" s="316">
        <v>108.8</v>
      </c>
      <c r="AO31" s="335">
        <f t="shared" si="26"/>
        <v>36185</v>
      </c>
      <c r="AP31" s="345">
        <v>36201</v>
      </c>
      <c r="AQ31" s="317">
        <f t="shared" si="14"/>
        <v>16</v>
      </c>
      <c r="AS31" s="347">
        <v>3.0779999999999998E-2</v>
      </c>
      <c r="AT31" s="339">
        <f>ROUND(((AT30*SUM($AQ$10:AQ30))+(AS31*AQ31))/SUM($AQ$10:AQ31),5)</f>
        <v>3.5920000000000001E-2</v>
      </c>
      <c r="AU31" s="316">
        <v>121.8</v>
      </c>
      <c r="AW31" s="335">
        <f t="shared" si="27"/>
        <v>36991</v>
      </c>
      <c r="AX31" s="345">
        <v>37021</v>
      </c>
      <c r="AY31" s="317">
        <f t="shared" si="15"/>
        <v>30</v>
      </c>
      <c r="BA31" s="346">
        <v>4.65E-2</v>
      </c>
      <c r="BB31" s="339">
        <f>ROUND(((BB30*SUM($AY$10:AY30))+(BA31*AY31))/SUM($AY$10:AY31),5)</f>
        <v>3.7999999999999999E-2</v>
      </c>
      <c r="BC31" s="348">
        <v>30</v>
      </c>
      <c r="BE31" s="335">
        <f t="shared" si="16"/>
        <v>34001</v>
      </c>
      <c r="BF31" s="335">
        <v>34002</v>
      </c>
      <c r="BG31" s="317">
        <f t="shared" si="0"/>
        <v>1</v>
      </c>
      <c r="BH31" s="336">
        <v>2.4900000000000002E-2</v>
      </c>
      <c r="BI31" s="337">
        <f t="shared" si="29"/>
        <v>2046.58</v>
      </c>
      <c r="BJ31" s="338"/>
      <c r="BK31" s="341"/>
      <c r="BL31" s="338"/>
      <c r="BM31" s="338"/>
      <c r="BO31" s="335">
        <f t="shared" si="17"/>
        <v>35950</v>
      </c>
      <c r="BP31" s="345">
        <v>35957</v>
      </c>
      <c r="BQ31" s="317">
        <f t="shared" si="2"/>
        <v>7</v>
      </c>
      <c r="BR31" s="346">
        <v>3.5000000000000003E-2</v>
      </c>
      <c r="BS31" s="337">
        <f t="shared" si="3"/>
        <v>11410.96</v>
      </c>
      <c r="BW31" s="335">
        <f t="shared" si="18"/>
        <v>36174</v>
      </c>
      <c r="BX31" s="345">
        <v>36181</v>
      </c>
      <c r="BY31" s="317">
        <f t="shared" si="4"/>
        <v>7</v>
      </c>
      <c r="BZ31" s="347">
        <v>2.9700000000000001E-2</v>
      </c>
      <c r="CA31" s="337">
        <f t="shared" si="5"/>
        <v>28479.45</v>
      </c>
      <c r="CD31" s="335">
        <f t="shared" si="19"/>
        <v>36181</v>
      </c>
      <c r="CE31" s="345">
        <v>36188</v>
      </c>
      <c r="CF31" s="317">
        <f t="shared" si="6"/>
        <v>7</v>
      </c>
      <c r="CG31" s="347">
        <v>2.8899999999999999E-2</v>
      </c>
      <c r="CH31" s="337">
        <f t="shared" si="7"/>
        <v>27712.33</v>
      </c>
      <c r="CL31" s="335">
        <f t="shared" si="20"/>
        <v>36867</v>
      </c>
      <c r="CM31" s="345">
        <v>36874</v>
      </c>
      <c r="CN31" s="317">
        <f t="shared" si="8"/>
        <v>7</v>
      </c>
      <c r="CO31" s="347">
        <v>3.6700000000000003E-2</v>
      </c>
      <c r="CP31" s="347"/>
      <c r="CQ31" s="347"/>
      <c r="CR31" s="347"/>
      <c r="CS31" s="347"/>
      <c r="CT31" s="347"/>
      <c r="CU31" s="347"/>
      <c r="CV31" s="337">
        <f t="shared" si="28"/>
        <v>58493.883880000001</v>
      </c>
    </row>
    <row r="32" spans="1:101" hidden="1" x14ac:dyDescent="0.25">
      <c r="A32" s="335">
        <f t="shared" si="21"/>
        <v>34003</v>
      </c>
      <c r="B32" s="335">
        <v>34005</v>
      </c>
      <c r="C32" s="317">
        <f t="shared" si="9"/>
        <v>2</v>
      </c>
      <c r="D32" s="317"/>
      <c r="E32" s="336">
        <v>2.2630000000000001E-2</v>
      </c>
      <c r="F32" s="339">
        <f>ROUND(((F31*SUM($C$10:C31))+(E32*C32))/SUM($C$10:C32),5)</f>
        <v>2.741E-2</v>
      </c>
      <c r="G32" s="317">
        <v>76.5</v>
      </c>
      <c r="I32" s="335">
        <f t="shared" si="22"/>
        <v>34065</v>
      </c>
      <c r="J32" s="335">
        <v>34071</v>
      </c>
      <c r="K32" s="317">
        <f t="shared" si="10"/>
        <v>6</v>
      </c>
      <c r="L32" s="317"/>
      <c r="M32" s="336">
        <v>2.402E-2</v>
      </c>
      <c r="N32" s="339">
        <f>ROUND(((N31*SUM($K$10:K31))+(M32*K32))/SUM($K$10:K32),5)</f>
        <v>2.6179999999999998E-2</v>
      </c>
      <c r="O32" s="340">
        <v>88.2</v>
      </c>
      <c r="Q32" s="335">
        <f t="shared" si="23"/>
        <v>34374</v>
      </c>
      <c r="R32" s="335">
        <v>34375</v>
      </c>
      <c r="S32" s="317">
        <f t="shared" si="11"/>
        <v>1</v>
      </c>
      <c r="U32" s="336">
        <v>2.2919999999999999E-2</v>
      </c>
      <c r="V32" s="339">
        <f>ROUND(((V31*SUM($S$10:S31))+(U32*S32))/SUM($S$10:S32),5)</f>
        <v>2.504E-2</v>
      </c>
      <c r="W32" s="340">
        <v>42.8</v>
      </c>
      <c r="Y32" s="335">
        <f t="shared" si="24"/>
        <v>35684</v>
      </c>
      <c r="Z32" s="345">
        <v>35704</v>
      </c>
      <c r="AA32" s="317">
        <f t="shared" si="12"/>
        <v>20</v>
      </c>
      <c r="AC32" s="346">
        <v>3.7569999999999999E-2</v>
      </c>
      <c r="AD32" s="339">
        <f>ROUND(((AD31*SUM($AA$10:AA31))+(AC32*AA32))/SUM($AA$10:AA32),5)</f>
        <v>3.6209999999999999E-2</v>
      </c>
      <c r="AE32" s="348">
        <v>113.8</v>
      </c>
      <c r="AG32" s="335">
        <f t="shared" si="25"/>
        <v>36042</v>
      </c>
      <c r="AH32" s="345">
        <v>36047</v>
      </c>
      <c r="AI32" s="317">
        <f t="shared" si="13"/>
        <v>5</v>
      </c>
      <c r="AK32" s="346">
        <v>3.601E-2</v>
      </c>
      <c r="AL32" s="339">
        <f>ROUND(((AL31*SUM($AI$10:AI31))+(AK32*AI32))/SUM($AI$10:AI32),5)</f>
        <v>3.6319999999999998E-2</v>
      </c>
      <c r="AM32" s="316">
        <v>107.2</v>
      </c>
      <c r="AO32" s="335">
        <f t="shared" si="26"/>
        <v>36201</v>
      </c>
      <c r="AP32" s="345">
        <v>36222</v>
      </c>
      <c r="AQ32" s="317">
        <f t="shared" si="14"/>
        <v>21</v>
      </c>
      <c r="AS32" s="347">
        <v>3.0460000000000001E-2</v>
      </c>
      <c r="AT32" s="339">
        <f>ROUND(((AT31*SUM($AQ$10:AQ31))+(AS32*AQ32))/SUM($AQ$10:AQ32),5)</f>
        <v>3.5680000000000003E-2</v>
      </c>
      <c r="AU32" s="316">
        <v>107.5</v>
      </c>
      <c r="AW32" s="335">
        <f t="shared" si="27"/>
        <v>37021</v>
      </c>
      <c r="AX32" s="345">
        <v>37050</v>
      </c>
      <c r="AY32" s="317">
        <f t="shared" si="15"/>
        <v>29</v>
      </c>
      <c r="BA32" s="346">
        <v>4.2500000000000003E-2</v>
      </c>
      <c r="BB32" s="339">
        <f>ROUND(((BB31*SUM($AY$10:AY31))+(BA32*AY32))/SUM($AY$10:AY32),5)</f>
        <v>3.8100000000000002E-2</v>
      </c>
      <c r="BC32" s="348">
        <v>29</v>
      </c>
      <c r="BE32" s="335">
        <f t="shared" si="16"/>
        <v>34002</v>
      </c>
      <c r="BF32" s="335">
        <v>34009</v>
      </c>
      <c r="BG32" s="317">
        <f t="shared" si="0"/>
        <v>7</v>
      </c>
      <c r="BH32" s="336">
        <v>2.3300000000000001E-2</v>
      </c>
      <c r="BI32" s="337">
        <f t="shared" si="29"/>
        <v>13405.48</v>
      </c>
      <c r="BJ32" s="338"/>
      <c r="BK32" s="341"/>
      <c r="BL32" s="338"/>
      <c r="BM32" s="338"/>
      <c r="BO32" s="335">
        <f t="shared" si="17"/>
        <v>35957</v>
      </c>
      <c r="BP32" s="345">
        <v>35964</v>
      </c>
      <c r="BQ32" s="317">
        <f t="shared" si="2"/>
        <v>7</v>
      </c>
      <c r="BR32" s="346">
        <v>3.5799999999999998E-2</v>
      </c>
      <c r="BS32" s="337">
        <f t="shared" si="3"/>
        <v>11671.78</v>
      </c>
      <c r="BW32" s="335">
        <f t="shared" si="18"/>
        <v>36181</v>
      </c>
      <c r="BX32" s="345">
        <v>36188</v>
      </c>
      <c r="BY32" s="317">
        <f t="shared" si="4"/>
        <v>7</v>
      </c>
      <c r="BZ32" s="347">
        <v>2.8899999999999999E-2</v>
      </c>
      <c r="CA32" s="337">
        <f t="shared" si="5"/>
        <v>27712.33</v>
      </c>
      <c r="CD32" s="335">
        <f t="shared" si="19"/>
        <v>36188</v>
      </c>
      <c r="CE32" s="345">
        <v>36192</v>
      </c>
      <c r="CF32" s="317">
        <f t="shared" si="6"/>
        <v>4</v>
      </c>
      <c r="CG32" s="347">
        <v>2.7199999999999998E-2</v>
      </c>
      <c r="CH32" s="337">
        <f t="shared" si="7"/>
        <v>14904.11</v>
      </c>
      <c r="CI32" s="341">
        <f>SUM(CH28:CH32)</f>
        <v>131397.26</v>
      </c>
      <c r="CL32" s="335">
        <f t="shared" si="20"/>
        <v>36874</v>
      </c>
      <c r="CM32" s="345">
        <v>36881</v>
      </c>
      <c r="CN32" s="317">
        <f t="shared" si="8"/>
        <v>7</v>
      </c>
      <c r="CO32" s="347">
        <v>4.2099999999999999E-2</v>
      </c>
      <c r="CP32" s="347"/>
      <c r="CQ32" s="347"/>
      <c r="CR32" s="347"/>
      <c r="CS32" s="347"/>
      <c r="CT32" s="347"/>
      <c r="CU32" s="347"/>
      <c r="CV32" s="337">
        <f t="shared" si="28"/>
        <v>67100.613387999998</v>
      </c>
    </row>
    <row r="33" spans="1:101" hidden="1" x14ac:dyDescent="0.25">
      <c r="A33" s="335">
        <f t="shared" si="21"/>
        <v>34005</v>
      </c>
      <c r="B33" s="335">
        <v>34010</v>
      </c>
      <c r="C33" s="317">
        <f t="shared" si="9"/>
        <v>5</v>
      </c>
      <c r="D33" s="317"/>
      <c r="E33" s="336">
        <v>2.2700000000000001E-2</v>
      </c>
      <c r="F33" s="339">
        <f>ROUND(((F32*SUM($C$10:C32))+(E33*C33))/SUM($C$10:C33),5)</f>
        <v>2.725E-2</v>
      </c>
      <c r="G33" s="317">
        <v>76.5</v>
      </c>
      <c r="I33" s="335">
        <f t="shared" si="22"/>
        <v>34071</v>
      </c>
      <c r="J33" s="335">
        <v>34080</v>
      </c>
      <c r="K33" s="317">
        <f t="shared" si="10"/>
        <v>9</v>
      </c>
      <c r="L33" s="317"/>
      <c r="M33" s="336">
        <v>2.401E-2</v>
      </c>
      <c r="N33" s="339">
        <f>ROUND(((N32*SUM($K$10:K32))+(M33*K33))/SUM($K$10:K33),5)</f>
        <v>2.6089999999999999E-2</v>
      </c>
      <c r="O33" s="340">
        <v>88.7</v>
      </c>
      <c r="Q33" s="335">
        <f t="shared" si="23"/>
        <v>34375</v>
      </c>
      <c r="R33" s="335">
        <v>34388</v>
      </c>
      <c r="S33" s="317">
        <f t="shared" si="11"/>
        <v>13</v>
      </c>
      <c r="U33" s="336">
        <v>2.3650000000000001E-2</v>
      </c>
      <c r="V33" s="339">
        <f>ROUND(((V32*SUM($S$10:S32))+(U33*S33))/SUM($S$10:S33),5)</f>
        <v>2.494E-2</v>
      </c>
      <c r="W33" s="340">
        <v>50.1</v>
      </c>
      <c r="Y33" s="335">
        <f t="shared" si="24"/>
        <v>35704</v>
      </c>
      <c r="Z33" s="345">
        <v>35719</v>
      </c>
      <c r="AA33" s="317">
        <f t="shared" si="12"/>
        <v>15</v>
      </c>
      <c r="AC33" s="346">
        <v>3.7580000000000002E-2</v>
      </c>
      <c r="AD33" s="339">
        <f>ROUND(((AD32*SUM($AA$10:AA32))+(AC33*AA33))/SUM($AA$10:AA33),5)</f>
        <v>3.6260000000000001E-2</v>
      </c>
      <c r="AE33" s="348">
        <v>112</v>
      </c>
      <c r="AG33" s="335">
        <f t="shared" si="25"/>
        <v>36047</v>
      </c>
      <c r="AH33" s="345">
        <v>36048</v>
      </c>
      <c r="AI33" s="317">
        <f t="shared" si="13"/>
        <v>1</v>
      </c>
      <c r="AK33" s="346">
        <v>3.4950000000000002E-2</v>
      </c>
      <c r="AL33" s="339">
        <f>ROUND(((AL32*SUM($AI$10:AI32))+(AK33*AI33))/SUM($AI$10:AI33),5)</f>
        <v>3.6319999999999998E-2</v>
      </c>
      <c r="AM33" s="348">
        <v>92</v>
      </c>
      <c r="AO33" s="335">
        <f t="shared" si="26"/>
        <v>36222</v>
      </c>
      <c r="AP33" s="345">
        <v>36223</v>
      </c>
      <c r="AQ33" s="317">
        <f t="shared" si="14"/>
        <v>1</v>
      </c>
      <c r="AS33" s="347">
        <v>3.048E-2</v>
      </c>
      <c r="AT33" s="339">
        <f>ROUND(((AT32*SUM($AQ$10:AQ32))+(AS33*AQ33))/SUM($AQ$10:AQ33),5)</f>
        <v>3.567E-2</v>
      </c>
      <c r="AU33" s="316">
        <v>110.6</v>
      </c>
      <c r="AW33" s="335">
        <f t="shared" si="27"/>
        <v>37050</v>
      </c>
      <c r="AX33" s="345">
        <v>37091</v>
      </c>
      <c r="AY33" s="317">
        <f t="shared" si="15"/>
        <v>41</v>
      </c>
      <c r="BA33" s="346">
        <v>3.5000000000000003E-2</v>
      </c>
      <c r="BB33" s="339">
        <f>ROUND(((BB32*SUM($AY$10:AY32))+(BA33*AY33))/SUM($AY$10:AY33),5)</f>
        <v>3.8010000000000002E-2</v>
      </c>
      <c r="BC33" s="348">
        <v>41</v>
      </c>
      <c r="BE33" s="335">
        <f t="shared" si="16"/>
        <v>34009</v>
      </c>
      <c r="BF33" s="335">
        <v>34016</v>
      </c>
      <c r="BG33" s="317">
        <f t="shared" si="0"/>
        <v>7</v>
      </c>
      <c r="BH33" s="336">
        <v>2.1899999999999999E-2</v>
      </c>
      <c r="BI33" s="337">
        <f t="shared" si="29"/>
        <v>12600</v>
      </c>
      <c r="BJ33" s="338"/>
      <c r="BK33" s="341"/>
      <c r="BL33" s="338"/>
      <c r="BM33" s="338"/>
      <c r="BO33" s="335">
        <f t="shared" si="17"/>
        <v>35964</v>
      </c>
      <c r="BP33" s="345">
        <v>35971</v>
      </c>
      <c r="BQ33" s="317">
        <f t="shared" si="2"/>
        <v>7</v>
      </c>
      <c r="BR33" s="346">
        <v>3.5499999999999997E-2</v>
      </c>
      <c r="BS33" s="337">
        <f t="shared" si="3"/>
        <v>11573.97</v>
      </c>
      <c r="BW33" s="335">
        <f t="shared" si="18"/>
        <v>36188</v>
      </c>
      <c r="BX33" s="345">
        <v>36192</v>
      </c>
      <c r="BY33" s="317">
        <f t="shared" si="4"/>
        <v>4</v>
      </c>
      <c r="BZ33" s="347">
        <v>2.7199999999999998E-2</v>
      </c>
      <c r="CA33" s="337">
        <f t="shared" si="5"/>
        <v>14904.11</v>
      </c>
      <c r="CB33" s="341">
        <f>SUM(CA29:CA33)</f>
        <v>131397.26</v>
      </c>
      <c r="CD33" s="335">
        <f t="shared" si="19"/>
        <v>36192</v>
      </c>
      <c r="CE33" s="345">
        <v>36195</v>
      </c>
      <c r="CF33" s="317">
        <f t="shared" si="6"/>
        <v>3</v>
      </c>
      <c r="CG33" s="347">
        <v>2.7199999999999998E-2</v>
      </c>
      <c r="CH33" s="337">
        <f t="shared" si="7"/>
        <v>11178.08</v>
      </c>
      <c r="CL33" s="335">
        <f t="shared" si="20"/>
        <v>36881</v>
      </c>
      <c r="CM33" s="345">
        <v>36888</v>
      </c>
      <c r="CN33" s="317">
        <f t="shared" si="8"/>
        <v>7</v>
      </c>
      <c r="CO33" s="347">
        <v>4.6300000000000001E-2</v>
      </c>
      <c r="CP33" s="347"/>
      <c r="CQ33" s="347"/>
      <c r="CR33" s="347"/>
      <c r="CS33" s="347"/>
      <c r="CT33" s="347"/>
      <c r="CU33" s="347"/>
      <c r="CV33" s="337">
        <f t="shared" si="28"/>
        <v>73794.736338999995</v>
      </c>
    </row>
    <row r="34" spans="1:101" hidden="1" x14ac:dyDescent="0.25">
      <c r="A34" s="335">
        <f t="shared" si="21"/>
        <v>34010</v>
      </c>
      <c r="B34" s="335">
        <v>34011</v>
      </c>
      <c r="C34" s="317">
        <f t="shared" si="9"/>
        <v>1</v>
      </c>
      <c r="D34" s="317"/>
      <c r="E34" s="336">
        <v>2.291E-2</v>
      </c>
      <c r="F34" s="339">
        <f>ROUND(((F33*SUM($C$10:C33))+(E34*C34))/SUM($C$10:C34),5)</f>
        <v>2.7220000000000001E-2</v>
      </c>
      <c r="G34" s="317">
        <v>78.8</v>
      </c>
      <c r="I34" s="335">
        <f t="shared" si="22"/>
        <v>34080</v>
      </c>
      <c r="J34" s="335">
        <v>34081</v>
      </c>
      <c r="K34" s="317">
        <f t="shared" si="10"/>
        <v>1</v>
      </c>
      <c r="L34" s="317"/>
      <c r="M34" s="336">
        <v>2.4080000000000001E-2</v>
      </c>
      <c r="N34" s="339">
        <f>ROUND(((N33*SUM($K$10:K33))+(M34*K34))/SUM($K$10:K34),5)</f>
        <v>2.6079999999999999E-2</v>
      </c>
      <c r="O34" s="340">
        <v>84.8</v>
      </c>
      <c r="Q34" s="335">
        <f t="shared" si="23"/>
        <v>34388</v>
      </c>
      <c r="R34" s="335">
        <v>34395</v>
      </c>
      <c r="S34" s="317">
        <f t="shared" si="11"/>
        <v>7</v>
      </c>
      <c r="U34" s="336">
        <v>2.3950000000000003E-2</v>
      </c>
      <c r="V34" s="339">
        <f>ROUND(((V33*SUM($S$10:S33))+(U34*S34))/SUM($S$10:S34),5)</f>
        <v>2.4899999999999999E-2</v>
      </c>
      <c r="W34" s="340">
        <v>40.799999999999997</v>
      </c>
      <c r="Y34" s="335">
        <f t="shared" si="24"/>
        <v>35719</v>
      </c>
      <c r="Z34" s="345">
        <v>35772</v>
      </c>
      <c r="AA34" s="317">
        <f t="shared" si="12"/>
        <v>53</v>
      </c>
      <c r="AC34" s="346">
        <v>3.7510000000000002E-2</v>
      </c>
      <c r="AD34" s="339">
        <f>ROUND(((AD33*SUM($AA$10:AA33))+(AC34*AA34))/SUM($AA$10:AA34),5)</f>
        <v>3.6409999999999998E-2</v>
      </c>
      <c r="AE34" s="316">
        <v>110.5</v>
      </c>
      <c r="AG34" s="335">
        <f t="shared" si="25"/>
        <v>36048</v>
      </c>
      <c r="AH34" s="345">
        <v>36082</v>
      </c>
      <c r="AI34" s="317">
        <f t="shared" si="13"/>
        <v>34</v>
      </c>
      <c r="AK34" s="347">
        <v>3.4590000000000003E-2</v>
      </c>
      <c r="AL34" s="339">
        <f>ROUND(((AL33*SUM($AI$10:AI33))+(AK34*AI34))/SUM($AI$10:AI34),5)</f>
        <v>3.6240000000000001E-2</v>
      </c>
      <c r="AM34" s="316">
        <v>94.8</v>
      </c>
      <c r="AO34" s="335">
        <f t="shared" si="26"/>
        <v>36223</v>
      </c>
      <c r="AP34" s="345">
        <v>36224</v>
      </c>
      <c r="AQ34" s="317">
        <f t="shared" si="14"/>
        <v>1</v>
      </c>
      <c r="AS34" s="347">
        <v>3.0540000000000001E-2</v>
      </c>
      <c r="AT34" s="339">
        <f>ROUND(((AT33*SUM($AQ$10:AQ33))+(AS34*AQ34))/SUM($AQ$10:AQ34),5)</f>
        <v>3.5659999999999997E-2</v>
      </c>
      <c r="AU34" s="348">
        <v>108</v>
      </c>
      <c r="AW34" s="335">
        <f t="shared" si="27"/>
        <v>37091</v>
      </c>
      <c r="AX34" s="345">
        <v>37126</v>
      </c>
      <c r="AY34" s="317">
        <f t="shared" si="15"/>
        <v>35</v>
      </c>
      <c r="BA34" s="346">
        <v>0.03</v>
      </c>
      <c r="BB34" s="339">
        <f>ROUND(((BB33*SUM($AY$10:AY33))+(BA34*AY34))/SUM($AY$10:AY34),5)</f>
        <v>3.7810000000000003E-2</v>
      </c>
      <c r="BC34" s="348">
        <v>35</v>
      </c>
      <c r="BE34" s="335">
        <f t="shared" si="16"/>
        <v>34016</v>
      </c>
      <c r="BF34" s="335">
        <v>34023</v>
      </c>
      <c r="BG34" s="317">
        <f t="shared" si="0"/>
        <v>7</v>
      </c>
      <c r="BH34" s="336">
        <v>2.2000000000000002E-2</v>
      </c>
      <c r="BI34" s="337">
        <f t="shared" si="29"/>
        <v>12657.53</v>
      </c>
      <c r="BJ34" s="338"/>
      <c r="BK34" s="341"/>
      <c r="BL34" s="338"/>
      <c r="BM34" s="338"/>
      <c r="BO34" s="335">
        <f t="shared" si="17"/>
        <v>35971</v>
      </c>
      <c r="BP34" s="345">
        <v>35977</v>
      </c>
      <c r="BQ34" s="317">
        <f t="shared" si="2"/>
        <v>6</v>
      </c>
      <c r="BR34" s="346">
        <v>3.5299999999999998E-2</v>
      </c>
      <c r="BS34" s="337">
        <f t="shared" si="3"/>
        <v>9864.66</v>
      </c>
      <c r="BT34" s="341">
        <f>SUM(BS30:BS34)</f>
        <v>49928.770000000004</v>
      </c>
      <c r="BW34" s="335">
        <f t="shared" si="18"/>
        <v>36192</v>
      </c>
      <c r="BX34" s="345">
        <v>36195</v>
      </c>
      <c r="BY34" s="317">
        <f t="shared" si="4"/>
        <v>3</v>
      </c>
      <c r="BZ34" s="347">
        <v>2.7199999999999998E-2</v>
      </c>
      <c r="CA34" s="337">
        <f t="shared" si="5"/>
        <v>11178.08</v>
      </c>
      <c r="CD34" s="335">
        <f t="shared" si="19"/>
        <v>36195</v>
      </c>
      <c r="CE34" s="345">
        <v>36202</v>
      </c>
      <c r="CF34" s="317">
        <f t="shared" si="6"/>
        <v>7</v>
      </c>
      <c r="CG34" s="347">
        <v>2.23E-2</v>
      </c>
      <c r="CH34" s="337">
        <f t="shared" si="7"/>
        <v>21383.56</v>
      </c>
      <c r="CL34" s="335">
        <f t="shared" si="20"/>
        <v>36888</v>
      </c>
      <c r="CM34" s="345">
        <v>36892</v>
      </c>
      <c r="CN34" s="317">
        <f t="shared" si="8"/>
        <v>4</v>
      </c>
      <c r="CO34" s="347">
        <v>4.8399999999999999E-2</v>
      </c>
      <c r="CP34" s="347"/>
      <c r="CQ34" s="347"/>
      <c r="CR34" s="347"/>
      <c r="CS34" s="347"/>
      <c r="CT34" s="347"/>
      <c r="CU34" s="347"/>
      <c r="CV34" s="337">
        <f t="shared" si="28"/>
        <v>44081.027322000002</v>
      </c>
      <c r="CW34" s="341">
        <f>SUM(CV30:CV34)</f>
        <v>299755.53961799998</v>
      </c>
    </row>
    <row r="35" spans="1:101" hidden="1" x14ac:dyDescent="0.25">
      <c r="A35" s="335">
        <f t="shared" si="21"/>
        <v>34011</v>
      </c>
      <c r="B35" s="335">
        <v>34024</v>
      </c>
      <c r="C35" s="317">
        <f t="shared" si="9"/>
        <v>13</v>
      </c>
      <c r="D35" s="317"/>
      <c r="E35" s="336">
        <v>2.3429999999999999E-2</v>
      </c>
      <c r="F35" s="339">
        <f>ROUND(((F34*SUM($C$10:C34))+(E35*C35))/SUM($C$10:C35),5)</f>
        <v>2.691E-2</v>
      </c>
      <c r="G35" s="317">
        <v>92.8</v>
      </c>
      <c r="I35" s="335">
        <f t="shared" si="22"/>
        <v>34081</v>
      </c>
      <c r="J35" s="335">
        <v>34088</v>
      </c>
      <c r="K35" s="317">
        <f t="shared" si="10"/>
        <v>7</v>
      </c>
      <c r="L35" s="317"/>
      <c r="M35" s="336">
        <v>2.4070000000000001E-2</v>
      </c>
      <c r="N35" s="339">
        <f>ROUND(((N34*SUM($K$10:K34))+(M35*K35))/SUM($K$10:K35),5)</f>
        <v>2.6020000000000001E-2</v>
      </c>
      <c r="O35" s="340">
        <v>86.8</v>
      </c>
      <c r="Q35" s="335">
        <f t="shared" si="23"/>
        <v>34395</v>
      </c>
      <c r="R35" s="335">
        <v>34402</v>
      </c>
      <c r="S35" s="317">
        <f t="shared" si="11"/>
        <v>7</v>
      </c>
      <c r="U35" s="336">
        <v>2.581E-2</v>
      </c>
      <c r="V35" s="339">
        <f>ROUND(((V34*SUM($S$10:S34))+(U35*S35))/SUM($S$10:S35),5)</f>
        <v>2.4930000000000001E-2</v>
      </c>
      <c r="W35" s="340">
        <v>79.400000000000006</v>
      </c>
      <c r="Y35" s="335">
        <f t="shared" si="24"/>
        <v>35772</v>
      </c>
      <c r="Z35" s="345">
        <v>35780</v>
      </c>
      <c r="AA35" s="317">
        <f t="shared" si="12"/>
        <v>8</v>
      </c>
      <c r="AC35" s="346">
        <v>3.7539999999999997E-2</v>
      </c>
      <c r="AD35" s="339">
        <f>ROUND(((AD34*SUM($AA$10:AA34))+(AC35*AA35))/SUM($AA$10:AA35),5)</f>
        <v>3.6429999999999997E-2</v>
      </c>
      <c r="AE35" s="316">
        <v>109.6</v>
      </c>
      <c r="AG35" s="335">
        <f t="shared" si="25"/>
        <v>36082</v>
      </c>
      <c r="AH35" s="345">
        <v>36122</v>
      </c>
      <c r="AI35" s="317">
        <f t="shared" si="13"/>
        <v>40</v>
      </c>
      <c r="AK35" s="347">
        <v>3.2649999999999998E-2</v>
      </c>
      <c r="AL35" s="339">
        <f>ROUND(((AL34*SUM($AI$10:AI34))+(AK35*AI35))/SUM($AI$10:AI35),5)</f>
        <v>3.6060000000000002E-2</v>
      </c>
      <c r="AM35" s="316">
        <v>124.6</v>
      </c>
      <c r="AO35" s="335">
        <f t="shared" si="26"/>
        <v>36224</v>
      </c>
      <c r="AP35" s="345">
        <v>36228</v>
      </c>
      <c r="AQ35" s="317">
        <f t="shared" si="14"/>
        <v>4</v>
      </c>
      <c r="AS35" s="347">
        <v>3.0630000000000001E-2</v>
      </c>
      <c r="AT35" s="339">
        <f>ROUND(((AT34*SUM($AQ$10:AQ34))+(AS35*AQ35))/SUM($AQ$10:AQ35),5)</f>
        <v>3.5619999999999999E-2</v>
      </c>
      <c r="AU35" s="316">
        <v>119.4</v>
      </c>
      <c r="AW35" s="335">
        <f t="shared" si="27"/>
        <v>37126</v>
      </c>
      <c r="AX35" s="345">
        <v>37162</v>
      </c>
      <c r="AY35" s="317">
        <f t="shared" si="15"/>
        <v>36</v>
      </c>
      <c r="BA35" s="346">
        <v>2.75E-2</v>
      </c>
      <c r="BB35" s="339">
        <f>ROUND(((BB34*SUM($AY$10:AY34))+(BA35*AY35))/SUM($AY$10:AY35),5)</f>
        <v>3.755E-2</v>
      </c>
      <c r="BC35" s="348">
        <v>36</v>
      </c>
      <c r="BE35" s="335">
        <f t="shared" si="16"/>
        <v>34023</v>
      </c>
      <c r="BF35" s="335">
        <v>34029</v>
      </c>
      <c r="BG35" s="317">
        <f t="shared" si="0"/>
        <v>6</v>
      </c>
      <c r="BH35" s="336">
        <v>2.01E-2</v>
      </c>
      <c r="BI35" s="337">
        <f t="shared" si="29"/>
        <v>9912.33</v>
      </c>
      <c r="BJ35" s="341">
        <f>SUM(BI31:BI35)</f>
        <v>50621.919999999998</v>
      </c>
      <c r="BK35" s="341">
        <v>52424.59</v>
      </c>
      <c r="BL35" s="341">
        <f>BJ35-BK35</f>
        <v>-1802.6699999999983</v>
      </c>
      <c r="BM35" s="341">
        <f>BM30+BL35</f>
        <v>-10006.259999999977</v>
      </c>
      <c r="BO35" s="335">
        <f t="shared" si="17"/>
        <v>35977</v>
      </c>
      <c r="BP35" s="345">
        <v>35978</v>
      </c>
      <c r="BQ35" s="317">
        <f t="shared" si="2"/>
        <v>1</v>
      </c>
      <c r="BR35" s="346">
        <v>3.5299999999999998E-2</v>
      </c>
      <c r="BS35" s="337">
        <f t="shared" si="3"/>
        <v>1644.11</v>
      </c>
      <c r="BW35" s="335">
        <f t="shared" si="18"/>
        <v>36195</v>
      </c>
      <c r="BX35" s="345">
        <v>36202</v>
      </c>
      <c r="BY35" s="317">
        <f t="shared" si="4"/>
        <v>7</v>
      </c>
      <c r="BZ35" s="347">
        <v>2.23E-2</v>
      </c>
      <c r="CA35" s="337">
        <f t="shared" si="5"/>
        <v>21383.56</v>
      </c>
      <c r="CD35" s="335">
        <f t="shared" si="19"/>
        <v>36202</v>
      </c>
      <c r="CE35" s="345">
        <v>36209</v>
      </c>
      <c r="CF35" s="317">
        <f t="shared" si="6"/>
        <v>7</v>
      </c>
      <c r="CG35" s="347">
        <v>2.1700000000000001E-2</v>
      </c>
      <c r="CH35" s="337">
        <f t="shared" si="7"/>
        <v>20808.22</v>
      </c>
      <c r="CL35" s="335">
        <f t="shared" si="20"/>
        <v>36892</v>
      </c>
      <c r="CM35" s="345">
        <v>36895</v>
      </c>
      <c r="CN35" s="317">
        <f t="shared" si="8"/>
        <v>3</v>
      </c>
      <c r="CO35" s="347">
        <v>4.8399999999999999E-2</v>
      </c>
      <c r="CP35" s="347"/>
      <c r="CQ35" s="347"/>
      <c r="CR35" s="347"/>
      <c r="CS35" s="347"/>
      <c r="CT35" s="347"/>
      <c r="CU35" s="347"/>
      <c r="CV35" s="337">
        <f t="shared" ref="CV35:CV98" si="30">ROUND($CR$5*CO35*CN35/365,2)</f>
        <v>33151.35</v>
      </c>
      <c r="CW35" s="341" t="s">
        <v>35</v>
      </c>
    </row>
    <row r="36" spans="1:101" hidden="1" x14ac:dyDescent="0.25">
      <c r="A36" s="335">
        <f t="shared" si="21"/>
        <v>34024</v>
      </c>
      <c r="B36" s="335">
        <v>34032</v>
      </c>
      <c r="C36" s="317">
        <f t="shared" si="9"/>
        <v>8</v>
      </c>
      <c r="D36" s="317"/>
      <c r="E36" s="336">
        <v>2.3429999999999999E-2</v>
      </c>
      <c r="F36" s="339">
        <f>ROUND(((F35*SUM($C$10:C35))+(E36*C36))/SUM($C$10:C36),5)</f>
        <v>2.674E-2</v>
      </c>
      <c r="G36" s="317">
        <v>92.2</v>
      </c>
      <c r="I36" s="335">
        <f t="shared" si="22"/>
        <v>34088</v>
      </c>
      <c r="J36" s="335">
        <v>34089</v>
      </c>
      <c r="K36" s="317">
        <f t="shared" si="10"/>
        <v>1</v>
      </c>
      <c r="L36" s="317"/>
      <c r="M36" s="336">
        <v>2.401E-2</v>
      </c>
      <c r="N36" s="339">
        <f>ROUND(((N35*SUM($K$10:K35))+(M36*K36))/SUM($K$10:K36),5)</f>
        <v>2.6009999999999998E-2</v>
      </c>
      <c r="O36" s="340">
        <v>92.5</v>
      </c>
      <c r="Q36" s="335">
        <f t="shared" si="23"/>
        <v>34402</v>
      </c>
      <c r="R36" s="335">
        <v>34429</v>
      </c>
      <c r="S36" s="317">
        <f t="shared" si="11"/>
        <v>27</v>
      </c>
      <c r="U36" s="336">
        <v>2.6169999999999999E-2</v>
      </c>
      <c r="V36" s="339">
        <f>ROUND(((V35*SUM($S$10:S35))+(U36*S36))/SUM($S$10:S36),5)</f>
        <v>2.5080000000000002E-2</v>
      </c>
      <c r="W36" s="340">
        <v>80.7</v>
      </c>
      <c r="Y36" s="335">
        <f t="shared" si="24"/>
        <v>35780</v>
      </c>
      <c r="Z36" s="345">
        <v>35781</v>
      </c>
      <c r="AA36" s="317">
        <f t="shared" si="12"/>
        <v>1</v>
      </c>
      <c r="AC36" s="346">
        <v>3.7909999999999999E-2</v>
      </c>
      <c r="AD36" s="339">
        <f>ROUND(((AD35*SUM($AA$10:AA35))+(AC36*AA36))/SUM($AA$10:AA36),5)</f>
        <v>3.6429999999999997E-2</v>
      </c>
      <c r="AE36" s="316">
        <v>88.2</v>
      </c>
      <c r="AG36" s="335">
        <f t="shared" si="25"/>
        <v>36122</v>
      </c>
      <c r="AH36" s="345">
        <v>36137</v>
      </c>
      <c r="AI36" s="317">
        <f t="shared" si="13"/>
        <v>15</v>
      </c>
      <c r="AK36" s="347">
        <v>3.2590000000000001E-2</v>
      </c>
      <c r="AL36" s="339">
        <f>ROUND(((AL35*SUM($AI$10:AI35))+(AK36*AI36))/SUM($AI$10:AI36),5)</f>
        <v>3.5990000000000001E-2</v>
      </c>
      <c r="AM36" s="316">
        <v>117.1</v>
      </c>
      <c r="AO36" s="335">
        <f t="shared" si="26"/>
        <v>36228</v>
      </c>
      <c r="AP36" s="345">
        <v>36257</v>
      </c>
      <c r="AQ36" s="317">
        <f t="shared" si="14"/>
        <v>29</v>
      </c>
      <c r="AS36" s="347">
        <v>3.065E-2</v>
      </c>
      <c r="AT36" s="339">
        <f>ROUND(((AT35*SUM($AQ$10:AQ35))+(AS36*AQ36))/SUM($AQ$10:AQ36),5)</f>
        <v>3.5340000000000003E-2</v>
      </c>
      <c r="AU36" s="316">
        <v>121.1</v>
      </c>
      <c r="AW36" s="335">
        <f t="shared" si="27"/>
        <v>37162</v>
      </c>
      <c r="AX36" s="345"/>
      <c r="AY36" s="317">
        <f t="shared" si="15"/>
        <v>-37162</v>
      </c>
      <c r="BA36" s="346"/>
      <c r="BB36" s="339">
        <f>ROUND(((BB35*SUM($AY$10:AY35))+(BA36*AY36))/SUM($AY$10:AY36),5)</f>
        <v>-1.49E-3</v>
      </c>
      <c r="BC36" s="348"/>
      <c r="BE36" s="335">
        <f t="shared" si="16"/>
        <v>34029</v>
      </c>
      <c r="BF36" s="335">
        <v>34030</v>
      </c>
      <c r="BG36" s="317">
        <f t="shared" si="0"/>
        <v>1</v>
      </c>
      <c r="BH36" s="336">
        <v>2.01E-2</v>
      </c>
      <c r="BI36" s="337">
        <f t="shared" si="29"/>
        <v>1652.05</v>
      </c>
      <c r="BJ36" s="338"/>
      <c r="BK36" s="341"/>
      <c r="BL36" s="338"/>
      <c r="BM36" s="338"/>
      <c r="BO36" s="335">
        <f t="shared" si="17"/>
        <v>35978</v>
      </c>
      <c r="BP36" s="345">
        <v>35985</v>
      </c>
      <c r="BQ36" s="317">
        <f t="shared" si="2"/>
        <v>7</v>
      </c>
      <c r="BR36" s="346">
        <v>3.09E-2</v>
      </c>
      <c r="BS36" s="337">
        <f t="shared" si="3"/>
        <v>10074.25</v>
      </c>
      <c r="BW36" s="335">
        <f t="shared" si="18"/>
        <v>36202</v>
      </c>
      <c r="BX36" s="345">
        <v>36209</v>
      </c>
      <c r="BY36" s="317">
        <f t="shared" si="4"/>
        <v>7</v>
      </c>
      <c r="BZ36" s="347">
        <v>2.1700000000000001E-2</v>
      </c>
      <c r="CA36" s="337">
        <f t="shared" si="5"/>
        <v>20808.22</v>
      </c>
      <c r="CD36" s="335">
        <f t="shared" si="19"/>
        <v>36209</v>
      </c>
      <c r="CE36" s="345">
        <v>36216</v>
      </c>
      <c r="CF36" s="317">
        <f t="shared" si="6"/>
        <v>7</v>
      </c>
      <c r="CG36" s="347">
        <v>2.7900000000000001E-2</v>
      </c>
      <c r="CH36" s="337">
        <f t="shared" si="7"/>
        <v>26753.42</v>
      </c>
      <c r="CL36" s="335">
        <f t="shared" si="20"/>
        <v>36895</v>
      </c>
      <c r="CM36" s="345">
        <v>36902</v>
      </c>
      <c r="CN36" s="317">
        <f t="shared" si="8"/>
        <v>7</v>
      </c>
      <c r="CO36" s="347">
        <v>2.98E-2</v>
      </c>
      <c r="CP36" s="347"/>
      <c r="CQ36" s="347"/>
      <c r="CR36" s="347"/>
      <c r="CS36" s="347"/>
      <c r="CT36" s="347"/>
      <c r="CU36" s="347"/>
      <c r="CV36" s="337">
        <f t="shared" si="30"/>
        <v>47626.52</v>
      </c>
      <c r="CW36" s="350" t="s">
        <v>35</v>
      </c>
    </row>
    <row r="37" spans="1:101" hidden="1" x14ac:dyDescent="0.25">
      <c r="A37" s="335">
        <f t="shared" si="21"/>
        <v>34032</v>
      </c>
      <c r="B37" s="335">
        <v>34036</v>
      </c>
      <c r="C37" s="317">
        <f t="shared" si="9"/>
        <v>4</v>
      </c>
      <c r="D37" s="317"/>
      <c r="E37" s="336">
        <v>2.2970000000000001E-2</v>
      </c>
      <c r="F37" s="339">
        <f>ROUND(((F36*SUM($C$10:C36))+(E37*C37))/SUM($C$10:C37),5)</f>
        <v>2.665E-2</v>
      </c>
      <c r="G37" s="317">
        <v>100.6</v>
      </c>
      <c r="I37" s="335">
        <f t="shared" si="22"/>
        <v>34089</v>
      </c>
      <c r="J37" s="335">
        <v>34094</v>
      </c>
      <c r="K37" s="317">
        <f t="shared" si="10"/>
        <v>5</v>
      </c>
      <c r="L37" s="317"/>
      <c r="M37" s="336">
        <v>2.402E-2</v>
      </c>
      <c r="N37" s="339">
        <f>ROUND(((N36*SUM($K$10:K36))+(M37*K37))/SUM($K$10:K37),5)</f>
        <v>2.597E-2</v>
      </c>
      <c r="O37" s="340">
        <v>90.4</v>
      </c>
      <c r="Q37" s="335">
        <f t="shared" si="23"/>
        <v>34429</v>
      </c>
      <c r="R37" s="335">
        <v>34431</v>
      </c>
      <c r="S37" s="317">
        <f t="shared" si="11"/>
        <v>2</v>
      </c>
      <c r="U37" s="336">
        <v>2.6179999999999998E-2</v>
      </c>
      <c r="V37" s="339">
        <f>ROUND(((V36*SUM($S$10:S36))+(U37*S37))/SUM($S$10:S37),5)</f>
        <v>2.5090000000000001E-2</v>
      </c>
      <c r="W37" s="340">
        <v>80.5</v>
      </c>
      <c r="Y37" s="335">
        <f t="shared" si="24"/>
        <v>35781</v>
      </c>
      <c r="Z37" s="345">
        <v>35808</v>
      </c>
      <c r="AA37" s="317">
        <f t="shared" si="12"/>
        <v>27</v>
      </c>
      <c r="AC37" s="346">
        <v>3.7879999999999997E-2</v>
      </c>
      <c r="AD37" s="339">
        <f>ROUND(((AD36*SUM($AA$10:AA36))+(AC37*AA37))/SUM($AA$10:AA37),5)</f>
        <v>3.6510000000000001E-2</v>
      </c>
      <c r="AE37" s="316">
        <v>87.1</v>
      </c>
      <c r="AG37" s="335">
        <f t="shared" si="25"/>
        <v>36137</v>
      </c>
      <c r="AH37" s="345">
        <v>36150</v>
      </c>
      <c r="AI37" s="317">
        <f t="shared" si="13"/>
        <v>13</v>
      </c>
      <c r="AK37" s="347">
        <v>3.1649999999999998E-2</v>
      </c>
      <c r="AL37" s="339">
        <f>ROUND(((AL36*SUM($AI$10:AI36))+(AK37*AI37))/SUM($AI$10:AI37),5)</f>
        <v>3.5920000000000001E-2</v>
      </c>
      <c r="AM37" s="316">
        <v>119.9</v>
      </c>
      <c r="AO37" s="335">
        <f t="shared" si="26"/>
        <v>36257</v>
      </c>
      <c r="AP37" s="345">
        <v>36262</v>
      </c>
      <c r="AQ37" s="317">
        <f t="shared" si="14"/>
        <v>5</v>
      </c>
      <c r="AS37" s="347">
        <v>3.0859999999999999E-2</v>
      </c>
      <c r="AT37" s="339">
        <f>ROUND(((AT36*SUM($AQ$10:AQ36))+(AS37*AQ37))/SUM($AQ$10:AQ37),5)</f>
        <v>3.5299999999999998E-2</v>
      </c>
      <c r="AU37" s="316">
        <v>130.80000000000001</v>
      </c>
      <c r="AW37" s="335">
        <f t="shared" si="27"/>
        <v>0</v>
      </c>
      <c r="AX37" s="345"/>
      <c r="BA37" s="346"/>
      <c r="BB37" s="339">
        <f>ROUND(((BB36*SUM($AY$10:AY36))+(BA37*AY37))/SUM($AY$10:AY37),5)</f>
        <v>-1.49E-3</v>
      </c>
      <c r="BC37" s="348"/>
      <c r="BE37" s="335">
        <f t="shared" si="16"/>
        <v>34030</v>
      </c>
      <c r="BF37" s="335">
        <v>34037</v>
      </c>
      <c r="BG37" s="317">
        <f t="shared" si="0"/>
        <v>7</v>
      </c>
      <c r="BH37" s="336">
        <v>1.8700000000000001E-2</v>
      </c>
      <c r="BI37" s="337">
        <f t="shared" si="29"/>
        <v>10758.9</v>
      </c>
      <c r="BJ37" s="338"/>
      <c r="BK37" s="341"/>
      <c r="BL37" s="338"/>
      <c r="BM37" s="338"/>
      <c r="BO37" s="335">
        <f t="shared" si="17"/>
        <v>35985</v>
      </c>
      <c r="BP37" s="345">
        <v>35992</v>
      </c>
      <c r="BQ37" s="317">
        <f t="shared" si="2"/>
        <v>7</v>
      </c>
      <c r="BR37" s="346">
        <v>3.04E-2</v>
      </c>
      <c r="BS37" s="337">
        <f t="shared" si="3"/>
        <v>9911.23</v>
      </c>
      <c r="BW37" s="335">
        <f t="shared" si="18"/>
        <v>36209</v>
      </c>
      <c r="BX37" s="345">
        <v>36216</v>
      </c>
      <c r="BY37" s="317">
        <f t="shared" si="4"/>
        <v>7</v>
      </c>
      <c r="BZ37" s="347">
        <v>2.7900000000000001E-2</v>
      </c>
      <c r="CA37" s="337">
        <f t="shared" si="5"/>
        <v>26753.42</v>
      </c>
      <c r="CD37" s="335">
        <f t="shared" si="19"/>
        <v>36216</v>
      </c>
      <c r="CE37" s="345">
        <v>36220</v>
      </c>
      <c r="CF37" s="317">
        <f t="shared" si="6"/>
        <v>4</v>
      </c>
      <c r="CG37" s="347">
        <v>2.92E-2</v>
      </c>
      <c r="CH37" s="337">
        <f t="shared" si="7"/>
        <v>16000</v>
      </c>
      <c r="CI37" s="341">
        <f>SUM(CH33:CH37)</f>
        <v>96123.28</v>
      </c>
      <c r="CL37" s="335">
        <f t="shared" si="20"/>
        <v>36902</v>
      </c>
      <c r="CM37" s="345">
        <v>36909</v>
      </c>
      <c r="CN37" s="317">
        <f t="shared" si="8"/>
        <v>7</v>
      </c>
      <c r="CO37" s="347">
        <v>1.8100000000000002E-2</v>
      </c>
      <c r="CP37" s="347"/>
      <c r="CQ37" s="347"/>
      <c r="CR37" s="347"/>
      <c r="CS37" s="347"/>
      <c r="CT37" s="347"/>
      <c r="CU37" s="347"/>
      <c r="CV37" s="337">
        <f t="shared" si="30"/>
        <v>28927.52</v>
      </c>
    </row>
    <row r="38" spans="1:101" hidden="1" x14ac:dyDescent="0.25">
      <c r="A38" s="335">
        <f t="shared" si="21"/>
        <v>34036</v>
      </c>
      <c r="B38" s="335">
        <v>34038</v>
      </c>
      <c r="C38" s="317">
        <f t="shared" si="9"/>
        <v>2</v>
      </c>
      <c r="D38" s="317"/>
      <c r="E38" s="336">
        <v>2.2919999999999999E-2</v>
      </c>
      <c r="F38" s="339">
        <f>ROUND(((F37*SUM($C$10:C37))+(E38*C38))/SUM($C$10:C38),5)</f>
        <v>2.6610000000000002E-2</v>
      </c>
      <c r="G38" s="317">
        <v>101.4</v>
      </c>
      <c r="I38" s="335">
        <f t="shared" si="22"/>
        <v>34094</v>
      </c>
      <c r="J38" s="335">
        <v>34095</v>
      </c>
      <c r="K38" s="317">
        <f t="shared" si="10"/>
        <v>1</v>
      </c>
      <c r="L38" s="317"/>
      <c r="M38" s="336">
        <v>2.402E-2</v>
      </c>
      <c r="N38" s="339">
        <f>ROUND(((N37*SUM($K$10:K37))+(M38*K38))/SUM($K$10:K38),5)</f>
        <v>2.596E-2</v>
      </c>
      <c r="O38" s="340">
        <v>90.3</v>
      </c>
      <c r="Q38" s="335">
        <f t="shared" si="23"/>
        <v>34431</v>
      </c>
      <c r="R38" s="335">
        <v>34442</v>
      </c>
      <c r="S38" s="317">
        <f t="shared" si="11"/>
        <v>11</v>
      </c>
      <c r="U38" s="336">
        <v>2.6200000000000001E-2</v>
      </c>
      <c r="V38" s="339">
        <f>ROUND(((V37*SUM($S$10:S37))+(U38*S38))/SUM($S$10:S38),5)</f>
        <v>2.5139999999999999E-2</v>
      </c>
      <c r="W38" s="340">
        <v>82</v>
      </c>
      <c r="Y38" s="335">
        <f t="shared" si="24"/>
        <v>35808</v>
      </c>
      <c r="Z38" s="345">
        <v>35831</v>
      </c>
      <c r="AA38" s="317">
        <f t="shared" si="12"/>
        <v>23</v>
      </c>
      <c r="AC38" s="346">
        <v>3.7679999999999998E-2</v>
      </c>
      <c r="AD38" s="339">
        <f>ROUND(((AD37*SUM($AA$10:AA37))+(AC38*AA38))/SUM($AA$10:AA38),5)</f>
        <v>3.6560000000000002E-2</v>
      </c>
      <c r="AE38" s="316">
        <v>83.9</v>
      </c>
      <c r="AG38" s="335">
        <f t="shared" si="25"/>
        <v>36150</v>
      </c>
      <c r="AH38" s="345">
        <v>36199</v>
      </c>
      <c r="AI38" s="317">
        <f t="shared" si="13"/>
        <v>49</v>
      </c>
      <c r="AK38" s="347">
        <v>3.1559999999999998E-2</v>
      </c>
      <c r="AL38" s="339">
        <f>ROUND(((AL37*SUM($AI$10:AI37))+(AK38*AI38))/SUM($AI$10:AI38),5)</f>
        <v>3.567E-2</v>
      </c>
      <c r="AM38" s="316">
        <v>129.6</v>
      </c>
      <c r="AO38" s="335">
        <f t="shared" si="26"/>
        <v>36262</v>
      </c>
      <c r="AP38" s="345">
        <v>36263</v>
      </c>
      <c r="AQ38" s="317">
        <f t="shared" si="14"/>
        <v>1</v>
      </c>
      <c r="AS38" s="347">
        <v>3.0929999999999999E-2</v>
      </c>
      <c r="AT38" s="339">
        <f>ROUND(((AT37*SUM($AQ$10:AQ37))+(AS38*AQ38))/SUM($AQ$10:AQ38),5)</f>
        <v>3.5290000000000002E-2</v>
      </c>
      <c r="AU38" s="316">
        <v>138.5</v>
      </c>
      <c r="AW38" s="335">
        <f t="shared" si="27"/>
        <v>0</v>
      </c>
      <c r="AX38" s="345"/>
      <c r="BA38" s="346"/>
      <c r="BB38" s="339">
        <f>ROUND(((BB37*SUM($AY$10:AY37))+(BA38*AY38))/SUM($AY$10:AY38),5)</f>
        <v>-1.49E-3</v>
      </c>
      <c r="BC38" s="348"/>
      <c r="BE38" s="335">
        <f t="shared" si="16"/>
        <v>34037</v>
      </c>
      <c r="BF38" s="335">
        <v>34044</v>
      </c>
      <c r="BG38" s="317">
        <f t="shared" si="0"/>
        <v>7</v>
      </c>
      <c r="BH38" s="336">
        <v>2.1299999999999999E-2</v>
      </c>
      <c r="BI38" s="337">
        <f t="shared" si="29"/>
        <v>12254.79</v>
      </c>
      <c r="BJ38" s="338"/>
      <c r="BK38" s="341"/>
      <c r="BL38" s="338"/>
      <c r="BM38" s="338"/>
      <c r="BO38" s="335">
        <f t="shared" si="17"/>
        <v>35992</v>
      </c>
      <c r="BP38" s="345">
        <v>35999</v>
      </c>
      <c r="BQ38" s="317">
        <f t="shared" si="2"/>
        <v>7</v>
      </c>
      <c r="BR38" s="346">
        <v>3.5499999999999997E-2</v>
      </c>
      <c r="BS38" s="337">
        <f t="shared" si="3"/>
        <v>11573.97</v>
      </c>
      <c r="BW38" s="335">
        <f t="shared" si="18"/>
        <v>36216</v>
      </c>
      <c r="BX38" s="345">
        <v>36220</v>
      </c>
      <c r="BY38" s="317">
        <f t="shared" si="4"/>
        <v>4</v>
      </c>
      <c r="BZ38" s="347">
        <v>2.92E-2</v>
      </c>
      <c r="CA38" s="337">
        <f t="shared" si="5"/>
        <v>16000</v>
      </c>
      <c r="CB38" s="341">
        <f>SUM(CA34:CA38)</f>
        <v>96123.28</v>
      </c>
      <c r="CD38" s="335">
        <f t="shared" si="19"/>
        <v>36220</v>
      </c>
      <c r="CE38" s="345">
        <v>36223</v>
      </c>
      <c r="CF38" s="317">
        <f t="shared" si="6"/>
        <v>3</v>
      </c>
      <c r="CG38" s="347">
        <v>2.92E-2</v>
      </c>
      <c r="CH38" s="337">
        <f t="shared" si="7"/>
        <v>12000</v>
      </c>
      <c r="CL38" s="335">
        <f t="shared" si="20"/>
        <v>36909</v>
      </c>
      <c r="CM38" s="345">
        <v>36916</v>
      </c>
      <c r="CN38" s="317">
        <f t="shared" si="8"/>
        <v>7</v>
      </c>
      <c r="CO38" s="347">
        <v>1.8599999999999998E-2</v>
      </c>
      <c r="CP38" s="347"/>
      <c r="CQ38" s="347"/>
      <c r="CR38" s="347"/>
      <c r="CS38" s="347"/>
      <c r="CT38" s="347"/>
      <c r="CU38" s="347"/>
      <c r="CV38" s="337">
        <f t="shared" si="30"/>
        <v>29726.62</v>
      </c>
    </row>
    <row r="39" spans="1:101" hidden="1" x14ac:dyDescent="0.25">
      <c r="A39" s="335">
        <f t="shared" si="21"/>
        <v>34038</v>
      </c>
      <c r="B39" s="335">
        <v>34045</v>
      </c>
      <c r="C39" s="317">
        <f t="shared" si="9"/>
        <v>7</v>
      </c>
      <c r="D39" s="317"/>
      <c r="E39" s="336">
        <v>2.2519999999999998E-2</v>
      </c>
      <c r="F39" s="339">
        <f>ROUND(((F38*SUM($C$10:C38))+(E39*C39))/SUM($C$10:C39),5)</f>
        <v>2.6450000000000001E-2</v>
      </c>
      <c r="G39" s="317">
        <v>86.9</v>
      </c>
      <c r="I39" s="335">
        <f t="shared" si="22"/>
        <v>34095</v>
      </c>
      <c r="J39" s="335">
        <v>34099</v>
      </c>
      <c r="K39" s="317">
        <f t="shared" si="10"/>
        <v>4</v>
      </c>
      <c r="L39" s="317"/>
      <c r="M39" s="336">
        <v>2.402E-2</v>
      </c>
      <c r="N39" s="339">
        <f>ROUND(((N38*SUM($K$10:K38))+(M39*K39))/SUM($K$10:K39),5)</f>
        <v>2.5930000000000002E-2</v>
      </c>
      <c r="O39" s="340">
        <v>91.1</v>
      </c>
      <c r="Q39" s="335">
        <f t="shared" si="23"/>
        <v>34442</v>
      </c>
      <c r="R39" s="335">
        <v>34458</v>
      </c>
      <c r="S39" s="317">
        <f t="shared" si="11"/>
        <v>16</v>
      </c>
      <c r="U39" s="336">
        <v>2.631E-2</v>
      </c>
      <c r="V39" s="339">
        <f>ROUND(((V38*SUM($S$10:S38))+(U39*S39))/SUM($S$10:S39),5)</f>
        <v>2.5219999999999999E-2</v>
      </c>
      <c r="W39" s="340">
        <v>81.7</v>
      </c>
      <c r="Y39" s="335">
        <f t="shared" si="24"/>
        <v>35831</v>
      </c>
      <c r="Z39" s="345">
        <v>35852</v>
      </c>
      <c r="AA39" s="317">
        <f t="shared" si="12"/>
        <v>21</v>
      </c>
      <c r="AC39" s="346">
        <v>3.7479999999999999E-2</v>
      </c>
      <c r="AD39" s="339">
        <f>ROUND(((AD38*SUM($AA$10:AA38))+(AC39*AA39))/SUM($AA$10:AA39),5)</f>
        <v>3.6600000000000001E-2</v>
      </c>
      <c r="AE39" s="316">
        <v>81.2</v>
      </c>
      <c r="AG39" s="335">
        <f t="shared" si="25"/>
        <v>36199</v>
      </c>
      <c r="AH39" s="345">
        <v>36234</v>
      </c>
      <c r="AI39" s="317">
        <f t="shared" si="13"/>
        <v>35</v>
      </c>
      <c r="AK39" s="347">
        <v>3.091E-2</v>
      </c>
      <c r="AL39" s="339">
        <f>ROUND(((AL38*SUM($AI$10:AI38))+(AK39*AI39))/SUM($AI$10:AI39),5)</f>
        <v>3.5479999999999998E-2</v>
      </c>
      <c r="AM39" s="348">
        <v>125</v>
      </c>
      <c r="AO39" s="335">
        <f t="shared" si="26"/>
        <v>36263</v>
      </c>
      <c r="AP39" s="345">
        <v>36382</v>
      </c>
      <c r="AQ39" s="317">
        <f t="shared" si="14"/>
        <v>119</v>
      </c>
      <c r="AS39" s="347">
        <v>3.117E-2</v>
      </c>
      <c r="AT39" s="339">
        <f>ROUND(((AT38*SUM($AQ$10:AQ38))+(AS39*AQ39))/SUM($AQ$10:AQ39),5)</f>
        <v>3.4520000000000002E-2</v>
      </c>
      <c r="AU39" s="316">
        <v>150.80000000000001</v>
      </c>
      <c r="AW39" s="335">
        <f t="shared" si="27"/>
        <v>0</v>
      </c>
      <c r="AX39" s="345"/>
      <c r="BA39" s="346"/>
      <c r="BB39" s="339">
        <f>ROUND(((BB38*SUM($AY$10:AY38))+(BA39*AY39))/SUM($AY$10:AY39),5)</f>
        <v>-1.49E-3</v>
      </c>
      <c r="BC39" s="348"/>
      <c r="BE39" s="335">
        <f t="shared" si="16"/>
        <v>34044</v>
      </c>
      <c r="BF39" s="335">
        <v>34051</v>
      </c>
      <c r="BG39" s="317">
        <f t="shared" si="0"/>
        <v>7</v>
      </c>
      <c r="BH39" s="336">
        <v>2.2800000000000001E-2</v>
      </c>
      <c r="BI39" s="337">
        <f t="shared" si="29"/>
        <v>13117.81</v>
      </c>
      <c r="BJ39" s="338"/>
      <c r="BK39" s="341"/>
      <c r="BL39" s="338"/>
      <c r="BM39" s="338"/>
      <c r="BO39" s="335">
        <f t="shared" si="17"/>
        <v>35999</v>
      </c>
      <c r="BP39" s="345">
        <v>36006</v>
      </c>
      <c r="BQ39" s="317">
        <f t="shared" si="2"/>
        <v>7</v>
      </c>
      <c r="BR39" s="346">
        <v>3.5700000000000003E-2</v>
      </c>
      <c r="BS39" s="337">
        <f t="shared" si="3"/>
        <v>11639.18</v>
      </c>
      <c r="BW39" s="335">
        <f t="shared" si="18"/>
        <v>36220</v>
      </c>
      <c r="BX39" s="345">
        <v>36223</v>
      </c>
      <c r="BY39" s="317">
        <f t="shared" si="4"/>
        <v>3</v>
      </c>
      <c r="BZ39" s="347">
        <v>2.92E-2</v>
      </c>
      <c r="CA39" s="337">
        <f t="shared" si="5"/>
        <v>12000</v>
      </c>
      <c r="CD39" s="335">
        <f t="shared" si="19"/>
        <v>36223</v>
      </c>
      <c r="CE39" s="345">
        <v>36230</v>
      </c>
      <c r="CF39" s="317">
        <f t="shared" si="6"/>
        <v>7</v>
      </c>
      <c r="CG39" s="347">
        <v>2.6800000000000001E-2</v>
      </c>
      <c r="CH39" s="337">
        <f t="shared" si="7"/>
        <v>25698.63</v>
      </c>
      <c r="CI39" s="341" t="s">
        <v>35</v>
      </c>
      <c r="CL39" s="335">
        <f t="shared" si="20"/>
        <v>36916</v>
      </c>
      <c r="CM39" s="345">
        <v>36923</v>
      </c>
      <c r="CN39" s="317">
        <f t="shared" si="8"/>
        <v>7</v>
      </c>
      <c r="CO39" s="347">
        <v>4.48E-2</v>
      </c>
      <c r="CP39" s="347"/>
      <c r="CQ39" s="347"/>
      <c r="CR39" s="347"/>
      <c r="CS39" s="347"/>
      <c r="CT39" s="347"/>
      <c r="CU39" s="347"/>
      <c r="CV39" s="337">
        <f t="shared" si="30"/>
        <v>71599.61</v>
      </c>
      <c r="CW39" s="341">
        <f>SUM(CV35:CV39)</f>
        <v>211031.62</v>
      </c>
    </row>
    <row r="40" spans="1:101" hidden="1" x14ac:dyDescent="0.25">
      <c r="A40" s="335">
        <f t="shared" si="21"/>
        <v>34045</v>
      </c>
      <c r="B40" s="335">
        <v>34061</v>
      </c>
      <c r="C40" s="317">
        <f t="shared" si="9"/>
        <v>16</v>
      </c>
      <c r="D40" s="317"/>
      <c r="E40" s="336">
        <v>2.2540000000000001E-2</v>
      </c>
      <c r="F40" s="339">
        <f>ROUND(((F39*SUM($C$10:C39))+(E40*C40))/SUM($C$10:C40),5)</f>
        <v>2.613E-2</v>
      </c>
      <c r="G40" s="317">
        <v>89.5</v>
      </c>
      <c r="I40" s="335">
        <f t="shared" si="22"/>
        <v>34099</v>
      </c>
      <c r="J40" s="335">
        <v>34100</v>
      </c>
      <c r="K40" s="317">
        <f t="shared" si="10"/>
        <v>1</v>
      </c>
      <c r="L40" s="317"/>
      <c r="M40" s="336">
        <v>2.383E-2</v>
      </c>
      <c r="N40" s="339">
        <f>ROUND(((N39*SUM($K$10:K39))+(M40*K40))/SUM($K$10:K40),5)</f>
        <v>2.5919999999999999E-2</v>
      </c>
      <c r="O40" s="340">
        <v>89.2</v>
      </c>
      <c r="Q40" s="335">
        <f t="shared" si="23"/>
        <v>34458</v>
      </c>
      <c r="R40" s="335">
        <v>34460</v>
      </c>
      <c r="S40" s="317">
        <f t="shared" si="11"/>
        <v>2</v>
      </c>
      <c r="U40" s="336">
        <v>2.6500000000000003E-2</v>
      </c>
      <c r="V40" s="339">
        <f>ROUND(((V39*SUM($S$10:S39))+(U40*S40))/SUM($S$10:S40),5)</f>
        <v>2.5229999999999999E-2</v>
      </c>
      <c r="W40" s="340">
        <v>82.7</v>
      </c>
      <c r="Y40" s="335">
        <f t="shared" si="24"/>
        <v>35852</v>
      </c>
      <c r="Z40" s="345">
        <v>35860</v>
      </c>
      <c r="AA40" s="317">
        <f t="shared" si="12"/>
        <v>8</v>
      </c>
      <c r="AC40" s="346">
        <v>3.7350000000000001E-2</v>
      </c>
      <c r="AD40" s="339">
        <f>ROUND(((AD39*SUM($AA$10:AA39))+(AC40*AA40))/SUM($AA$10:AA40),5)</f>
        <v>3.6609999999999997E-2</v>
      </c>
      <c r="AE40" s="316">
        <v>84.2</v>
      </c>
      <c r="AG40" s="335">
        <f t="shared" si="25"/>
        <v>36234</v>
      </c>
      <c r="AH40" s="345">
        <v>36245</v>
      </c>
      <c r="AI40" s="317">
        <f t="shared" si="13"/>
        <v>11</v>
      </c>
      <c r="AK40" s="347">
        <v>3.1379999999999998E-2</v>
      </c>
      <c r="AL40" s="339">
        <f>ROUND(((AL39*SUM($AI$10:AI39))+(AK40*AI40))/SUM($AI$10:AI40),5)</f>
        <v>3.5430000000000003E-2</v>
      </c>
      <c r="AM40" s="348">
        <v>157.4</v>
      </c>
      <c r="AO40" s="335">
        <f t="shared" si="26"/>
        <v>36382</v>
      </c>
      <c r="AP40" s="345">
        <v>36384</v>
      </c>
      <c r="AQ40" s="317">
        <f t="shared" si="14"/>
        <v>2</v>
      </c>
      <c r="AS40" s="347">
        <v>3.1940000000000003E-2</v>
      </c>
      <c r="AT40" s="339">
        <f>ROUND(((AT39*SUM($AQ$10:AQ39))+(AS40*AQ40))/SUM($AQ$10:AQ40),5)</f>
        <v>3.4509999999999999E-2</v>
      </c>
      <c r="AU40" s="316">
        <v>158.6</v>
      </c>
      <c r="AW40" s="335">
        <f t="shared" si="27"/>
        <v>0</v>
      </c>
      <c r="BA40" s="346"/>
      <c r="BB40" s="339">
        <f>ROUND(((BB39*SUM($AY$10:AY39))+(BA40*AY40))/SUM($AY$10:AY40),5)</f>
        <v>-1.49E-3</v>
      </c>
      <c r="BC40" s="348"/>
      <c r="BE40" s="335">
        <f t="shared" si="16"/>
        <v>34051</v>
      </c>
      <c r="BF40" s="335">
        <v>34058</v>
      </c>
      <c r="BG40" s="317">
        <f t="shared" si="0"/>
        <v>7</v>
      </c>
      <c r="BH40" s="336">
        <v>2.53E-2</v>
      </c>
      <c r="BI40" s="337">
        <f t="shared" si="29"/>
        <v>14556.16</v>
      </c>
      <c r="BJ40" s="338"/>
      <c r="BK40" s="341"/>
      <c r="BL40" s="338"/>
      <c r="BM40" s="338"/>
      <c r="BO40" s="335">
        <f t="shared" si="17"/>
        <v>36006</v>
      </c>
      <c r="BP40" s="345">
        <v>36008</v>
      </c>
      <c r="BQ40" s="317">
        <f t="shared" si="2"/>
        <v>2</v>
      </c>
      <c r="BR40" s="346">
        <v>3.5200000000000002E-2</v>
      </c>
      <c r="BS40" s="337">
        <f t="shared" si="3"/>
        <v>3278.9</v>
      </c>
      <c r="BT40" s="341">
        <f>SUM(BS35:BS40)</f>
        <v>48121.64</v>
      </c>
      <c r="BW40" s="335">
        <f t="shared" si="18"/>
        <v>36223</v>
      </c>
      <c r="BX40" s="345">
        <v>36230</v>
      </c>
      <c r="BY40" s="317">
        <f t="shared" si="4"/>
        <v>7</v>
      </c>
      <c r="BZ40" s="347">
        <v>2.6800000000000001E-2</v>
      </c>
      <c r="CA40" s="337">
        <f t="shared" si="5"/>
        <v>25698.63</v>
      </c>
      <c r="CB40" s="341" t="s">
        <v>35</v>
      </c>
      <c r="CD40" s="335">
        <f t="shared" si="19"/>
        <v>36230</v>
      </c>
      <c r="CE40" s="345">
        <v>36237</v>
      </c>
      <c r="CF40" s="317">
        <f t="shared" si="6"/>
        <v>7</v>
      </c>
      <c r="CG40" s="347">
        <v>3.0800000000000001E-2</v>
      </c>
      <c r="CH40" s="337">
        <f t="shared" si="7"/>
        <v>29534.25</v>
      </c>
      <c r="CL40" s="335">
        <f t="shared" si="20"/>
        <v>36923</v>
      </c>
      <c r="CM40" s="345">
        <v>36930</v>
      </c>
      <c r="CN40" s="317">
        <f t="shared" si="8"/>
        <v>7</v>
      </c>
      <c r="CO40" s="347">
        <v>3.9699999999999999E-2</v>
      </c>
      <c r="CP40" s="347"/>
      <c r="CQ40" s="347"/>
      <c r="CR40" s="347"/>
      <c r="CS40" s="347"/>
      <c r="CT40" s="347"/>
      <c r="CU40" s="347"/>
      <c r="CV40" s="337">
        <f t="shared" si="30"/>
        <v>63448.76</v>
      </c>
    </row>
    <row r="41" spans="1:101" hidden="1" x14ac:dyDescent="0.25">
      <c r="A41" s="335">
        <f t="shared" si="21"/>
        <v>34061</v>
      </c>
      <c r="B41" s="335">
        <v>34066</v>
      </c>
      <c r="C41" s="317">
        <f t="shared" si="9"/>
        <v>5</v>
      </c>
      <c r="D41" s="317"/>
      <c r="E41" s="336">
        <v>2.2509999999999999E-2</v>
      </c>
      <c r="F41" s="339">
        <f>ROUND(((F40*SUM($C$10:C40))+(E41*C41))/SUM($C$10:C41),5)</f>
        <v>2.6040000000000001E-2</v>
      </c>
      <c r="G41" s="317">
        <v>90.4</v>
      </c>
      <c r="I41" s="335">
        <f t="shared" si="22"/>
        <v>34100</v>
      </c>
      <c r="J41" s="335">
        <v>34101</v>
      </c>
      <c r="K41" s="317">
        <f t="shared" si="10"/>
        <v>1</v>
      </c>
      <c r="L41" s="317"/>
      <c r="M41" s="336">
        <v>2.383E-2</v>
      </c>
      <c r="N41" s="339">
        <f>ROUND(((N40*SUM($K$10:K40))+(M41*K41))/SUM($K$10:K41),5)</f>
        <v>2.5909999999999999E-2</v>
      </c>
      <c r="O41" s="340">
        <v>89.2</v>
      </c>
      <c r="Q41" s="335">
        <f t="shared" si="23"/>
        <v>34460</v>
      </c>
      <c r="R41" s="335">
        <v>34463</v>
      </c>
      <c r="S41" s="317">
        <f t="shared" si="11"/>
        <v>3</v>
      </c>
      <c r="U41" s="336">
        <v>2.6530000000000001E-2</v>
      </c>
      <c r="V41" s="339">
        <f>ROUND(((V40*SUM($S$10:S40))+(U41*S41))/SUM($S$10:S41),5)</f>
        <v>2.5250000000000002E-2</v>
      </c>
      <c r="W41" s="340">
        <v>79.2</v>
      </c>
      <c r="Y41" s="335">
        <f t="shared" si="24"/>
        <v>35860</v>
      </c>
      <c r="Z41" s="345">
        <v>35865</v>
      </c>
      <c r="AA41" s="317">
        <f t="shared" si="12"/>
        <v>5</v>
      </c>
      <c r="AC41" s="346">
        <v>3.7339999999999998E-2</v>
      </c>
      <c r="AD41" s="339">
        <f>ROUND(((AD40*SUM($AA$10:AA40))+(AC41*AA41))/SUM($AA$10:AA41),5)</f>
        <v>3.662E-2</v>
      </c>
      <c r="AE41" s="316">
        <v>82.3</v>
      </c>
      <c r="AG41" s="335">
        <f t="shared" si="25"/>
        <v>36245</v>
      </c>
      <c r="AH41" s="345">
        <v>36256</v>
      </c>
      <c r="AI41" s="317">
        <f t="shared" si="13"/>
        <v>11</v>
      </c>
      <c r="AK41" s="347">
        <v>3.1469999999999998E-2</v>
      </c>
      <c r="AL41" s="339">
        <f>ROUND(((AL40*SUM($AI$10:AI40))+(AK41*AI41))/SUM($AI$10:AI41),5)</f>
        <v>3.5380000000000002E-2</v>
      </c>
      <c r="AM41" s="348">
        <v>161.69999999999999</v>
      </c>
      <c r="AO41" s="335">
        <f t="shared" si="26"/>
        <v>36384</v>
      </c>
      <c r="AP41" s="345">
        <v>36385</v>
      </c>
      <c r="AQ41" s="317">
        <f t="shared" si="14"/>
        <v>1</v>
      </c>
      <c r="AS41" s="347">
        <v>3.2215000000000001E-2</v>
      </c>
      <c r="AT41" s="339">
        <f>ROUND(((AT40*SUM($AQ$10:AQ40))+(AS41*AQ41))/SUM($AQ$10:AQ41),5)</f>
        <v>3.4509999999999999E-2</v>
      </c>
      <c r="AU41" s="316">
        <v>108.1</v>
      </c>
      <c r="AW41" s="335">
        <f t="shared" si="27"/>
        <v>0</v>
      </c>
      <c r="BA41" s="346"/>
      <c r="BB41" s="339">
        <f>ROUND(((BB40*SUM($AY$10:AY40))+(BA41*AY41))/SUM($AY$10:AY41),5)</f>
        <v>-1.49E-3</v>
      </c>
      <c r="BC41" s="348"/>
      <c r="BE41" s="335">
        <f t="shared" si="16"/>
        <v>34058</v>
      </c>
      <c r="BF41" s="335">
        <v>34060</v>
      </c>
      <c r="BG41" s="317">
        <f t="shared" si="0"/>
        <v>2</v>
      </c>
      <c r="BH41" s="336">
        <v>2.41E-2</v>
      </c>
      <c r="BI41" s="337">
        <f t="shared" si="29"/>
        <v>3961.64</v>
      </c>
      <c r="BJ41" s="341">
        <f>SUM(BI36:BI41)</f>
        <v>56301.349999999991</v>
      </c>
      <c r="BK41" s="341">
        <v>57829.59</v>
      </c>
      <c r="BL41" s="341">
        <f>BJ41-BK41</f>
        <v>-1528.2400000000052</v>
      </c>
      <c r="BM41" s="341">
        <f>BM35+BL41</f>
        <v>-11534.499999999982</v>
      </c>
      <c r="BO41" s="335">
        <f t="shared" si="17"/>
        <v>36008</v>
      </c>
      <c r="BP41" s="345">
        <v>36013</v>
      </c>
      <c r="BQ41" s="317">
        <f t="shared" si="2"/>
        <v>5</v>
      </c>
      <c r="BR41" s="346">
        <v>3.5200000000000002E-2</v>
      </c>
      <c r="BS41" s="337">
        <f t="shared" si="3"/>
        <v>8197.26</v>
      </c>
      <c r="BW41" s="335">
        <f t="shared" si="18"/>
        <v>36230</v>
      </c>
      <c r="BX41" s="345">
        <v>36237</v>
      </c>
      <c r="BY41" s="317">
        <f t="shared" si="4"/>
        <v>7</v>
      </c>
      <c r="BZ41" s="347">
        <v>3.0800000000000001E-2</v>
      </c>
      <c r="CA41" s="337">
        <f t="shared" si="5"/>
        <v>29534.25</v>
      </c>
      <c r="CD41" s="335">
        <f t="shared" si="19"/>
        <v>36237</v>
      </c>
      <c r="CE41" s="345">
        <v>36244</v>
      </c>
      <c r="CF41" s="317">
        <f t="shared" si="6"/>
        <v>7</v>
      </c>
      <c r="CG41" s="347">
        <v>3.09E-2</v>
      </c>
      <c r="CH41" s="337">
        <f t="shared" si="7"/>
        <v>29630.14</v>
      </c>
      <c r="CL41" s="335">
        <f t="shared" si="20"/>
        <v>36930</v>
      </c>
      <c r="CM41" s="345">
        <v>36937</v>
      </c>
      <c r="CN41" s="317">
        <f t="shared" si="8"/>
        <v>7</v>
      </c>
      <c r="CO41" s="347">
        <v>3.1800000000000002E-2</v>
      </c>
      <c r="CP41" s="347"/>
      <c r="CQ41" s="347"/>
      <c r="CR41" s="347"/>
      <c r="CS41" s="347"/>
      <c r="CT41" s="347"/>
      <c r="CU41" s="347"/>
      <c r="CV41" s="337">
        <f t="shared" si="30"/>
        <v>50822.93</v>
      </c>
    </row>
    <row r="42" spans="1:101" hidden="1" x14ac:dyDescent="0.25">
      <c r="A42" s="335">
        <f t="shared" si="21"/>
        <v>34066</v>
      </c>
      <c r="B42" s="335">
        <v>34067</v>
      </c>
      <c r="C42" s="317">
        <f t="shared" si="9"/>
        <v>1</v>
      </c>
      <c r="D42" s="317"/>
      <c r="E42" s="336">
        <v>2.2440000000000002E-2</v>
      </c>
      <c r="F42" s="339">
        <f>ROUND(((F41*SUM($C$10:C41))+(E42*C42))/SUM($C$10:C42),5)</f>
        <v>2.6020000000000001E-2</v>
      </c>
      <c r="G42" s="317">
        <v>89.4</v>
      </c>
      <c r="I42" s="335">
        <f t="shared" si="22"/>
        <v>34101</v>
      </c>
      <c r="J42" s="335">
        <v>34102</v>
      </c>
      <c r="K42" s="317">
        <f t="shared" si="10"/>
        <v>1</v>
      </c>
      <c r="L42" s="317"/>
      <c r="M42" s="336">
        <v>2.383E-2</v>
      </c>
      <c r="N42" s="339">
        <f>ROUND(((N41*SUM($K$10:K41))+(M42*K42))/SUM($K$10:K42),5)</f>
        <v>2.5899999999999999E-2</v>
      </c>
      <c r="O42" s="340">
        <v>89.2</v>
      </c>
      <c r="Q42" s="335">
        <f t="shared" si="23"/>
        <v>34463</v>
      </c>
      <c r="R42" s="335">
        <v>34464</v>
      </c>
      <c r="S42" s="317">
        <f t="shared" si="11"/>
        <v>1</v>
      </c>
      <c r="U42" s="336">
        <v>2.6530000000000001E-2</v>
      </c>
      <c r="V42" s="339">
        <f>ROUND(((V41*SUM($S$10:S41))+(U42*S42))/SUM($S$10:S42),5)</f>
        <v>2.5260000000000001E-2</v>
      </c>
      <c r="W42" s="340">
        <v>79.099999999999994</v>
      </c>
      <c r="Y42" s="335">
        <f t="shared" si="24"/>
        <v>35865</v>
      </c>
      <c r="Z42" s="345">
        <v>35872</v>
      </c>
      <c r="AA42" s="317">
        <f t="shared" si="12"/>
        <v>7</v>
      </c>
      <c r="AC42" s="346">
        <v>3.7339999999999998E-2</v>
      </c>
      <c r="AD42" s="339">
        <f>ROUND(((AD41*SUM($AA$10:AA41))+(AC42*AA42))/SUM($AA$10:AA42),5)</f>
        <v>3.6630000000000003E-2</v>
      </c>
      <c r="AE42" s="316">
        <v>82.3</v>
      </c>
      <c r="AG42" s="335">
        <f t="shared" si="25"/>
        <v>36256</v>
      </c>
      <c r="AH42" s="345">
        <v>36299</v>
      </c>
      <c r="AI42" s="317">
        <f t="shared" si="13"/>
        <v>43</v>
      </c>
      <c r="AK42" s="347">
        <v>3.1309999999999998E-2</v>
      </c>
      <c r="AL42" s="339">
        <f>ROUND(((AL41*SUM($AI$10:AI41))+(AK42*AI42))/SUM($AI$10:AI42),5)</f>
        <v>3.5200000000000002E-2</v>
      </c>
      <c r="AM42" s="348">
        <v>142.5</v>
      </c>
      <c r="AO42" s="335">
        <f t="shared" si="26"/>
        <v>36385</v>
      </c>
      <c r="AP42" s="345">
        <v>36390</v>
      </c>
      <c r="AQ42" s="317">
        <f>AP42-AO42</f>
        <v>5</v>
      </c>
      <c r="AS42" s="347">
        <v>3.2307000000000002E-2</v>
      </c>
      <c r="AT42" s="339">
        <f>ROUND(((AT41*SUM($AQ$10:AQ41))+(AS42*AQ42))/SUM($AQ$10:AQ42),5)</f>
        <v>3.449E-2</v>
      </c>
      <c r="AU42" s="348">
        <v>97.84</v>
      </c>
      <c r="AW42" s="335">
        <f t="shared" si="27"/>
        <v>0</v>
      </c>
      <c r="BA42" s="346"/>
      <c r="BB42" s="339">
        <f>ROUND(((BB41*SUM($AY$10:AY41))+(BA42*AY42))/SUM($AY$10:AY42),5)</f>
        <v>-1.49E-3</v>
      </c>
      <c r="BC42" s="348"/>
      <c r="BE42" s="335">
        <f t="shared" si="16"/>
        <v>34060</v>
      </c>
      <c r="BF42" s="335">
        <v>34065</v>
      </c>
      <c r="BG42" s="317">
        <f t="shared" si="0"/>
        <v>5</v>
      </c>
      <c r="BH42" s="336">
        <v>2.41E-2</v>
      </c>
      <c r="BI42" s="337">
        <f t="shared" si="29"/>
        <v>9904.11</v>
      </c>
      <c r="BJ42" s="338"/>
      <c r="BK42" s="341"/>
      <c r="BL42" s="338"/>
      <c r="BM42" s="338"/>
      <c r="BO42" s="335">
        <f t="shared" si="17"/>
        <v>36013</v>
      </c>
      <c r="BP42" s="345">
        <v>36020</v>
      </c>
      <c r="BQ42" s="317">
        <f t="shared" si="2"/>
        <v>7</v>
      </c>
      <c r="BR42" s="346">
        <v>3.1E-2</v>
      </c>
      <c r="BS42" s="337">
        <f t="shared" si="3"/>
        <v>10106.85</v>
      </c>
      <c r="BW42" s="335">
        <f t="shared" si="18"/>
        <v>36237</v>
      </c>
      <c r="BX42" s="345">
        <v>36244</v>
      </c>
      <c r="BY42" s="317">
        <f t="shared" si="4"/>
        <v>7</v>
      </c>
      <c r="BZ42" s="347">
        <v>3.09E-2</v>
      </c>
      <c r="CA42" s="337">
        <f t="shared" si="5"/>
        <v>29630.14</v>
      </c>
      <c r="CD42" s="335">
        <f t="shared" si="19"/>
        <v>36244</v>
      </c>
      <c r="CE42" s="345">
        <v>36251</v>
      </c>
      <c r="CF42" s="317">
        <f t="shared" si="6"/>
        <v>7</v>
      </c>
      <c r="CG42" s="347">
        <v>3.0099999999999998E-2</v>
      </c>
      <c r="CH42" s="337">
        <f t="shared" si="7"/>
        <v>28863.01</v>
      </c>
      <c r="CI42" s="341">
        <f>SUM(CH38:CH42)</f>
        <v>125726.03</v>
      </c>
      <c r="CL42" s="335">
        <f t="shared" si="20"/>
        <v>36937</v>
      </c>
      <c r="CM42" s="345">
        <v>36944</v>
      </c>
      <c r="CN42" s="317">
        <f t="shared" si="8"/>
        <v>7</v>
      </c>
      <c r="CO42" s="346">
        <v>3.6600000000000001E-2</v>
      </c>
      <c r="CP42" s="346"/>
      <c r="CQ42" s="346"/>
      <c r="CR42" s="346"/>
      <c r="CS42" s="346"/>
      <c r="CT42" s="346"/>
      <c r="CU42" s="346"/>
      <c r="CV42" s="337">
        <f t="shared" si="30"/>
        <v>58494.32</v>
      </c>
    </row>
    <row r="43" spans="1:101" hidden="1" x14ac:dyDescent="0.25">
      <c r="A43" s="335">
        <f t="shared" si="21"/>
        <v>34067</v>
      </c>
      <c r="B43" s="335">
        <v>34093</v>
      </c>
      <c r="C43" s="317">
        <f t="shared" si="9"/>
        <v>26</v>
      </c>
      <c r="D43" s="317"/>
      <c r="E43" s="336">
        <v>2.2450000000000001E-2</v>
      </c>
      <c r="F43" s="339">
        <f>ROUND(((F42*SUM($C$10:C42))+(E43*C43))/SUM($C$10:C43),5)</f>
        <v>2.5610000000000001E-2</v>
      </c>
      <c r="G43" s="317">
        <v>97.6</v>
      </c>
      <c r="I43" s="335">
        <f t="shared" si="22"/>
        <v>34102</v>
      </c>
      <c r="J43" s="335">
        <v>34103</v>
      </c>
      <c r="K43" s="317">
        <f t="shared" si="10"/>
        <v>1</v>
      </c>
      <c r="L43" s="317"/>
      <c r="M43" s="336">
        <v>2.383E-2</v>
      </c>
      <c r="N43" s="339">
        <f>ROUND(((N42*SUM($K$10:K42))+(M43*K43))/SUM($K$10:K43),5)</f>
        <v>2.589E-2</v>
      </c>
      <c r="O43" s="340">
        <v>89.2</v>
      </c>
      <c r="Q43" s="335">
        <f t="shared" si="23"/>
        <v>34464</v>
      </c>
      <c r="R43" s="335">
        <v>34465</v>
      </c>
      <c r="S43" s="317">
        <f t="shared" si="11"/>
        <v>1</v>
      </c>
      <c r="U43" s="336">
        <v>2.6929999999999999E-2</v>
      </c>
      <c r="V43" s="339">
        <f>ROUND(((V42*SUM($S$10:S42))+(U43*S43))/SUM($S$10:S43),5)</f>
        <v>2.5270000000000001E-2</v>
      </c>
      <c r="W43" s="340">
        <v>84.7</v>
      </c>
      <c r="Y43" s="335">
        <f t="shared" si="24"/>
        <v>35872</v>
      </c>
      <c r="Z43" s="345">
        <v>35873</v>
      </c>
      <c r="AA43" s="317">
        <f t="shared" si="12"/>
        <v>1</v>
      </c>
      <c r="AC43" s="346">
        <v>3.5360000000000003E-2</v>
      </c>
      <c r="AD43" s="339">
        <f>ROUND(((AD42*SUM($AA$10:AA42))+(AC43*AA43))/SUM($AA$10:AA43),5)</f>
        <v>3.6630000000000003E-2</v>
      </c>
      <c r="AE43" s="316">
        <v>45.3</v>
      </c>
      <c r="AG43" s="335">
        <f t="shared" si="25"/>
        <v>36299</v>
      </c>
      <c r="AH43" s="345">
        <v>36370</v>
      </c>
      <c r="AI43" s="317">
        <f t="shared" si="13"/>
        <v>71</v>
      </c>
      <c r="AK43" s="347">
        <v>3.1620000000000002E-2</v>
      </c>
      <c r="AL43" s="339">
        <f>ROUND(((AL42*SUM($AI$10:AI42))+(AK43*AI43))/SUM($AI$10:AI43),5)</f>
        <v>3.4950000000000002E-2</v>
      </c>
      <c r="AM43" s="348">
        <v>142.4</v>
      </c>
      <c r="AO43" s="335">
        <f t="shared" si="26"/>
        <v>36390</v>
      </c>
      <c r="AP43" s="345">
        <v>36392</v>
      </c>
      <c r="AQ43" s="317">
        <f>AP43-AO43</f>
        <v>2</v>
      </c>
      <c r="AS43" s="347">
        <v>3.2407999999999999E-2</v>
      </c>
      <c r="AT43" s="339">
        <f>ROUND(((AT42*SUM($AQ$10:AQ42))+(AS43*AQ43))/SUM($AQ$10:AQ43),5)</f>
        <v>3.4479999999999997E-2</v>
      </c>
      <c r="AU43" s="316">
        <v>103.6</v>
      </c>
      <c r="AW43" s="335">
        <f t="shared" si="27"/>
        <v>0</v>
      </c>
      <c r="BA43" s="346"/>
      <c r="BB43" s="339">
        <f>ROUND(((BB42*SUM($AY$10:AY42))+(BA43*AY43))/SUM($AY$10:AY43),5)</f>
        <v>-1.49E-3</v>
      </c>
      <c r="BC43" s="348"/>
      <c r="BE43" s="335">
        <f t="shared" si="16"/>
        <v>34065</v>
      </c>
      <c r="BF43" s="335">
        <v>34072</v>
      </c>
      <c r="BG43" s="317">
        <f t="shared" si="0"/>
        <v>7</v>
      </c>
      <c r="BH43" s="336">
        <v>2.2499999999999999E-2</v>
      </c>
      <c r="BI43" s="337">
        <f t="shared" si="29"/>
        <v>12945.21</v>
      </c>
      <c r="BJ43" s="338"/>
      <c r="BK43" s="341"/>
      <c r="BL43" s="338"/>
      <c r="BM43" s="338"/>
      <c r="BO43" s="335">
        <f t="shared" si="17"/>
        <v>36020</v>
      </c>
      <c r="BP43" s="345">
        <v>36027</v>
      </c>
      <c r="BQ43" s="317">
        <f t="shared" si="2"/>
        <v>7</v>
      </c>
      <c r="BR43" s="346">
        <v>3.3000000000000002E-2</v>
      </c>
      <c r="BS43" s="337">
        <f t="shared" si="3"/>
        <v>10758.9</v>
      </c>
      <c r="BW43" s="335">
        <f t="shared" si="18"/>
        <v>36244</v>
      </c>
      <c r="BX43" s="345">
        <v>36251</v>
      </c>
      <c r="BY43" s="317">
        <f t="shared" si="4"/>
        <v>7</v>
      </c>
      <c r="BZ43" s="347">
        <v>3.0099999999999998E-2</v>
      </c>
      <c r="CA43" s="337">
        <f t="shared" si="5"/>
        <v>28863.01</v>
      </c>
      <c r="CB43" s="341">
        <f>SUM(CA39:CA43)</f>
        <v>125726.03</v>
      </c>
      <c r="CD43" s="335">
        <f t="shared" si="19"/>
        <v>36251</v>
      </c>
      <c r="CE43" s="345">
        <v>36258</v>
      </c>
      <c r="CF43" s="317">
        <f t="shared" si="6"/>
        <v>7</v>
      </c>
      <c r="CG43" s="347">
        <v>2.98E-2</v>
      </c>
      <c r="CH43" s="337">
        <f t="shared" si="7"/>
        <v>28575.34</v>
      </c>
      <c r="CL43" s="335">
        <f t="shared" si="20"/>
        <v>36944</v>
      </c>
      <c r="CM43" s="345">
        <v>36951</v>
      </c>
      <c r="CN43" s="317">
        <f t="shared" si="8"/>
        <v>7</v>
      </c>
      <c r="CO43" s="346">
        <v>3.4700000000000002E-2</v>
      </c>
      <c r="CP43" s="346"/>
      <c r="CQ43" s="346"/>
      <c r="CR43" s="346"/>
      <c r="CS43" s="346"/>
      <c r="CT43" s="346"/>
      <c r="CU43" s="346"/>
      <c r="CV43" s="337">
        <f t="shared" si="30"/>
        <v>55457.73</v>
      </c>
      <c r="CW43" s="341">
        <f>SUM(CV40:CV43)</f>
        <v>228223.74000000002</v>
      </c>
    </row>
    <row r="44" spans="1:101" hidden="1" x14ac:dyDescent="0.25">
      <c r="A44" s="335">
        <f t="shared" si="21"/>
        <v>34093</v>
      </c>
      <c r="B44" s="335">
        <v>34094</v>
      </c>
      <c r="C44" s="317">
        <f t="shared" si="9"/>
        <v>1</v>
      </c>
      <c r="D44" s="317"/>
      <c r="E44" s="336">
        <v>2.249E-2</v>
      </c>
      <c r="F44" s="339">
        <f>ROUND(((F43*SUM($C$10:C43))+(E44*C44))/SUM($C$10:C44),5)</f>
        <v>2.5600000000000001E-2</v>
      </c>
      <c r="G44" s="317">
        <v>95.8</v>
      </c>
      <c r="I44" s="335">
        <f t="shared" si="22"/>
        <v>34103</v>
      </c>
      <c r="J44" s="335">
        <v>34107</v>
      </c>
      <c r="K44" s="317">
        <f t="shared" si="10"/>
        <v>4</v>
      </c>
      <c r="L44" s="317"/>
      <c r="M44" s="336">
        <v>2.383E-2</v>
      </c>
      <c r="N44" s="339">
        <f>ROUND(((N43*SUM($K$10:K43))+(M44*K44))/SUM($K$10:K44),5)</f>
        <v>2.5860000000000001E-2</v>
      </c>
      <c r="O44" s="340">
        <v>89.3</v>
      </c>
      <c r="Q44" s="335">
        <f t="shared" si="23"/>
        <v>34465</v>
      </c>
      <c r="R44" s="335">
        <v>34467</v>
      </c>
      <c r="S44" s="317">
        <f t="shared" si="11"/>
        <v>2</v>
      </c>
      <c r="U44" s="336">
        <v>2.8729999999999999E-2</v>
      </c>
      <c r="V44" s="339">
        <f>ROUND(((V43*SUM($S$10:S43))+(U44*S44))/SUM($S$10:S44),5)</f>
        <v>2.53E-2</v>
      </c>
      <c r="W44" s="340">
        <v>96.2</v>
      </c>
      <c r="Y44" s="335">
        <f t="shared" si="24"/>
        <v>35873</v>
      </c>
      <c r="Z44" s="345">
        <v>35874</v>
      </c>
      <c r="AA44" s="317">
        <f t="shared" si="12"/>
        <v>1</v>
      </c>
      <c r="AC44" s="346">
        <v>3.5369999999999999E-2</v>
      </c>
      <c r="AD44" s="339">
        <f>ROUND(((AD43*SUM($AA$10:AA43))+(AC44*AA44))/SUM($AA$10:AA44),5)</f>
        <v>3.6630000000000003E-2</v>
      </c>
      <c r="AE44" s="316">
        <v>45.3</v>
      </c>
      <c r="AG44" s="335">
        <f t="shared" si="25"/>
        <v>36370</v>
      </c>
      <c r="AH44" s="345">
        <v>36377</v>
      </c>
      <c r="AI44" s="317">
        <f t="shared" si="13"/>
        <v>7</v>
      </c>
      <c r="AK44" s="347">
        <v>3.1891000000000003E-2</v>
      </c>
      <c r="AL44" s="339">
        <f>ROUND(((AL43*SUM($AI$10:AI43))+(AK44*AI44))/SUM($AI$10:AI44),5)</f>
        <v>3.4930000000000003E-2</v>
      </c>
      <c r="AM44" s="348">
        <v>139.30000000000001</v>
      </c>
      <c r="AO44" s="335">
        <f t="shared" si="26"/>
        <v>36392</v>
      </c>
      <c r="AP44" s="345">
        <v>36404</v>
      </c>
      <c r="AQ44" s="317">
        <f>AP44-AO44</f>
        <v>12</v>
      </c>
      <c r="AS44" s="347">
        <v>3.2788999999999999E-2</v>
      </c>
      <c r="AT44" s="339">
        <f>ROUND(((AT43*SUM($AQ$10:AQ43))+(AS44*AQ44))/SUM($AQ$10:AQ44),5)</f>
        <v>3.4450000000000001E-2</v>
      </c>
      <c r="AU44" s="316">
        <v>117.4</v>
      </c>
      <c r="AW44" s="335">
        <f t="shared" si="27"/>
        <v>0</v>
      </c>
      <c r="BA44" s="346"/>
      <c r="BB44" s="339">
        <f>ROUND(((BB43*SUM($AY$10:AY43))+(BA44*AY44))/SUM($AY$10:AY44),5)</f>
        <v>-1.49E-3</v>
      </c>
      <c r="BC44" s="348"/>
      <c r="BE44" s="335">
        <f t="shared" si="16"/>
        <v>34072</v>
      </c>
      <c r="BF44" s="335">
        <v>34079</v>
      </c>
      <c r="BG44" s="317">
        <f t="shared" si="0"/>
        <v>7</v>
      </c>
      <c r="BH44" s="336">
        <v>2.5600000000000001E-2</v>
      </c>
      <c r="BI44" s="337">
        <f t="shared" si="29"/>
        <v>14728.77</v>
      </c>
      <c r="BJ44" s="338"/>
      <c r="BK44" s="341"/>
      <c r="BL44" s="338"/>
      <c r="BM44" s="338"/>
      <c r="BO44" s="335">
        <f t="shared" si="17"/>
        <v>36027</v>
      </c>
      <c r="BP44" s="345">
        <v>36034</v>
      </c>
      <c r="BQ44" s="317">
        <f t="shared" si="2"/>
        <v>7</v>
      </c>
      <c r="BR44" s="346">
        <v>3.3000000000000002E-2</v>
      </c>
      <c r="BS44" s="337">
        <f t="shared" si="3"/>
        <v>10758.9</v>
      </c>
      <c r="BW44" s="335">
        <f t="shared" si="18"/>
        <v>36251</v>
      </c>
      <c r="BX44" s="345">
        <v>36258</v>
      </c>
      <c r="BY44" s="317">
        <f t="shared" si="4"/>
        <v>7</v>
      </c>
      <c r="BZ44" s="347">
        <v>2.98E-2</v>
      </c>
      <c r="CA44" s="337">
        <f t="shared" si="5"/>
        <v>28575.34</v>
      </c>
      <c r="CD44" s="335">
        <f t="shared" si="19"/>
        <v>36258</v>
      </c>
      <c r="CE44" s="345">
        <v>36265</v>
      </c>
      <c r="CF44" s="317">
        <f t="shared" si="6"/>
        <v>7</v>
      </c>
      <c r="CG44" s="347">
        <v>2.8400000000000002E-2</v>
      </c>
      <c r="CH44" s="337">
        <f t="shared" si="7"/>
        <v>27232.880000000001</v>
      </c>
      <c r="CL44" s="335">
        <f t="shared" si="20"/>
        <v>36951</v>
      </c>
      <c r="CM44" s="345">
        <v>36958</v>
      </c>
      <c r="CN44" s="317">
        <f t="shared" si="8"/>
        <v>7</v>
      </c>
      <c r="CO44" s="346">
        <v>3.15E-2</v>
      </c>
      <c r="CP44" s="346"/>
      <c r="CQ44" s="346"/>
      <c r="CR44" s="346"/>
      <c r="CS44" s="346"/>
      <c r="CT44" s="346"/>
      <c r="CU44" s="346"/>
      <c r="CV44" s="337">
        <f t="shared" si="30"/>
        <v>50343.47</v>
      </c>
    </row>
    <row r="45" spans="1:101" hidden="1" x14ac:dyDescent="0.25">
      <c r="A45" s="335">
        <f t="shared" si="21"/>
        <v>34094</v>
      </c>
      <c r="B45" s="335">
        <v>34096</v>
      </c>
      <c r="C45" s="317">
        <f t="shared" si="9"/>
        <v>2</v>
      </c>
      <c r="D45" s="317"/>
      <c r="E45" s="336">
        <v>2.249E-2</v>
      </c>
      <c r="F45" s="339">
        <f>ROUND(((F44*SUM($C$10:C44))+(E45*C45))/SUM($C$10:C45),5)</f>
        <v>2.5569999999999999E-2</v>
      </c>
      <c r="G45" s="317">
        <v>96.6</v>
      </c>
      <c r="I45" s="335">
        <f t="shared" si="22"/>
        <v>34107</v>
      </c>
      <c r="J45" s="335">
        <v>34115</v>
      </c>
      <c r="K45" s="317">
        <f t="shared" si="10"/>
        <v>8</v>
      </c>
      <c r="L45" s="317"/>
      <c r="M45" s="336">
        <v>2.383E-2</v>
      </c>
      <c r="N45" s="339">
        <f>ROUND(((N44*SUM($K$10:K44))+(M45*K45))/SUM($K$10:K45),5)</f>
        <v>2.58E-2</v>
      </c>
      <c r="O45" s="340">
        <v>89.7</v>
      </c>
      <c r="Q45" s="335">
        <f t="shared" si="23"/>
        <v>34467</v>
      </c>
      <c r="R45" s="335">
        <v>34471</v>
      </c>
      <c r="S45" s="317">
        <f t="shared" si="11"/>
        <v>4</v>
      </c>
      <c r="U45" s="336">
        <v>2.9270000000000001E-2</v>
      </c>
      <c r="V45" s="339">
        <f>ROUND(((V44*SUM($S$10:S44))+(U45*S45))/SUM($S$10:S45),5)</f>
        <v>2.5360000000000001E-2</v>
      </c>
      <c r="W45" s="340">
        <v>92.7</v>
      </c>
      <c r="Y45" s="335">
        <f t="shared" si="24"/>
        <v>35874</v>
      </c>
      <c r="Z45" s="345">
        <v>35880</v>
      </c>
      <c r="AA45" s="317">
        <f t="shared" si="12"/>
        <v>6</v>
      </c>
      <c r="AC45" s="346">
        <v>3.542E-2</v>
      </c>
      <c r="AD45" s="339">
        <f>ROUND(((AD44*SUM($AA$10:AA44))+(AC45*AA45))/SUM($AA$10:AA45),5)</f>
        <v>3.662E-2</v>
      </c>
      <c r="AE45" s="316">
        <v>47.4</v>
      </c>
      <c r="AG45" s="335">
        <f t="shared" si="25"/>
        <v>36377</v>
      </c>
      <c r="AH45" s="345">
        <v>36412</v>
      </c>
      <c r="AI45" s="317">
        <f t="shared" si="13"/>
        <v>35</v>
      </c>
      <c r="AK45" s="347">
        <v>3.3066999999999999E-2</v>
      </c>
      <c r="AL45" s="339">
        <f>ROUND(((AL44*SUM($AI$10:AI44))+(AK45*AI45))/SUM($AI$10:AI45),5)</f>
        <v>3.4869999999999998E-2</v>
      </c>
      <c r="AM45" s="348">
        <v>137.80000000000001</v>
      </c>
      <c r="AO45" s="335">
        <f t="shared" si="26"/>
        <v>36404</v>
      </c>
      <c r="AP45" s="345">
        <v>36405</v>
      </c>
      <c r="AQ45" s="317">
        <f t="shared" ref="AQ45:AQ108" si="31">AP45-AO45</f>
        <v>1</v>
      </c>
      <c r="AS45" s="347">
        <v>3.2759000000000003E-2</v>
      </c>
      <c r="AT45" s="339">
        <f>ROUND(((AT44*SUM($AQ$10:AQ44))+(AS45*AQ45))/SUM($AQ$10:AQ45),5)</f>
        <v>3.4450000000000001E-2</v>
      </c>
      <c r="AU45" s="316">
        <v>114.7</v>
      </c>
      <c r="AW45" s="335">
        <f t="shared" si="27"/>
        <v>0</v>
      </c>
      <c r="BA45" s="346"/>
      <c r="BB45" s="339">
        <f>ROUND(((BB44*SUM($AY$10:AY44))+(BA45*AY45))/SUM($AY$10:AY45),5)</f>
        <v>-1.49E-3</v>
      </c>
      <c r="BC45" s="348"/>
      <c r="BE45" s="335">
        <f t="shared" si="16"/>
        <v>34079</v>
      </c>
      <c r="BF45" s="335">
        <v>34086</v>
      </c>
      <c r="BG45" s="317">
        <f t="shared" si="0"/>
        <v>7</v>
      </c>
      <c r="BH45" s="336">
        <v>2.58E-2</v>
      </c>
      <c r="BI45" s="337">
        <f t="shared" si="29"/>
        <v>14843.84</v>
      </c>
      <c r="BJ45" s="338"/>
      <c r="BK45" s="341"/>
      <c r="BL45" s="338"/>
      <c r="BM45" s="338"/>
      <c r="BO45" s="335">
        <f t="shared" si="17"/>
        <v>36034</v>
      </c>
      <c r="BP45" s="345">
        <v>36039</v>
      </c>
      <c r="BQ45" s="317">
        <f t="shared" si="2"/>
        <v>5</v>
      </c>
      <c r="BR45" s="346">
        <v>3.2599999999999997E-2</v>
      </c>
      <c r="BS45" s="337">
        <f t="shared" si="3"/>
        <v>7591.78</v>
      </c>
      <c r="BT45" s="341">
        <f>SUM(BS41:BS45)</f>
        <v>47413.69</v>
      </c>
      <c r="BW45" s="335">
        <f t="shared" si="18"/>
        <v>36258</v>
      </c>
      <c r="BX45" s="345">
        <v>36265</v>
      </c>
      <c r="BY45" s="317">
        <f t="shared" si="4"/>
        <v>7</v>
      </c>
      <c r="BZ45" s="347">
        <v>2.8400000000000002E-2</v>
      </c>
      <c r="CA45" s="337">
        <f t="shared" si="5"/>
        <v>27232.880000000001</v>
      </c>
      <c r="CD45" s="335">
        <f t="shared" si="19"/>
        <v>36265</v>
      </c>
      <c r="CE45" s="345">
        <v>36272</v>
      </c>
      <c r="CF45" s="317">
        <f t="shared" si="6"/>
        <v>7</v>
      </c>
      <c r="CG45" s="347">
        <v>3.15E-2</v>
      </c>
      <c r="CH45" s="337">
        <f t="shared" si="7"/>
        <v>30205.48</v>
      </c>
      <c r="CL45" s="335">
        <f t="shared" si="20"/>
        <v>36958</v>
      </c>
      <c r="CM45" s="345">
        <v>36965</v>
      </c>
      <c r="CN45" s="317">
        <f t="shared" si="8"/>
        <v>7</v>
      </c>
      <c r="CO45" s="346">
        <v>2.4299999999999999E-2</v>
      </c>
      <c r="CP45" s="346"/>
      <c r="CQ45" s="346"/>
      <c r="CR45" s="346"/>
      <c r="CS45" s="346"/>
      <c r="CT45" s="346"/>
      <c r="CU45" s="346"/>
      <c r="CV45" s="337">
        <f t="shared" si="30"/>
        <v>38836.39</v>
      </c>
    </row>
    <row r="46" spans="1:101" hidden="1" x14ac:dyDescent="0.25">
      <c r="A46" s="335">
        <f t="shared" si="21"/>
        <v>34096</v>
      </c>
      <c r="B46" s="335">
        <v>34108</v>
      </c>
      <c r="C46" s="317">
        <f t="shared" si="9"/>
        <v>12</v>
      </c>
      <c r="D46" s="317"/>
      <c r="E46" s="336">
        <v>2.257E-2</v>
      </c>
      <c r="F46" s="339">
        <f>ROUND(((F45*SUM($C$10:C45))+(E46*C46))/SUM($C$10:C46),5)</f>
        <v>2.5420000000000002E-2</v>
      </c>
      <c r="G46" s="317">
        <v>97.4</v>
      </c>
      <c r="I46" s="335">
        <f t="shared" si="22"/>
        <v>34115</v>
      </c>
      <c r="J46" s="335">
        <v>34123</v>
      </c>
      <c r="K46" s="317">
        <f t="shared" si="10"/>
        <v>8</v>
      </c>
      <c r="L46" s="317"/>
      <c r="M46" s="336">
        <v>2.3820000000000001E-2</v>
      </c>
      <c r="N46" s="339">
        <f>ROUND(((N45*SUM($K$10:K45))+(M46*K46))/SUM($K$10:K46),5)</f>
        <v>2.5739999999999999E-2</v>
      </c>
      <c r="O46" s="340">
        <v>83</v>
      </c>
      <c r="Q46" s="335">
        <f t="shared" si="23"/>
        <v>34471</v>
      </c>
      <c r="R46" s="335">
        <v>34488</v>
      </c>
      <c r="S46" s="317">
        <f t="shared" si="11"/>
        <v>17</v>
      </c>
      <c r="U46" s="336">
        <v>2.9559999999999999E-2</v>
      </c>
      <c r="V46" s="339">
        <f>ROUND(((V45*SUM($S$10:S45))+(U46*S46))/SUM($S$10:S46),5)</f>
        <v>2.562E-2</v>
      </c>
      <c r="W46" s="340">
        <v>91.3</v>
      </c>
      <c r="Y46" s="335">
        <f t="shared" si="24"/>
        <v>35880</v>
      </c>
      <c r="Z46" s="345">
        <v>35886</v>
      </c>
      <c r="AA46" s="317">
        <f t="shared" si="12"/>
        <v>6</v>
      </c>
      <c r="AC46" s="346">
        <v>3.6060000000000002E-2</v>
      </c>
      <c r="AD46" s="339">
        <f>ROUND(((AD45*SUM($AA$10:AA45))+(AC46*AA46))/SUM($AA$10:AA46),5)</f>
        <v>3.6609999999999997E-2</v>
      </c>
      <c r="AE46" s="316">
        <v>115.5</v>
      </c>
      <c r="AG46" s="335">
        <f t="shared" si="25"/>
        <v>36412</v>
      </c>
      <c r="AH46" s="345">
        <v>36474</v>
      </c>
      <c r="AI46" s="317">
        <f t="shared" si="13"/>
        <v>62</v>
      </c>
      <c r="AK46" s="347">
        <v>3.4660999999999997E-2</v>
      </c>
      <c r="AL46" s="339">
        <f>ROUND(((AL45*SUM($AI$10:AI45))+(AK46*AI46))/SUM($AI$10:AI46),5)</f>
        <v>3.4860000000000002E-2</v>
      </c>
      <c r="AM46" s="348">
        <v>101.3</v>
      </c>
      <c r="AO46" s="335">
        <f t="shared" si="26"/>
        <v>36405</v>
      </c>
      <c r="AP46" s="345">
        <v>36406</v>
      </c>
      <c r="AQ46" s="317">
        <f t="shared" si="31"/>
        <v>1</v>
      </c>
      <c r="AS46" s="347">
        <v>3.2758000000000002E-2</v>
      </c>
      <c r="AT46" s="339">
        <f>ROUND(((AT45*SUM($AQ$10:AQ45))+(AS46*AQ46))/SUM($AQ$10:AQ46),5)</f>
        <v>3.4450000000000001E-2</v>
      </c>
      <c r="AU46" s="316">
        <v>114.7</v>
      </c>
      <c r="AW46" s="335">
        <f t="shared" si="27"/>
        <v>0</v>
      </c>
      <c r="BA46" s="346"/>
      <c r="BB46" s="339">
        <f>ROUND(((BB45*SUM($AY$10:AY45))+(BA46*AY46))/SUM($AY$10:AY46),5)</f>
        <v>-1.49E-3</v>
      </c>
      <c r="BC46" s="348"/>
      <c r="BE46" s="335">
        <f t="shared" si="16"/>
        <v>34086</v>
      </c>
      <c r="BF46" s="335">
        <v>34090</v>
      </c>
      <c r="BG46" s="317">
        <f t="shared" si="0"/>
        <v>4</v>
      </c>
      <c r="BH46" s="336">
        <v>2.4900000000000002E-2</v>
      </c>
      <c r="BI46" s="337">
        <f t="shared" si="29"/>
        <v>8186.3</v>
      </c>
      <c r="BJ46" s="341">
        <f>SUM(BI42:BI46)</f>
        <v>60608.229999999996</v>
      </c>
      <c r="BK46" s="341">
        <v>55448.3</v>
      </c>
      <c r="BL46" s="341">
        <f>BJ46-BK46</f>
        <v>5159.929999999993</v>
      </c>
      <c r="BM46" s="341">
        <f>BM41+BL46</f>
        <v>-6374.5699999999888</v>
      </c>
      <c r="BO46" s="335">
        <f t="shared" si="17"/>
        <v>36039</v>
      </c>
      <c r="BP46" s="345">
        <v>36041</v>
      </c>
      <c r="BQ46" s="317">
        <f t="shared" si="2"/>
        <v>2</v>
      </c>
      <c r="BR46" s="346">
        <v>3.2599999999999997E-2</v>
      </c>
      <c r="BS46" s="337">
        <f t="shared" si="3"/>
        <v>3036.71</v>
      </c>
      <c r="BW46" s="335">
        <f t="shared" si="18"/>
        <v>36265</v>
      </c>
      <c r="BX46" s="345">
        <v>36272</v>
      </c>
      <c r="BY46" s="317">
        <f t="shared" si="4"/>
        <v>7</v>
      </c>
      <c r="BZ46" s="347">
        <v>3.15E-2</v>
      </c>
      <c r="CA46" s="337">
        <f t="shared" si="5"/>
        <v>30205.48</v>
      </c>
      <c r="CD46" s="335">
        <f t="shared" si="19"/>
        <v>36272</v>
      </c>
      <c r="CE46" s="345">
        <v>36279</v>
      </c>
      <c r="CF46" s="317">
        <f t="shared" si="6"/>
        <v>7</v>
      </c>
      <c r="CG46" s="347">
        <v>3.5000000000000003E-2</v>
      </c>
      <c r="CH46" s="337">
        <f t="shared" si="7"/>
        <v>33561.64</v>
      </c>
      <c r="CL46" s="335">
        <f t="shared" si="20"/>
        <v>36965</v>
      </c>
      <c r="CM46" s="345">
        <v>36972</v>
      </c>
      <c r="CN46" s="317">
        <f t="shared" si="8"/>
        <v>7</v>
      </c>
      <c r="CO46" s="346">
        <v>3.2599999999999997E-2</v>
      </c>
      <c r="CP46" s="346"/>
      <c r="CQ46" s="346"/>
      <c r="CR46" s="346"/>
      <c r="CS46" s="346"/>
      <c r="CT46" s="346"/>
      <c r="CU46" s="346"/>
      <c r="CV46" s="337">
        <f t="shared" si="30"/>
        <v>52101.5</v>
      </c>
    </row>
    <row r="47" spans="1:101" hidden="1" x14ac:dyDescent="0.25">
      <c r="A47" s="335">
        <f t="shared" si="21"/>
        <v>34108</v>
      </c>
      <c r="B47" s="335">
        <v>34109</v>
      </c>
      <c r="C47" s="317">
        <f t="shared" si="9"/>
        <v>1</v>
      </c>
      <c r="D47" s="317"/>
      <c r="E47" s="336">
        <v>2.3009999999999999E-2</v>
      </c>
      <c r="F47" s="339">
        <f>ROUND(((F46*SUM($C$10:C46))+(E47*C47))/SUM($C$10:C47),5)</f>
        <v>2.5409999999999999E-2</v>
      </c>
      <c r="G47" s="317">
        <v>93.5</v>
      </c>
      <c r="I47" s="335">
        <f t="shared" si="22"/>
        <v>34123</v>
      </c>
      <c r="J47" s="335">
        <v>34128</v>
      </c>
      <c r="K47" s="317">
        <f t="shared" si="10"/>
        <v>5</v>
      </c>
      <c r="L47" s="317"/>
      <c r="M47" s="336">
        <v>2.3769999999999999E-2</v>
      </c>
      <c r="N47" s="339">
        <f>ROUND(((N46*SUM($K$10:K46))+(M47*K47))/SUM($K$10:K47),5)</f>
        <v>2.5700000000000001E-2</v>
      </c>
      <c r="O47" s="340">
        <v>87.1</v>
      </c>
      <c r="Q47" s="335">
        <f t="shared" si="23"/>
        <v>34488</v>
      </c>
      <c r="R47" s="335">
        <v>34491</v>
      </c>
      <c r="S47" s="317">
        <f t="shared" si="11"/>
        <v>3</v>
      </c>
      <c r="U47" s="336">
        <v>2.9590000000000002E-2</v>
      </c>
      <c r="V47" s="339">
        <f>ROUND(((V46*SUM($S$10:S46))+(U47*S47))/SUM($S$10:S47),5)</f>
        <v>2.5659999999999999E-2</v>
      </c>
      <c r="W47" s="340">
        <v>91.1</v>
      </c>
      <c r="Y47" s="335">
        <f t="shared" si="24"/>
        <v>35886</v>
      </c>
      <c r="Z47" s="345">
        <v>35887</v>
      </c>
      <c r="AA47" s="317">
        <f t="shared" si="12"/>
        <v>1</v>
      </c>
      <c r="AC47" s="346">
        <v>3.6110000000000003E-2</v>
      </c>
      <c r="AD47" s="339">
        <f>ROUND(((AD46*SUM($AA$10:AA46))+(AC47*AA47))/SUM($AA$10:AA47),5)</f>
        <v>3.6609999999999997E-2</v>
      </c>
      <c r="AE47" s="316">
        <v>113.7</v>
      </c>
      <c r="AG47" s="335">
        <f t="shared" si="25"/>
        <v>36474</v>
      </c>
      <c r="AH47" s="345">
        <v>36483</v>
      </c>
      <c r="AI47" s="317">
        <f t="shared" si="13"/>
        <v>9</v>
      </c>
      <c r="AK47" s="347">
        <v>3.5320999999999998E-2</v>
      </c>
      <c r="AL47" s="339">
        <f>ROUND(((AL46*SUM($AI$10:AI46))+(AK47*AI47))/SUM($AI$10:AI47),5)</f>
        <v>3.4860000000000002E-2</v>
      </c>
      <c r="AM47" s="348">
        <v>107.7</v>
      </c>
      <c r="AO47" s="335">
        <f t="shared" si="26"/>
        <v>36406</v>
      </c>
      <c r="AP47" s="345">
        <v>36413</v>
      </c>
      <c r="AQ47" s="317">
        <f t="shared" si="31"/>
        <v>7</v>
      </c>
      <c r="AS47" s="347">
        <v>3.3459999999999997E-2</v>
      </c>
      <c r="AT47" s="339">
        <f>ROUND(((AT46*SUM($AQ$10:AQ46))+(AS47*AQ47))/SUM($AQ$10:AQ47),5)</f>
        <v>3.4439999999999998E-2</v>
      </c>
      <c r="AU47" s="348">
        <v>141</v>
      </c>
      <c r="AW47" s="335">
        <f t="shared" si="27"/>
        <v>0</v>
      </c>
      <c r="BB47" s="339">
        <f>ROUND(((BB46*SUM($AY$10:AY46))+(BA47*AY47))/SUM($AY$10:AY47),5)</f>
        <v>-1.49E-3</v>
      </c>
      <c r="BC47" s="348"/>
      <c r="BE47" s="335">
        <f t="shared" si="16"/>
        <v>34090</v>
      </c>
      <c r="BF47" s="335">
        <v>34093</v>
      </c>
      <c r="BG47" s="317">
        <f t="shared" si="0"/>
        <v>3</v>
      </c>
      <c r="BH47" s="336">
        <v>2.4900000000000002E-2</v>
      </c>
      <c r="BI47" s="337">
        <f t="shared" si="29"/>
        <v>6139.73</v>
      </c>
      <c r="BJ47" s="338"/>
      <c r="BK47" s="341"/>
      <c r="BL47" s="338"/>
      <c r="BM47" s="338"/>
      <c r="BO47" s="335">
        <f t="shared" si="17"/>
        <v>36041</v>
      </c>
      <c r="BP47" s="345">
        <v>36048</v>
      </c>
      <c r="BQ47" s="317">
        <f t="shared" si="2"/>
        <v>7</v>
      </c>
      <c r="BR47" s="346">
        <v>2.7900000000000001E-2</v>
      </c>
      <c r="BS47" s="337">
        <f t="shared" si="3"/>
        <v>9096.16</v>
      </c>
      <c r="BW47" s="335">
        <f t="shared" si="18"/>
        <v>36272</v>
      </c>
      <c r="BX47" s="345">
        <v>36279</v>
      </c>
      <c r="BY47" s="317">
        <f t="shared" si="4"/>
        <v>7</v>
      </c>
      <c r="BZ47" s="347">
        <v>3.5000000000000003E-2</v>
      </c>
      <c r="CA47" s="337">
        <f t="shared" si="5"/>
        <v>33561.64</v>
      </c>
      <c r="CD47" s="335">
        <f t="shared" si="19"/>
        <v>36279</v>
      </c>
      <c r="CE47" s="345">
        <v>36281</v>
      </c>
      <c r="CF47" s="317">
        <f t="shared" si="6"/>
        <v>2</v>
      </c>
      <c r="CG47" s="347">
        <v>3.9600000000000003E-2</v>
      </c>
      <c r="CH47" s="337">
        <f t="shared" si="7"/>
        <v>10849.32</v>
      </c>
      <c r="CI47" s="341">
        <f>SUM(CH43:CH47)</f>
        <v>130424.66</v>
      </c>
      <c r="CL47" s="335">
        <f t="shared" si="20"/>
        <v>36972</v>
      </c>
      <c r="CM47" s="345">
        <v>36979</v>
      </c>
      <c r="CN47" s="317">
        <f t="shared" si="8"/>
        <v>7</v>
      </c>
      <c r="CO47" s="346">
        <v>3.4799999999999998E-2</v>
      </c>
      <c r="CP47" s="346"/>
      <c r="CQ47" s="346"/>
      <c r="CR47" s="346"/>
      <c r="CS47" s="346"/>
      <c r="CT47" s="346"/>
      <c r="CU47" s="346"/>
      <c r="CV47" s="337">
        <f t="shared" si="30"/>
        <v>55617.55</v>
      </c>
    </row>
    <row r="48" spans="1:101" hidden="1" x14ac:dyDescent="0.25">
      <c r="A48" s="335">
        <f t="shared" si="21"/>
        <v>34109</v>
      </c>
      <c r="B48" s="335">
        <v>34121</v>
      </c>
      <c r="C48" s="317">
        <f t="shared" si="9"/>
        <v>12</v>
      </c>
      <c r="D48" s="317"/>
      <c r="E48" s="336">
        <v>2.3200000000000002E-2</v>
      </c>
      <c r="F48" s="339">
        <f>ROUND(((F47*SUM($C$10:C47))+(E48*C48))/SUM($C$10:C48),5)</f>
        <v>2.5309999999999999E-2</v>
      </c>
      <c r="G48" s="317">
        <v>86.3</v>
      </c>
      <c r="I48" s="335">
        <f t="shared" si="22"/>
        <v>34128</v>
      </c>
      <c r="J48" s="335">
        <v>34137</v>
      </c>
      <c r="K48" s="317">
        <f t="shared" si="10"/>
        <v>9</v>
      </c>
      <c r="L48" s="317"/>
      <c r="M48" s="336">
        <v>2.359E-2</v>
      </c>
      <c r="N48" s="339">
        <f>ROUND(((N47*SUM($K$10:K47))+(M48*K48))/SUM($K$10:K48),5)</f>
        <v>2.563E-2</v>
      </c>
      <c r="O48" s="340">
        <v>88.3</v>
      </c>
      <c r="Q48" s="335">
        <f t="shared" si="23"/>
        <v>34491</v>
      </c>
      <c r="R48" s="335">
        <v>34494</v>
      </c>
      <c r="S48" s="317">
        <f t="shared" si="11"/>
        <v>3</v>
      </c>
      <c r="U48" s="336">
        <v>3.0269999999999998E-2</v>
      </c>
      <c r="V48" s="339">
        <f>ROUND(((V47*SUM($S$10:S47))+(U48*S48))/SUM($S$10:S48),5)</f>
        <v>2.571E-2</v>
      </c>
      <c r="W48" s="340">
        <v>96.9</v>
      </c>
      <c r="Y48" s="335">
        <f t="shared" si="24"/>
        <v>35887</v>
      </c>
      <c r="Z48" s="345">
        <v>35888</v>
      </c>
      <c r="AA48" s="317">
        <f t="shared" si="12"/>
        <v>1</v>
      </c>
      <c r="AC48" s="346">
        <v>3.61E-2</v>
      </c>
      <c r="AD48" s="339">
        <f>ROUND(((AD47*SUM($AA$10:AA47))+(AC48*AA48))/SUM($AA$10:AA48),5)</f>
        <v>3.6609999999999997E-2</v>
      </c>
      <c r="AE48" s="316">
        <v>113.7</v>
      </c>
      <c r="AG48" s="335">
        <f t="shared" si="25"/>
        <v>36483</v>
      </c>
      <c r="AH48" s="345">
        <v>36502</v>
      </c>
      <c r="AI48" s="317">
        <f t="shared" si="13"/>
        <v>19</v>
      </c>
      <c r="AK48" s="347">
        <v>3.6714999999999998E-2</v>
      </c>
      <c r="AL48" s="339">
        <f>ROUND(((AL47*SUM($AI$10:AI47))+(AK48*AI48))/SUM($AI$10:AI48),5)</f>
        <v>3.4889999999999997E-2</v>
      </c>
      <c r="AM48" s="348">
        <v>119.7</v>
      </c>
      <c r="AO48" s="335">
        <f t="shared" si="26"/>
        <v>36413</v>
      </c>
      <c r="AP48" s="345">
        <v>36419</v>
      </c>
      <c r="AQ48" s="317">
        <f t="shared" si="31"/>
        <v>6</v>
      </c>
      <c r="AS48" s="347">
        <v>3.4916000000000003E-2</v>
      </c>
      <c r="AT48" s="339">
        <f>ROUND(((AT47*SUM($AQ$10:AQ47))+(AS48*AQ48))/SUM($AQ$10:AQ48),5)</f>
        <v>3.4439999999999998E-2</v>
      </c>
      <c r="AU48" s="316">
        <v>138.69999999999999</v>
      </c>
      <c r="AW48" s="335">
        <f t="shared" si="27"/>
        <v>0</v>
      </c>
      <c r="BB48" s="339">
        <f>ROUND(((BB47*SUM($AY$10:AY47))+(BA48*AY48))/SUM($AY$10:AY48),5)</f>
        <v>-1.49E-3</v>
      </c>
      <c r="BC48" s="348"/>
      <c r="BE48" s="335">
        <f t="shared" si="16"/>
        <v>34093</v>
      </c>
      <c r="BF48" s="335">
        <v>34100</v>
      </c>
      <c r="BG48" s="317">
        <f t="shared" si="0"/>
        <v>7</v>
      </c>
      <c r="BH48" s="336">
        <v>2.4300000000000002E-2</v>
      </c>
      <c r="BI48" s="337">
        <f t="shared" si="29"/>
        <v>13980.82</v>
      </c>
      <c r="BJ48" s="338"/>
      <c r="BK48" s="341"/>
      <c r="BL48" s="338"/>
      <c r="BM48" s="338"/>
      <c r="BO48" s="335">
        <f t="shared" si="17"/>
        <v>36048</v>
      </c>
      <c r="BP48" s="345">
        <v>36055</v>
      </c>
      <c r="BQ48" s="317">
        <f t="shared" si="2"/>
        <v>7</v>
      </c>
      <c r="BR48" s="346">
        <v>3.3000000000000002E-2</v>
      </c>
      <c r="BS48" s="337">
        <f t="shared" si="3"/>
        <v>10758.9</v>
      </c>
      <c r="BW48" s="335">
        <f t="shared" si="18"/>
        <v>36279</v>
      </c>
      <c r="BX48" s="345">
        <v>36281</v>
      </c>
      <c r="BY48" s="317">
        <f t="shared" si="4"/>
        <v>2</v>
      </c>
      <c r="BZ48" s="347">
        <v>3.9600000000000003E-2</v>
      </c>
      <c r="CA48" s="337">
        <f t="shared" si="5"/>
        <v>10849.32</v>
      </c>
      <c r="CB48" s="341">
        <f>SUM(CA44:CA48)</f>
        <v>130424.66</v>
      </c>
      <c r="CD48" s="335">
        <f t="shared" si="19"/>
        <v>36281</v>
      </c>
      <c r="CE48" s="345">
        <v>36286</v>
      </c>
      <c r="CF48" s="317">
        <f t="shared" si="6"/>
        <v>5</v>
      </c>
      <c r="CG48" s="347">
        <v>3.9600000000000003E-2</v>
      </c>
      <c r="CH48" s="337">
        <f t="shared" si="7"/>
        <v>27123.29</v>
      </c>
      <c r="CL48" s="335">
        <f t="shared" si="20"/>
        <v>36979</v>
      </c>
      <c r="CM48" s="345">
        <v>36982</v>
      </c>
      <c r="CN48" s="317">
        <f t="shared" si="8"/>
        <v>3</v>
      </c>
      <c r="CO48" s="346">
        <v>3.4500000000000003E-2</v>
      </c>
      <c r="CP48" s="346"/>
      <c r="CQ48" s="346"/>
      <c r="CR48" s="346"/>
      <c r="CS48" s="346"/>
      <c r="CT48" s="346"/>
      <c r="CU48" s="346"/>
      <c r="CV48" s="337">
        <f t="shared" si="30"/>
        <v>23630.61</v>
      </c>
      <c r="CW48" s="341">
        <f>SUM(CV44:CV48)</f>
        <v>220529.51999999996</v>
      </c>
    </row>
    <row r="49" spans="1:101" hidden="1" x14ac:dyDescent="0.25">
      <c r="A49" s="335">
        <f t="shared" si="21"/>
        <v>34121</v>
      </c>
      <c r="B49" s="335">
        <v>34122</v>
      </c>
      <c r="C49" s="317">
        <f t="shared" si="9"/>
        <v>1</v>
      </c>
      <c r="D49" s="317"/>
      <c r="E49" s="336">
        <v>2.3259999999999999E-2</v>
      </c>
      <c r="F49" s="339">
        <f>ROUND(((F48*SUM($C$10:C48))+(E49*C49))/SUM($C$10:C49),5)</f>
        <v>2.53E-2</v>
      </c>
      <c r="G49" s="317">
        <v>83.5</v>
      </c>
      <c r="I49" s="335">
        <f t="shared" si="22"/>
        <v>34137</v>
      </c>
      <c r="J49" s="335">
        <v>34141</v>
      </c>
      <c r="K49" s="317">
        <f t="shared" si="10"/>
        <v>4</v>
      </c>
      <c r="L49" s="317"/>
      <c r="M49" s="336">
        <v>2.3539999999999998E-2</v>
      </c>
      <c r="N49" s="339">
        <f>ROUND(((N48*SUM($K$10:K48))+(M49*K49))/SUM($K$10:K49),5)</f>
        <v>2.5600000000000001E-2</v>
      </c>
      <c r="O49" s="340">
        <v>88.1</v>
      </c>
      <c r="Q49" s="335">
        <f t="shared" si="23"/>
        <v>34494</v>
      </c>
      <c r="R49" s="335">
        <v>34509</v>
      </c>
      <c r="S49" s="317">
        <f t="shared" si="11"/>
        <v>15</v>
      </c>
      <c r="U49" s="336">
        <v>3.0250000000000003E-2</v>
      </c>
      <c r="V49" s="339">
        <f>ROUND(((V48*SUM($S$10:S48))+(U49*S49))/SUM($S$10:S49),5)</f>
        <v>2.5940000000000001E-2</v>
      </c>
      <c r="W49" s="340">
        <v>96.9</v>
      </c>
      <c r="Y49" s="335">
        <f t="shared" si="24"/>
        <v>35888</v>
      </c>
      <c r="Z49" s="345">
        <v>35891</v>
      </c>
      <c r="AA49" s="317">
        <f t="shared" si="12"/>
        <v>3</v>
      </c>
      <c r="AC49" s="346">
        <v>3.6159999999999998E-2</v>
      </c>
      <c r="AD49" s="339">
        <f>ROUND(((AD48*SUM($AA$10:AA48))+(AC49*AA49))/SUM($AA$10:AA49),5)</f>
        <v>3.6609999999999997E-2</v>
      </c>
      <c r="AE49" s="316">
        <v>139.4</v>
      </c>
      <c r="AG49" s="335">
        <f t="shared" si="25"/>
        <v>36502</v>
      </c>
      <c r="AH49" s="345">
        <v>36564</v>
      </c>
      <c r="AI49" s="317">
        <f t="shared" si="13"/>
        <v>62</v>
      </c>
      <c r="AK49" s="347">
        <v>3.7787000000000001E-2</v>
      </c>
      <c r="AL49" s="339">
        <f>ROUND(((AL48*SUM($AI$10:AI48))+(AK49*AI49))/SUM($AI$10:AI49),5)</f>
        <v>3.5040000000000002E-2</v>
      </c>
      <c r="AM49" s="348">
        <v>146.1</v>
      </c>
      <c r="AO49" s="335">
        <f t="shared" si="26"/>
        <v>36419</v>
      </c>
      <c r="AP49" s="345">
        <v>36438</v>
      </c>
      <c r="AQ49" s="317">
        <f t="shared" si="31"/>
        <v>19</v>
      </c>
      <c r="AS49" s="347">
        <v>3.6496000000000001E-2</v>
      </c>
      <c r="AT49" s="339">
        <f>ROUND(((AT48*SUM($AQ$10:AQ48))+(AS49*AQ49))/SUM($AQ$10:AQ49),5)</f>
        <v>3.4500000000000003E-2</v>
      </c>
      <c r="AU49" s="316">
        <v>132.19999999999999</v>
      </c>
      <c r="AW49" s="335">
        <f t="shared" si="27"/>
        <v>0</v>
      </c>
      <c r="BB49" s="339">
        <f>ROUND(((BB48*SUM($AY$10:AY48))+(BA49*AY49))/SUM($AY$10:AY49),5)</f>
        <v>-1.49E-3</v>
      </c>
      <c r="BC49" s="348"/>
      <c r="BE49" s="335">
        <f t="shared" si="16"/>
        <v>34100</v>
      </c>
      <c r="BF49" s="335">
        <v>34107</v>
      </c>
      <c r="BG49" s="317">
        <f t="shared" si="0"/>
        <v>7</v>
      </c>
      <c r="BH49" s="336">
        <v>2.52E-2</v>
      </c>
      <c r="BI49" s="337">
        <f t="shared" si="29"/>
        <v>14498.63</v>
      </c>
      <c r="BJ49" s="338"/>
      <c r="BK49" s="341"/>
      <c r="BL49" s="338"/>
      <c r="BM49" s="338"/>
      <c r="BO49" s="335">
        <f t="shared" si="17"/>
        <v>36055</v>
      </c>
      <c r="BP49" s="345">
        <v>36062</v>
      </c>
      <c r="BQ49" s="317">
        <f t="shared" si="2"/>
        <v>7</v>
      </c>
      <c r="BR49" s="346">
        <v>3.8100000000000002E-2</v>
      </c>
      <c r="BS49" s="337">
        <f t="shared" si="3"/>
        <v>12421.64</v>
      </c>
      <c r="BW49" s="335">
        <f t="shared" si="18"/>
        <v>36281</v>
      </c>
      <c r="BX49" s="345">
        <v>36286</v>
      </c>
      <c r="BY49" s="317">
        <f t="shared" si="4"/>
        <v>5</v>
      </c>
      <c r="BZ49" s="347">
        <v>3.9600000000000003E-2</v>
      </c>
      <c r="CA49" s="337">
        <f t="shared" si="5"/>
        <v>27123.29</v>
      </c>
      <c r="CD49" s="335">
        <f t="shared" si="19"/>
        <v>36286</v>
      </c>
      <c r="CE49" s="345">
        <v>36293</v>
      </c>
      <c r="CF49" s="317">
        <f t="shared" si="6"/>
        <v>7</v>
      </c>
      <c r="CG49" s="347">
        <v>3.6499999999999998E-2</v>
      </c>
      <c r="CH49" s="337">
        <f t="shared" si="7"/>
        <v>35000</v>
      </c>
      <c r="CL49" s="335">
        <f t="shared" si="20"/>
        <v>36982</v>
      </c>
      <c r="CM49" s="345">
        <v>36986</v>
      </c>
      <c r="CN49" s="317">
        <f t="shared" si="8"/>
        <v>4</v>
      </c>
      <c r="CO49" s="346">
        <v>3.4500000000000003E-2</v>
      </c>
      <c r="CP49" s="346"/>
      <c r="CQ49" s="346"/>
      <c r="CR49" s="346"/>
      <c r="CS49" s="346"/>
      <c r="CT49" s="346"/>
      <c r="CU49" s="346"/>
      <c r="CV49" s="337">
        <f t="shared" si="30"/>
        <v>31507.48</v>
      </c>
    </row>
    <row r="50" spans="1:101" hidden="1" x14ac:dyDescent="0.25">
      <c r="A50" s="335">
        <f t="shared" si="21"/>
        <v>34122</v>
      </c>
      <c r="B50" s="335">
        <v>34127</v>
      </c>
      <c r="C50" s="317">
        <f t="shared" si="9"/>
        <v>5</v>
      </c>
      <c r="D50" s="317"/>
      <c r="E50" s="336">
        <v>2.325E-2</v>
      </c>
      <c r="F50" s="339">
        <f>ROUND(((F49*SUM($C$10:C49))+(E50*C50))/SUM($C$10:C50),5)</f>
        <v>2.5260000000000001E-2</v>
      </c>
      <c r="G50" s="317">
        <v>84.8</v>
      </c>
      <c r="I50" s="335">
        <f t="shared" si="22"/>
        <v>34141</v>
      </c>
      <c r="J50" s="335">
        <v>34142</v>
      </c>
      <c r="K50" s="317">
        <f t="shared" si="10"/>
        <v>1</v>
      </c>
      <c r="L50" s="317"/>
      <c r="M50" s="336">
        <v>2.3429999999999999E-2</v>
      </c>
      <c r="N50" s="339">
        <f>ROUND(((N49*SUM($K$10:K49))+(M50*K50))/SUM($K$10:K50),5)</f>
        <v>2.5590000000000002E-2</v>
      </c>
      <c r="O50" s="340">
        <v>91.2</v>
      </c>
      <c r="Q50" s="335">
        <f t="shared" si="23"/>
        <v>34509</v>
      </c>
      <c r="R50" s="335">
        <v>34512</v>
      </c>
      <c r="S50" s="317">
        <f t="shared" si="11"/>
        <v>3</v>
      </c>
      <c r="U50" s="336">
        <v>3.099E-2</v>
      </c>
      <c r="V50" s="339">
        <f>ROUND(((V49*SUM($S$10:S49))+(U50*S50))/SUM($S$10:S50),5)</f>
        <v>2.5989999999999999E-2</v>
      </c>
      <c r="W50" s="340">
        <v>76.8</v>
      </c>
      <c r="Y50" s="335">
        <f t="shared" si="24"/>
        <v>35891</v>
      </c>
      <c r="Z50" s="345">
        <v>35972</v>
      </c>
      <c r="AA50" s="317">
        <f t="shared" si="12"/>
        <v>81</v>
      </c>
      <c r="AC50" s="346">
        <v>3.6159999999999998E-2</v>
      </c>
      <c r="AD50" s="339">
        <f>ROUND(((AD49*SUM($AA$10:AA49))+(AC50*AA50))/SUM($AA$10:AA50),5)</f>
        <v>3.6549999999999999E-2</v>
      </c>
      <c r="AE50" s="316">
        <v>139.80000000000001</v>
      </c>
      <c r="AG50" s="335">
        <f t="shared" si="25"/>
        <v>36564</v>
      </c>
      <c r="AH50" s="345">
        <v>36565</v>
      </c>
      <c r="AI50" s="317">
        <f t="shared" si="13"/>
        <v>1</v>
      </c>
      <c r="AK50" s="347">
        <v>3.7921999999999997E-2</v>
      </c>
      <c r="AL50" s="339">
        <f>ROUND(((AL49*SUM($AI$10:AI49))+(AK50*AI50))/SUM($AI$10:AI50),5)</f>
        <v>3.5040000000000002E-2</v>
      </c>
      <c r="AM50" s="348">
        <v>139.30000000000001</v>
      </c>
      <c r="AO50" s="335">
        <f t="shared" si="26"/>
        <v>36438</v>
      </c>
      <c r="AP50" s="345">
        <v>36447</v>
      </c>
      <c r="AQ50" s="317">
        <f t="shared" si="31"/>
        <v>9</v>
      </c>
      <c r="AS50" s="347">
        <v>3.6565E-2</v>
      </c>
      <c r="AT50" s="339">
        <f>ROUND(((AT49*SUM($AQ$10:AQ49))+(AS50*AQ50))/SUM($AQ$10:AQ50),5)</f>
        <v>3.4529999999999998E-2</v>
      </c>
      <c r="AU50" s="316">
        <v>130.80000000000001</v>
      </c>
      <c r="AW50" s="335">
        <f t="shared" si="27"/>
        <v>0</v>
      </c>
      <c r="BB50" s="339">
        <f>ROUND(((BB49*SUM($AY$10:AY49))+(BA50*AY50))/SUM($AY$10:AY50),5)</f>
        <v>-1.49E-3</v>
      </c>
      <c r="BC50" s="348"/>
      <c r="BE50" s="335">
        <f t="shared" si="16"/>
        <v>34107</v>
      </c>
      <c r="BF50" s="335">
        <v>34114</v>
      </c>
      <c r="BG50" s="317">
        <f t="shared" si="0"/>
        <v>7</v>
      </c>
      <c r="BH50" s="336">
        <v>2.7300000000000001E-2</v>
      </c>
      <c r="BI50" s="337">
        <f t="shared" si="29"/>
        <v>15706.85</v>
      </c>
      <c r="BJ50" s="338"/>
      <c r="BK50" s="341"/>
      <c r="BL50" s="338"/>
      <c r="BM50" s="338"/>
      <c r="BO50" s="335">
        <f t="shared" si="17"/>
        <v>36062</v>
      </c>
      <c r="BP50" s="345">
        <v>36069</v>
      </c>
      <c r="BQ50" s="317">
        <f t="shared" si="2"/>
        <v>7</v>
      </c>
      <c r="BR50" s="346">
        <v>3.9699999999999999E-2</v>
      </c>
      <c r="BS50" s="337">
        <f t="shared" si="3"/>
        <v>12943.29</v>
      </c>
      <c r="BT50" s="341">
        <f>SUM(BS46:BS50)</f>
        <v>48256.7</v>
      </c>
      <c r="BW50" s="335">
        <f t="shared" si="18"/>
        <v>36286</v>
      </c>
      <c r="BX50" s="345">
        <v>36293</v>
      </c>
      <c r="BY50" s="317">
        <f t="shared" si="4"/>
        <v>7</v>
      </c>
      <c r="BZ50" s="347">
        <v>3.6499999999999998E-2</v>
      </c>
      <c r="CA50" s="337">
        <f t="shared" si="5"/>
        <v>35000</v>
      </c>
      <c r="CD50" s="335">
        <f t="shared" si="19"/>
        <v>36293</v>
      </c>
      <c r="CE50" s="345">
        <v>36300</v>
      </c>
      <c r="CF50" s="317">
        <f t="shared" si="6"/>
        <v>7</v>
      </c>
      <c r="CG50" s="347">
        <v>3.5400000000000001E-2</v>
      </c>
      <c r="CH50" s="337">
        <f t="shared" si="7"/>
        <v>33945.21</v>
      </c>
      <c r="CL50" s="335">
        <f t="shared" si="20"/>
        <v>36986</v>
      </c>
      <c r="CM50" s="345">
        <v>36993</v>
      </c>
      <c r="CN50" s="317">
        <f t="shared" si="8"/>
        <v>7</v>
      </c>
      <c r="CO50" s="346">
        <v>3.1899999999999998E-2</v>
      </c>
      <c r="CP50" s="346"/>
      <c r="CQ50" s="346"/>
      <c r="CR50" s="346"/>
      <c r="CS50" s="346"/>
      <c r="CT50" s="346"/>
      <c r="CU50" s="346"/>
      <c r="CV50" s="337">
        <f t="shared" si="30"/>
        <v>50982.75</v>
      </c>
    </row>
    <row r="51" spans="1:101" hidden="1" x14ac:dyDescent="0.25">
      <c r="A51" s="335">
        <f t="shared" si="21"/>
        <v>34127</v>
      </c>
      <c r="B51" s="335">
        <v>34129</v>
      </c>
      <c r="C51" s="317">
        <f t="shared" si="9"/>
        <v>2</v>
      </c>
      <c r="D51" s="317"/>
      <c r="E51" s="336">
        <v>2.29E-2</v>
      </c>
      <c r="F51" s="339">
        <f>ROUND(((F50*SUM($C$10:C50))+(E51*C51))/SUM($C$10:C51),5)</f>
        <v>2.5239999999999999E-2</v>
      </c>
      <c r="G51" s="317">
        <v>80.900000000000006</v>
      </c>
      <c r="I51" s="335">
        <f t="shared" si="22"/>
        <v>34142</v>
      </c>
      <c r="J51" s="335">
        <v>34143</v>
      </c>
      <c r="K51" s="317">
        <f t="shared" si="10"/>
        <v>1</v>
      </c>
      <c r="L51" s="317"/>
      <c r="M51" s="336">
        <v>2.3429999999999999E-2</v>
      </c>
      <c r="N51" s="339">
        <f>ROUND(((N50*SUM($K$10:K50))+(M51*K51))/SUM($K$10:K51),5)</f>
        <v>2.5579999999999999E-2</v>
      </c>
      <c r="O51" s="340">
        <v>91.8</v>
      </c>
      <c r="Q51" s="335">
        <f t="shared" si="23"/>
        <v>34512</v>
      </c>
      <c r="R51" s="335">
        <v>34513</v>
      </c>
      <c r="S51" s="317">
        <f t="shared" si="11"/>
        <v>1</v>
      </c>
      <c r="U51" s="336">
        <v>3.0609999999999998E-2</v>
      </c>
      <c r="V51" s="339">
        <f>ROUND(((V50*SUM($S$10:S50))+(U51*S51))/SUM($S$10:S51),5)</f>
        <v>2.6009999999999998E-2</v>
      </c>
      <c r="W51" s="340">
        <v>84.2</v>
      </c>
      <c r="Y51" s="335">
        <f t="shared" si="24"/>
        <v>35972</v>
      </c>
      <c r="Z51" s="345">
        <v>35978</v>
      </c>
      <c r="AA51" s="317">
        <f t="shared" si="12"/>
        <v>6</v>
      </c>
      <c r="AC51" s="346">
        <v>3.6209999999999999E-2</v>
      </c>
      <c r="AD51" s="339">
        <f>ROUND(((AD50*SUM($AA$10:AA50))+(AC51*AA51))/SUM($AA$10:AA51),5)</f>
        <v>3.6549999999999999E-2</v>
      </c>
      <c r="AE51" s="316">
        <v>138.9</v>
      </c>
      <c r="AG51" s="335">
        <f t="shared" si="25"/>
        <v>36565</v>
      </c>
      <c r="AH51" s="345">
        <v>36566</v>
      </c>
      <c r="AI51" s="317">
        <f t="shared" si="13"/>
        <v>1</v>
      </c>
      <c r="AK51" s="347">
        <v>3.7922999999999998E-2</v>
      </c>
      <c r="AL51" s="339">
        <f>ROUND(((AL50*SUM($AI$10:AI50))+(AK51*AI51))/SUM($AI$10:AI51),5)</f>
        <v>3.5040000000000002E-2</v>
      </c>
      <c r="AM51" s="348">
        <v>139.30000000000001</v>
      </c>
      <c r="AO51" s="335">
        <f t="shared" si="26"/>
        <v>36447</v>
      </c>
      <c r="AP51" s="345">
        <v>36476</v>
      </c>
      <c r="AQ51" s="317">
        <f t="shared" si="31"/>
        <v>29</v>
      </c>
      <c r="AS51" s="347">
        <v>3.6704000000000001E-2</v>
      </c>
      <c r="AT51" s="339">
        <f>ROUND(((AT50*SUM($AQ$10:AQ50))+(AS51*AQ51))/SUM($AQ$10:AQ51),5)</f>
        <v>3.4619999999999998E-2</v>
      </c>
      <c r="AU51" s="316">
        <v>135.1</v>
      </c>
      <c r="AW51" s="335">
        <f t="shared" si="27"/>
        <v>0</v>
      </c>
      <c r="BB51" s="339">
        <f>ROUND(((BB50*SUM($AY$10:AY50))+(BA51*AY51))/SUM($AY$10:AY51),5)</f>
        <v>-1.49E-3</v>
      </c>
      <c r="BC51" s="348"/>
      <c r="BE51" s="335">
        <f t="shared" si="16"/>
        <v>34114</v>
      </c>
      <c r="BF51" s="335">
        <v>34121</v>
      </c>
      <c r="BG51" s="317">
        <f t="shared" si="0"/>
        <v>7</v>
      </c>
      <c r="BH51" s="336">
        <v>2.98E-2</v>
      </c>
      <c r="BI51" s="337">
        <f t="shared" si="29"/>
        <v>17145.21</v>
      </c>
      <c r="BJ51" s="341">
        <f>SUM(BI47:BI51)</f>
        <v>67471.239999999991</v>
      </c>
      <c r="BK51" s="341">
        <v>58239.76</v>
      </c>
      <c r="BL51" s="341">
        <f>BJ51-BK51</f>
        <v>9231.4799999999886</v>
      </c>
      <c r="BM51" s="341">
        <f>BM46+BL51</f>
        <v>2856.91</v>
      </c>
      <c r="BO51" s="335">
        <f t="shared" si="17"/>
        <v>36069</v>
      </c>
      <c r="BP51" s="345">
        <v>36076</v>
      </c>
      <c r="BQ51" s="317">
        <f t="shared" si="2"/>
        <v>7</v>
      </c>
      <c r="BR51" s="346">
        <v>3.56E-2</v>
      </c>
      <c r="BS51" s="337">
        <f t="shared" si="3"/>
        <v>11606.58</v>
      </c>
      <c r="BW51" s="335">
        <f t="shared" si="18"/>
        <v>36293</v>
      </c>
      <c r="BX51" s="345">
        <v>36300</v>
      </c>
      <c r="BY51" s="317">
        <f t="shared" si="4"/>
        <v>7</v>
      </c>
      <c r="BZ51" s="347">
        <v>3.5400000000000001E-2</v>
      </c>
      <c r="CA51" s="337">
        <f t="shared" si="5"/>
        <v>33945.21</v>
      </c>
      <c r="CD51" s="335">
        <f t="shared" si="19"/>
        <v>36300</v>
      </c>
      <c r="CE51" s="345">
        <v>36307</v>
      </c>
      <c r="CF51" s="317">
        <f t="shared" si="6"/>
        <v>7</v>
      </c>
      <c r="CG51" s="347">
        <v>3.3500000000000002E-2</v>
      </c>
      <c r="CH51" s="337">
        <f t="shared" si="7"/>
        <v>32123.29</v>
      </c>
      <c r="CI51" s="341" t="s">
        <v>35</v>
      </c>
      <c r="CL51" s="335">
        <f t="shared" si="20"/>
        <v>36993</v>
      </c>
      <c r="CM51" s="345">
        <v>37000</v>
      </c>
      <c r="CN51" s="317">
        <f t="shared" si="8"/>
        <v>7</v>
      </c>
      <c r="CO51" s="346">
        <v>3.8800000000000001E-2</v>
      </c>
      <c r="CP51" s="346"/>
      <c r="CQ51" s="346"/>
      <c r="CR51" s="346"/>
      <c r="CS51" s="346"/>
      <c r="CT51" s="346"/>
      <c r="CU51" s="346"/>
      <c r="CV51" s="337">
        <f t="shared" si="30"/>
        <v>62010.37</v>
      </c>
    </row>
    <row r="52" spans="1:101" hidden="1" x14ac:dyDescent="0.25">
      <c r="A52" s="335">
        <f t="shared" si="21"/>
        <v>34129</v>
      </c>
      <c r="B52" s="335">
        <v>34130</v>
      </c>
      <c r="C52" s="317">
        <f t="shared" si="9"/>
        <v>1</v>
      </c>
      <c r="D52" s="317"/>
      <c r="E52" s="336">
        <v>2.283E-2</v>
      </c>
      <c r="F52" s="339">
        <f>ROUND(((F51*SUM($C$10:C51))+(E52*C52))/SUM($C$10:C52),5)</f>
        <v>2.5229999999999999E-2</v>
      </c>
      <c r="G52" s="317">
        <v>82.6</v>
      </c>
      <c r="I52" s="335">
        <f t="shared" si="22"/>
        <v>34143</v>
      </c>
      <c r="J52" s="335">
        <v>34150</v>
      </c>
      <c r="K52" s="317">
        <f t="shared" si="10"/>
        <v>7</v>
      </c>
      <c r="L52" s="317"/>
      <c r="M52" s="336">
        <v>2.341E-2</v>
      </c>
      <c r="N52" s="339">
        <f>ROUND(((N51*SUM($K$10:K51))+(M52*K52))/SUM($K$10:K52),5)</f>
        <v>2.5530000000000001E-2</v>
      </c>
      <c r="O52" s="340">
        <v>92.4</v>
      </c>
      <c r="Q52" s="335">
        <f t="shared" si="23"/>
        <v>34513</v>
      </c>
      <c r="R52" s="335">
        <v>34515</v>
      </c>
      <c r="S52" s="317">
        <f t="shared" si="11"/>
        <v>2</v>
      </c>
      <c r="U52" s="336">
        <v>3.0609999999999998E-2</v>
      </c>
      <c r="V52" s="339">
        <f>ROUND(((V51*SUM($S$10:S51))+(U52*S52))/SUM($S$10:S52),5)</f>
        <v>2.6040000000000001E-2</v>
      </c>
      <c r="W52" s="340">
        <v>84.5</v>
      </c>
      <c r="Y52" s="335">
        <f t="shared" si="24"/>
        <v>35978</v>
      </c>
      <c r="Z52" s="345">
        <v>35989</v>
      </c>
      <c r="AA52" s="317">
        <f t="shared" si="12"/>
        <v>11</v>
      </c>
      <c r="AC52" s="346">
        <v>3.6170000000000001E-2</v>
      </c>
      <c r="AD52" s="339">
        <f>ROUND(((AD51*SUM($AA$10:AA51))+(AC52*AA52))/SUM($AA$10:AA52),5)</f>
        <v>3.6540000000000003E-2</v>
      </c>
      <c r="AE52" s="348">
        <v>138</v>
      </c>
      <c r="AG52" s="335">
        <f t="shared" si="25"/>
        <v>36566</v>
      </c>
      <c r="AH52" s="345">
        <v>36567</v>
      </c>
      <c r="AI52" s="317">
        <f t="shared" si="13"/>
        <v>1</v>
      </c>
      <c r="AK52" s="347">
        <v>3.7922999999999998E-2</v>
      </c>
      <c r="AL52" s="339">
        <f>ROUND(((AL51*SUM($AI$10:AI51))+(AK52*AI52))/SUM($AI$10:AI52),5)</f>
        <v>3.5040000000000002E-2</v>
      </c>
      <c r="AM52" s="348">
        <v>139.30000000000001</v>
      </c>
      <c r="AO52" s="335">
        <f t="shared" si="26"/>
        <v>36476</v>
      </c>
      <c r="AP52" s="345">
        <v>36544</v>
      </c>
      <c r="AQ52" s="317">
        <f t="shared" si="31"/>
        <v>68</v>
      </c>
      <c r="AS52" s="347">
        <v>3.6929999999999998E-2</v>
      </c>
      <c r="AT52" s="339">
        <f>ROUND(((AT51*SUM($AQ$10:AQ51))+(AS52*AQ52))/SUM($AQ$10:AQ52),5)</f>
        <v>3.4819999999999997E-2</v>
      </c>
      <c r="AU52" s="316">
        <v>139.4</v>
      </c>
      <c r="AW52" s="335">
        <f t="shared" si="27"/>
        <v>0</v>
      </c>
      <c r="BB52" s="339">
        <f>ROUND(((BB51*SUM($AY$10:AY51))+(BA52*AY52))/SUM($AY$10:AY52),5)</f>
        <v>-1.49E-3</v>
      </c>
      <c r="BC52" s="348"/>
      <c r="BE52" s="335">
        <f t="shared" si="16"/>
        <v>34121</v>
      </c>
      <c r="BF52" s="335">
        <v>34128</v>
      </c>
      <c r="BG52" s="317">
        <f t="shared" si="0"/>
        <v>7</v>
      </c>
      <c r="BH52" s="336">
        <v>2.6000000000000002E-2</v>
      </c>
      <c r="BI52" s="337">
        <f t="shared" si="29"/>
        <v>14958.9</v>
      </c>
      <c r="BJ52" s="338"/>
      <c r="BK52" s="341"/>
      <c r="BL52" s="338"/>
      <c r="BM52" s="338"/>
      <c r="BO52" s="335">
        <f t="shared" si="17"/>
        <v>36076</v>
      </c>
      <c r="BP52" s="345">
        <v>36083</v>
      </c>
      <c r="BQ52" s="317">
        <f t="shared" si="2"/>
        <v>7</v>
      </c>
      <c r="BR52" s="346">
        <v>3.2099999999999997E-2</v>
      </c>
      <c r="BS52" s="337">
        <f t="shared" si="3"/>
        <v>10465.48</v>
      </c>
      <c r="BW52" s="335">
        <f t="shared" si="18"/>
        <v>36300</v>
      </c>
      <c r="BX52" s="345">
        <v>36307</v>
      </c>
      <c r="BY52" s="317">
        <f t="shared" si="4"/>
        <v>7</v>
      </c>
      <c r="BZ52" s="347">
        <v>3.3500000000000002E-2</v>
      </c>
      <c r="CA52" s="337">
        <f t="shared" si="5"/>
        <v>32123.29</v>
      </c>
      <c r="CD52" s="335">
        <f t="shared" si="19"/>
        <v>36307</v>
      </c>
      <c r="CE52" s="345">
        <v>36312</v>
      </c>
      <c r="CF52" s="317">
        <f t="shared" si="6"/>
        <v>5</v>
      </c>
      <c r="CG52" s="347">
        <v>3.27E-2</v>
      </c>
      <c r="CH52" s="337">
        <f t="shared" si="7"/>
        <v>22397.26</v>
      </c>
      <c r="CI52" s="341">
        <f>SUM(CH48:CH52)</f>
        <v>150589.05000000002</v>
      </c>
      <c r="CL52" s="335">
        <f t="shared" si="20"/>
        <v>37000</v>
      </c>
      <c r="CM52" s="345">
        <v>37007</v>
      </c>
      <c r="CN52" s="317">
        <f t="shared" si="8"/>
        <v>7</v>
      </c>
      <c r="CO52" s="346">
        <v>4.4499999999999998E-2</v>
      </c>
      <c r="CP52" s="346"/>
      <c r="CQ52" s="346"/>
      <c r="CR52" s="346"/>
      <c r="CS52" s="346"/>
      <c r="CT52" s="346"/>
      <c r="CU52" s="346"/>
      <c r="CV52" s="337">
        <f t="shared" si="30"/>
        <v>71120.14</v>
      </c>
    </row>
    <row r="53" spans="1:101" hidden="1" x14ac:dyDescent="0.25">
      <c r="A53" s="335">
        <f t="shared" si="21"/>
        <v>34130</v>
      </c>
      <c r="B53" s="335">
        <v>34142</v>
      </c>
      <c r="C53" s="317">
        <f t="shared" si="9"/>
        <v>12</v>
      </c>
      <c r="D53" s="317"/>
      <c r="E53" s="336">
        <v>2.281E-2</v>
      </c>
      <c r="F53" s="339">
        <f>ROUND(((F52*SUM($C$10:C52))+(E53*C53))/SUM($C$10:C53),5)</f>
        <v>2.513E-2</v>
      </c>
      <c r="G53" s="317">
        <v>80.7</v>
      </c>
      <c r="I53" s="335">
        <f t="shared" si="22"/>
        <v>34150</v>
      </c>
      <c r="J53" s="335">
        <v>34152</v>
      </c>
      <c r="K53" s="317">
        <f t="shared" si="10"/>
        <v>2</v>
      </c>
      <c r="L53" s="317"/>
      <c r="M53" s="336">
        <v>2.342E-2</v>
      </c>
      <c r="N53" s="339">
        <f>ROUND(((N52*SUM($K$10:K52))+(M53*K53))/SUM($K$10:K53),5)</f>
        <v>2.5520000000000001E-2</v>
      </c>
      <c r="O53" s="340">
        <v>80.599999999999994</v>
      </c>
      <c r="Q53" s="335">
        <f t="shared" si="23"/>
        <v>34515</v>
      </c>
      <c r="R53" s="335">
        <v>34521</v>
      </c>
      <c r="S53" s="317">
        <f t="shared" si="11"/>
        <v>6</v>
      </c>
      <c r="U53" s="336">
        <v>3.065E-2</v>
      </c>
      <c r="V53" s="339">
        <f>ROUND(((V52*SUM($S$10:S52))+(U53*S53))/SUM($S$10:S53),5)</f>
        <v>2.613E-2</v>
      </c>
      <c r="W53" s="316">
        <v>81.599999999999994</v>
      </c>
      <c r="Y53" s="335">
        <f t="shared" si="24"/>
        <v>35989</v>
      </c>
      <c r="Z53" s="345">
        <v>36047</v>
      </c>
      <c r="AA53" s="317">
        <f t="shared" si="12"/>
        <v>58</v>
      </c>
      <c r="AC53" s="346">
        <v>3.6170000000000001E-2</v>
      </c>
      <c r="AD53" s="339">
        <f>ROUND(((AD52*SUM($AA$10:AA52))+(AC53*AA53))/SUM($AA$10:AA53),5)</f>
        <v>3.6510000000000001E-2</v>
      </c>
      <c r="AE53" s="316">
        <v>138.6</v>
      </c>
      <c r="AG53" s="335">
        <f t="shared" si="25"/>
        <v>36567</v>
      </c>
      <c r="AH53" s="345">
        <v>36570</v>
      </c>
      <c r="AI53" s="317">
        <f t="shared" si="13"/>
        <v>3</v>
      </c>
      <c r="AK53" s="347">
        <v>3.7923999999999999E-2</v>
      </c>
      <c r="AL53" s="339">
        <f>ROUND(((AL52*SUM($AI$10:AI52))+(AK53*AI53))/SUM($AI$10:AI53),5)</f>
        <v>3.5049999999999998E-2</v>
      </c>
      <c r="AM53" s="348">
        <v>139.4</v>
      </c>
      <c r="AO53" s="335">
        <f t="shared" si="26"/>
        <v>36544</v>
      </c>
      <c r="AP53" s="345">
        <v>36546</v>
      </c>
      <c r="AQ53" s="317">
        <f t="shared" si="31"/>
        <v>2</v>
      </c>
      <c r="AS53" s="347">
        <v>3.6721999999999998E-2</v>
      </c>
      <c r="AT53" s="339">
        <f>ROUND(((AT52*SUM($AQ$10:AQ52))+(AS53*AQ53))/SUM($AQ$10:AQ53),5)</f>
        <v>3.4819999999999997E-2</v>
      </c>
      <c r="AU53" s="316">
        <v>133.69999999999999</v>
      </c>
      <c r="AW53" s="335">
        <f t="shared" si="27"/>
        <v>0</v>
      </c>
      <c r="BB53" s="339">
        <f>ROUND(((BB52*SUM($AY$10:AY52))+(BA53*AY53))/SUM($AY$10:AY53),5)</f>
        <v>-1.49E-3</v>
      </c>
      <c r="BC53" s="348"/>
      <c r="BE53" s="335">
        <f t="shared" si="16"/>
        <v>34128</v>
      </c>
      <c r="BF53" s="335">
        <v>34135</v>
      </c>
      <c r="BG53" s="317">
        <f t="shared" si="0"/>
        <v>7</v>
      </c>
      <c r="BH53" s="336">
        <v>2.2600000000000002E-2</v>
      </c>
      <c r="BI53" s="337">
        <f t="shared" si="29"/>
        <v>13002.74</v>
      </c>
      <c r="BJ53" s="338"/>
      <c r="BK53" s="341"/>
      <c r="BL53" s="338"/>
      <c r="BM53" s="338"/>
      <c r="BO53" s="335">
        <f t="shared" si="17"/>
        <v>36083</v>
      </c>
      <c r="BP53" s="345">
        <v>36090</v>
      </c>
      <c r="BQ53" s="317">
        <f t="shared" si="2"/>
        <v>7</v>
      </c>
      <c r="BR53" s="346">
        <v>3.32E-2</v>
      </c>
      <c r="BS53" s="337">
        <f t="shared" si="3"/>
        <v>10824.11</v>
      </c>
      <c r="BW53" s="335">
        <f t="shared" si="18"/>
        <v>36307</v>
      </c>
      <c r="BX53" s="345">
        <v>36312</v>
      </c>
      <c r="BY53" s="317">
        <f t="shared" si="4"/>
        <v>5</v>
      </c>
      <c r="BZ53" s="347">
        <v>3.27E-2</v>
      </c>
      <c r="CA53" s="337">
        <f t="shared" si="5"/>
        <v>22397.26</v>
      </c>
      <c r="CB53" s="341">
        <f>SUM(CA49:CA53)</f>
        <v>150589.05000000002</v>
      </c>
      <c r="CD53" s="335">
        <f t="shared" si="19"/>
        <v>36312</v>
      </c>
      <c r="CE53" s="345">
        <v>36314</v>
      </c>
      <c r="CF53" s="317">
        <f t="shared" si="6"/>
        <v>2</v>
      </c>
      <c r="CG53" s="347">
        <v>3.27E-2</v>
      </c>
      <c r="CH53" s="337">
        <f t="shared" si="7"/>
        <v>8958.9</v>
      </c>
      <c r="CL53" s="335">
        <f t="shared" si="20"/>
        <v>37007</v>
      </c>
      <c r="CM53" s="345">
        <v>37012</v>
      </c>
      <c r="CN53" s="317">
        <f t="shared" si="8"/>
        <v>5</v>
      </c>
      <c r="CO53" s="346">
        <v>4.19E-2</v>
      </c>
      <c r="CP53" s="346"/>
      <c r="CQ53" s="346"/>
      <c r="CR53" s="346"/>
      <c r="CS53" s="346"/>
      <c r="CT53" s="346"/>
      <c r="CU53" s="346"/>
      <c r="CV53" s="337">
        <f t="shared" si="30"/>
        <v>47832.01</v>
      </c>
      <c r="CW53" s="341">
        <f>SUM(CV49:CV53)</f>
        <v>263452.75</v>
      </c>
    </row>
    <row r="54" spans="1:101" hidden="1" x14ac:dyDescent="0.25">
      <c r="A54" s="335">
        <f t="shared" si="21"/>
        <v>34142</v>
      </c>
      <c r="B54" s="335">
        <v>34148</v>
      </c>
      <c r="C54" s="317">
        <f t="shared" si="9"/>
        <v>6</v>
      </c>
      <c r="D54" s="317"/>
      <c r="E54" s="336">
        <v>2.2839999999999999E-2</v>
      </c>
      <c r="F54" s="339">
        <f>ROUND(((F53*SUM($C$10:C53))+(E54*C54))/SUM($C$10:C54),5)</f>
        <v>2.5080000000000002E-2</v>
      </c>
      <c r="G54" s="317">
        <v>79.099999999999994</v>
      </c>
      <c r="I54" s="335">
        <f t="shared" si="22"/>
        <v>34152</v>
      </c>
      <c r="J54" s="335">
        <v>34157</v>
      </c>
      <c r="K54" s="317">
        <f t="shared" si="10"/>
        <v>5</v>
      </c>
      <c r="L54" s="317"/>
      <c r="M54" s="336">
        <v>2.3089999999999999E-2</v>
      </c>
      <c r="N54" s="339">
        <f>ROUND(((N53*SUM($K$10:K53))+(M54*K54))/SUM($K$10:K54),5)</f>
        <v>2.5479999999999999E-2</v>
      </c>
      <c r="O54" s="340">
        <v>102.9</v>
      </c>
      <c r="Q54" s="335">
        <f t="shared" si="23"/>
        <v>34521</v>
      </c>
      <c r="R54" s="335">
        <v>34522</v>
      </c>
      <c r="S54" s="317">
        <f t="shared" si="11"/>
        <v>1</v>
      </c>
      <c r="U54" s="336">
        <v>3.0620000000000001E-2</v>
      </c>
      <c r="V54" s="339">
        <f>ROUND(((V53*SUM($S$10:S53))+(U54*S54))/SUM($S$10:S54),5)</f>
        <v>2.614E-2</v>
      </c>
      <c r="W54" s="316">
        <v>80.900000000000006</v>
      </c>
      <c r="Y54" s="335">
        <f t="shared" si="24"/>
        <v>36047</v>
      </c>
      <c r="Z54" s="345">
        <v>36049</v>
      </c>
      <c r="AA54" s="317">
        <f t="shared" si="12"/>
        <v>2</v>
      </c>
      <c r="AC54" s="346">
        <v>3.5680000000000003E-2</v>
      </c>
      <c r="AD54" s="339">
        <f>ROUND(((AD53*SUM($AA$10:AA53))+(AC54*AA54))/SUM($AA$10:AA54),5)</f>
        <v>3.6510000000000001E-2</v>
      </c>
      <c r="AE54" s="316">
        <v>136.9</v>
      </c>
      <c r="AG54" s="335">
        <f t="shared" si="25"/>
        <v>36570</v>
      </c>
      <c r="AH54" s="345">
        <v>36571</v>
      </c>
      <c r="AI54" s="317">
        <f t="shared" si="13"/>
        <v>1</v>
      </c>
      <c r="AK54" s="347">
        <v>3.7923999999999999E-2</v>
      </c>
      <c r="AL54" s="339">
        <f>ROUND(((AL53*SUM($AI$10:AI53))+(AK54*AI54))/SUM($AI$10:AI54),5)</f>
        <v>3.5049999999999998E-2</v>
      </c>
      <c r="AM54" s="348">
        <v>139.30000000000001</v>
      </c>
      <c r="AO54" s="335">
        <f t="shared" si="26"/>
        <v>36546</v>
      </c>
      <c r="AP54" s="345">
        <v>36551</v>
      </c>
      <c r="AQ54" s="317">
        <f t="shared" si="31"/>
        <v>5</v>
      </c>
      <c r="AS54" s="347">
        <v>3.6766E-2</v>
      </c>
      <c r="AT54" s="339">
        <f>ROUND(((AT53*SUM($AQ$10:AQ53))+(AS54*AQ54))/SUM($AQ$10:AQ54),5)</f>
        <v>3.483E-2</v>
      </c>
      <c r="AU54" s="316">
        <v>126.1</v>
      </c>
      <c r="AW54" s="335">
        <f t="shared" si="27"/>
        <v>0</v>
      </c>
      <c r="BB54" s="339">
        <f>ROUND(((BB53*SUM($AY$10:AY53))+(BA54*AY54))/SUM($AY$10:AY54),5)</f>
        <v>-1.49E-3</v>
      </c>
      <c r="BC54" s="348"/>
      <c r="BE54" s="335">
        <f t="shared" si="16"/>
        <v>34135</v>
      </c>
      <c r="BF54" s="335">
        <v>34142</v>
      </c>
      <c r="BG54" s="317">
        <f t="shared" si="0"/>
        <v>7</v>
      </c>
      <c r="BH54" s="336">
        <v>1.9100000000000002E-2</v>
      </c>
      <c r="BI54" s="337">
        <f t="shared" si="29"/>
        <v>10989.04</v>
      </c>
      <c r="BJ54" s="338"/>
      <c r="BK54" s="341"/>
      <c r="BL54" s="338"/>
      <c r="BM54" s="338"/>
      <c r="BO54" s="335">
        <f t="shared" si="17"/>
        <v>36090</v>
      </c>
      <c r="BP54" s="345">
        <v>36097</v>
      </c>
      <c r="BQ54" s="317">
        <f t="shared" si="2"/>
        <v>7</v>
      </c>
      <c r="BR54" s="346">
        <v>3.1E-2</v>
      </c>
      <c r="BS54" s="337">
        <f t="shared" si="3"/>
        <v>10106.85</v>
      </c>
      <c r="BW54" s="335">
        <f t="shared" si="18"/>
        <v>36312</v>
      </c>
      <c r="BX54" s="345">
        <v>36314</v>
      </c>
      <c r="BY54" s="317">
        <f t="shared" si="4"/>
        <v>2</v>
      </c>
      <c r="BZ54" s="347">
        <v>3.27E-2</v>
      </c>
      <c r="CA54" s="337">
        <f t="shared" si="5"/>
        <v>8958.9</v>
      </c>
      <c r="CD54" s="335">
        <f t="shared" si="19"/>
        <v>36314</v>
      </c>
      <c r="CE54" s="345">
        <v>36321</v>
      </c>
      <c r="CF54" s="317">
        <f t="shared" si="6"/>
        <v>7</v>
      </c>
      <c r="CG54" s="347">
        <v>2.9600000000000001E-2</v>
      </c>
      <c r="CH54" s="337">
        <f t="shared" si="7"/>
        <v>28383.56</v>
      </c>
      <c r="CL54" s="335">
        <f t="shared" si="20"/>
        <v>37012</v>
      </c>
      <c r="CM54" s="345">
        <v>37014</v>
      </c>
      <c r="CN54" s="317">
        <f t="shared" si="8"/>
        <v>2</v>
      </c>
      <c r="CO54" s="346">
        <v>4.19E-2</v>
      </c>
      <c r="CP54" s="346"/>
      <c r="CQ54" s="346"/>
      <c r="CR54" s="346"/>
      <c r="CS54" s="346"/>
      <c r="CT54" s="346"/>
      <c r="CU54" s="346"/>
      <c r="CV54" s="337">
        <f t="shared" si="30"/>
        <v>19132.8</v>
      </c>
    </row>
    <row r="55" spans="1:101" hidden="1" x14ac:dyDescent="0.25">
      <c r="A55" s="335">
        <f t="shared" si="21"/>
        <v>34148</v>
      </c>
      <c r="B55" s="335">
        <v>34152</v>
      </c>
      <c r="C55" s="317">
        <f t="shared" si="9"/>
        <v>4</v>
      </c>
      <c r="D55" s="317"/>
      <c r="E55" s="336">
        <v>2.2839999999999999E-2</v>
      </c>
      <c r="F55" s="339">
        <f>ROUND(((F54*SUM($C$10:C54))+(E55*C55))/SUM($C$10:C55),5)</f>
        <v>2.5049999999999999E-2</v>
      </c>
      <c r="G55" s="317">
        <v>79.3</v>
      </c>
      <c r="I55" s="335">
        <f t="shared" si="22"/>
        <v>34157</v>
      </c>
      <c r="J55" s="335">
        <v>34158</v>
      </c>
      <c r="K55" s="317">
        <f t="shared" si="10"/>
        <v>1</v>
      </c>
      <c r="L55" s="317"/>
      <c r="M55" s="336">
        <v>2.3040000000000001E-2</v>
      </c>
      <c r="N55" s="339">
        <f>ROUND(((N54*SUM($K$10:K54))+(M55*K55))/SUM($K$10:K55),5)</f>
        <v>2.547E-2</v>
      </c>
      <c r="O55" s="340">
        <v>93.3</v>
      </c>
      <c r="Q55" s="335">
        <f t="shared" si="23"/>
        <v>34522</v>
      </c>
      <c r="R55" s="335">
        <v>34523</v>
      </c>
      <c r="S55" s="317">
        <f t="shared" si="11"/>
        <v>1</v>
      </c>
      <c r="U55" s="336">
        <v>3.0600000000000002E-2</v>
      </c>
      <c r="V55" s="339">
        <f>ROUND(((V54*SUM($S$10:S54))+(U55*S55))/SUM($S$10:S55),5)</f>
        <v>2.615E-2</v>
      </c>
      <c r="W55" s="316">
        <v>80.900000000000006</v>
      </c>
      <c r="Y55" s="335">
        <f t="shared" si="24"/>
        <v>36049</v>
      </c>
      <c r="Z55" s="345">
        <v>36055</v>
      </c>
      <c r="AA55" s="317">
        <f t="shared" si="12"/>
        <v>6</v>
      </c>
      <c r="AC55" s="346">
        <v>3.424E-2</v>
      </c>
      <c r="AD55" s="339">
        <f>ROUND(((AD54*SUM($AA$10:AA54))+(AC55*AA55))/SUM($AA$10:AA55),5)</f>
        <v>3.6490000000000002E-2</v>
      </c>
      <c r="AE55" s="316">
        <v>118.1</v>
      </c>
      <c r="AG55" s="335">
        <f t="shared" si="25"/>
        <v>36571</v>
      </c>
      <c r="AH55" s="345">
        <v>36622</v>
      </c>
      <c r="AI55" s="317">
        <f t="shared" si="13"/>
        <v>51</v>
      </c>
      <c r="AK55" s="347">
        <v>3.7952E-2</v>
      </c>
      <c r="AL55" s="339">
        <f>ROUND(((AL54*SUM($AI$10:AI54))+(AK55*AI55))/SUM($AI$10:AI55),5)</f>
        <v>3.517E-2</v>
      </c>
      <c r="AM55" s="348">
        <v>141.30000000000001</v>
      </c>
      <c r="AO55" s="335">
        <f t="shared" si="26"/>
        <v>36551</v>
      </c>
      <c r="AP55" s="345">
        <v>36553</v>
      </c>
      <c r="AQ55" s="317">
        <f t="shared" si="31"/>
        <v>2</v>
      </c>
      <c r="AS55" s="347">
        <v>3.6829000000000001E-2</v>
      </c>
      <c r="AT55" s="339">
        <f>ROUND(((AT54*SUM($AQ$10:AQ54))+(AS55*AQ55))/SUM($AQ$10:AQ55),5)</f>
        <v>3.483E-2</v>
      </c>
      <c r="AU55" s="348">
        <v>99.87</v>
      </c>
      <c r="AW55" s="335">
        <f t="shared" si="27"/>
        <v>0</v>
      </c>
      <c r="BB55" s="339">
        <f>ROUND(((BB54*SUM($AY$10:AY54))+(BA55*AY55))/SUM($AY$10:AY55),5)</f>
        <v>-1.49E-3</v>
      </c>
      <c r="BC55" s="348"/>
      <c r="BE55" s="335">
        <f t="shared" si="16"/>
        <v>34142</v>
      </c>
      <c r="BF55" s="335">
        <v>34149</v>
      </c>
      <c r="BG55" s="317">
        <f t="shared" si="0"/>
        <v>7</v>
      </c>
      <c r="BH55" s="336">
        <v>2.1400000000000002E-2</v>
      </c>
      <c r="BI55" s="337">
        <f t="shared" si="29"/>
        <v>12312.33</v>
      </c>
      <c r="BJ55" s="338"/>
      <c r="BK55" s="341"/>
      <c r="BL55" s="338"/>
      <c r="BM55" s="338"/>
      <c r="BO55" s="335">
        <f t="shared" si="17"/>
        <v>36097</v>
      </c>
      <c r="BP55" s="345">
        <v>36100</v>
      </c>
      <c r="BQ55" s="317">
        <f t="shared" si="2"/>
        <v>3</v>
      </c>
      <c r="BR55" s="346">
        <v>3.1099999999999999E-2</v>
      </c>
      <c r="BS55" s="337">
        <f>ROUND($BS$5*BR55*BQ55/365,2)</f>
        <v>4345.4799999999996</v>
      </c>
      <c r="BT55" s="341">
        <f>SUM(BS51:BS55)</f>
        <v>47348.5</v>
      </c>
      <c r="BW55" s="335">
        <f t="shared" si="18"/>
        <v>36314</v>
      </c>
      <c r="BX55" s="345">
        <v>36321</v>
      </c>
      <c r="BY55" s="317">
        <f t="shared" si="4"/>
        <v>7</v>
      </c>
      <c r="BZ55" s="347">
        <v>2.9600000000000001E-2</v>
      </c>
      <c r="CA55" s="337">
        <f t="shared" si="5"/>
        <v>28383.56</v>
      </c>
      <c r="CB55" s="341" t="s">
        <v>35</v>
      </c>
      <c r="CD55" s="335">
        <f t="shared" si="19"/>
        <v>36321</v>
      </c>
      <c r="CE55" s="345">
        <v>36328</v>
      </c>
      <c r="CF55" s="317">
        <f t="shared" si="6"/>
        <v>7</v>
      </c>
      <c r="CG55" s="347">
        <v>3.1699999999999999E-2</v>
      </c>
      <c r="CH55" s="337">
        <f t="shared" si="7"/>
        <v>30397.26</v>
      </c>
      <c r="CI55" s="341" t="s">
        <v>35</v>
      </c>
      <c r="CL55" s="335">
        <f t="shared" si="20"/>
        <v>37014</v>
      </c>
      <c r="CM55" s="345">
        <v>37021</v>
      </c>
      <c r="CN55" s="317">
        <f t="shared" si="8"/>
        <v>7</v>
      </c>
      <c r="CO55" s="346">
        <v>3.9699999999999999E-2</v>
      </c>
      <c r="CP55" s="346"/>
      <c r="CQ55" s="346"/>
      <c r="CR55" s="346"/>
      <c r="CS55" s="346"/>
      <c r="CT55" s="346"/>
      <c r="CU55" s="346"/>
      <c r="CV55" s="337">
        <f t="shared" si="30"/>
        <v>63448.76</v>
      </c>
    </row>
    <row r="56" spans="1:101" hidden="1" x14ac:dyDescent="0.25">
      <c r="A56" s="335">
        <f t="shared" si="21"/>
        <v>34152</v>
      </c>
      <c r="B56" s="335">
        <v>34163</v>
      </c>
      <c r="C56" s="317">
        <f t="shared" si="9"/>
        <v>11</v>
      </c>
      <c r="D56" s="317"/>
      <c r="E56" s="336">
        <v>2.2749999999999999E-2</v>
      </c>
      <c r="F56" s="339">
        <f>ROUND(((F55*SUM($C$10:C55))+(E56*C56))/SUM($C$10:C56),5)</f>
        <v>2.4969999999999999E-2</v>
      </c>
      <c r="G56" s="317">
        <v>80.099999999999994</v>
      </c>
      <c r="I56" s="335">
        <f t="shared" si="22"/>
        <v>34158</v>
      </c>
      <c r="J56" s="335">
        <v>34163</v>
      </c>
      <c r="K56" s="317">
        <f t="shared" si="10"/>
        <v>5</v>
      </c>
      <c r="L56" s="317"/>
      <c r="M56" s="336">
        <v>2.3009999999999999E-2</v>
      </c>
      <c r="N56" s="339">
        <f>ROUND(((N55*SUM($K$10:K55))+(M56*K56))/SUM($K$10:K56),5)</f>
        <v>2.5430000000000001E-2</v>
      </c>
      <c r="O56" s="340">
        <v>100.3</v>
      </c>
      <c r="Q56" s="335">
        <f t="shared" si="23"/>
        <v>34523</v>
      </c>
      <c r="R56" s="335">
        <v>34526</v>
      </c>
      <c r="S56" s="317">
        <f t="shared" si="11"/>
        <v>3</v>
      </c>
      <c r="U56" s="336">
        <v>3.049E-2</v>
      </c>
      <c r="V56" s="339">
        <f>ROUND(((V55*SUM($S$10:S55))+(U56*S56))/SUM($S$10:S56),5)</f>
        <v>2.6190000000000001E-2</v>
      </c>
      <c r="W56" s="316">
        <v>83.6</v>
      </c>
      <c r="Y56" s="335">
        <f t="shared" si="24"/>
        <v>36055</v>
      </c>
      <c r="Z56" s="345">
        <v>36082</v>
      </c>
      <c r="AA56" s="317">
        <f t="shared" si="12"/>
        <v>27</v>
      </c>
      <c r="AC56" s="346">
        <v>3.3989999999999999E-2</v>
      </c>
      <c r="AD56" s="339">
        <f>ROUND(((AD55*SUM($AA$10:AA55))+(AC56*AA56))/SUM($AA$10:AA56),5)</f>
        <v>3.6400000000000002E-2</v>
      </c>
      <c r="AE56" s="316">
        <v>127.5</v>
      </c>
      <c r="AG56" s="335">
        <f t="shared" si="25"/>
        <v>36622</v>
      </c>
      <c r="AH56" s="345">
        <v>36626</v>
      </c>
      <c r="AI56" s="317">
        <f t="shared" si="13"/>
        <v>4</v>
      </c>
      <c r="AK56" s="347">
        <v>4.1743000000000002E-2</v>
      </c>
      <c r="AL56" s="339">
        <f>ROUND(((AL55*SUM($AI$10:AI55))+(AK56*AI56))/SUM($AI$10:AI56),5)</f>
        <v>3.5189999999999999E-2</v>
      </c>
      <c r="AM56" s="348">
        <v>147.6</v>
      </c>
      <c r="AO56" s="335">
        <f t="shared" si="26"/>
        <v>36553</v>
      </c>
      <c r="AP56" s="345">
        <v>36572</v>
      </c>
      <c r="AQ56" s="317">
        <f t="shared" si="31"/>
        <v>19</v>
      </c>
      <c r="AS56" s="347">
        <v>3.6669E-2</v>
      </c>
      <c r="AT56" s="339">
        <f>ROUND(((AT55*SUM($AQ$10:AQ55))+(AS56*AQ56))/SUM($AQ$10:AQ56),5)</f>
        <v>3.4869999999999998E-2</v>
      </c>
      <c r="AU56" s="348">
        <v>78.87</v>
      </c>
      <c r="AW56" s="335">
        <f t="shared" si="27"/>
        <v>0</v>
      </c>
      <c r="BB56" s="339">
        <f>ROUND(((BB55*SUM($AY$10:AY55))+(BA56*AY56))/SUM($AY$10:AY56),5)</f>
        <v>-1.49E-3</v>
      </c>
      <c r="BC56" s="348"/>
      <c r="BE56" s="335">
        <f t="shared" si="16"/>
        <v>34149</v>
      </c>
      <c r="BF56" s="335">
        <v>34151</v>
      </c>
      <c r="BG56" s="317">
        <f t="shared" si="0"/>
        <v>2</v>
      </c>
      <c r="BH56" s="336">
        <v>2.1899999999999999E-2</v>
      </c>
      <c r="BI56" s="337">
        <f t="shared" si="29"/>
        <v>3600</v>
      </c>
      <c r="BJ56" s="341">
        <f>SUM(BI52:BI56)</f>
        <v>54863.01</v>
      </c>
      <c r="BK56" s="341">
        <v>56856.55</v>
      </c>
      <c r="BL56" s="341">
        <f>BJ56-BK56</f>
        <v>-1993.5400000000009</v>
      </c>
      <c r="BM56" s="341">
        <f>BM51+BL56</f>
        <v>863.36999999999898</v>
      </c>
      <c r="BO56" s="335">
        <f t="shared" si="17"/>
        <v>36100</v>
      </c>
      <c r="BP56" s="345">
        <v>36104</v>
      </c>
      <c r="BQ56" s="317">
        <f t="shared" si="2"/>
        <v>4</v>
      </c>
      <c r="BR56" s="346">
        <v>3.1099999999999999E-2</v>
      </c>
      <c r="BS56" s="337">
        <f t="shared" ref="BS56:BS119" si="32">ROUND($BS$5*BR56*BQ56/365,2)</f>
        <v>5793.97</v>
      </c>
      <c r="BW56" s="335">
        <f t="shared" si="18"/>
        <v>36321</v>
      </c>
      <c r="BX56" s="345">
        <v>36328</v>
      </c>
      <c r="BY56" s="317">
        <f t="shared" si="4"/>
        <v>7</v>
      </c>
      <c r="BZ56" s="347">
        <v>3.1699999999999999E-2</v>
      </c>
      <c r="CA56" s="337">
        <f t="shared" si="5"/>
        <v>30397.26</v>
      </c>
      <c r="CD56" s="335">
        <f t="shared" si="19"/>
        <v>36328</v>
      </c>
      <c r="CE56" s="345">
        <v>36335</v>
      </c>
      <c r="CF56" s="317">
        <f t="shared" si="6"/>
        <v>7</v>
      </c>
      <c r="CG56" s="347">
        <v>3.3700000000000001E-2</v>
      </c>
      <c r="CH56" s="337">
        <f t="shared" si="7"/>
        <v>32315.07</v>
      </c>
      <c r="CL56" s="335">
        <f t="shared" si="20"/>
        <v>37021</v>
      </c>
      <c r="CM56" s="345">
        <v>37028</v>
      </c>
      <c r="CN56" s="317">
        <f t="shared" si="8"/>
        <v>7</v>
      </c>
      <c r="CO56" s="346">
        <v>3.3399999999999999E-2</v>
      </c>
      <c r="CP56" s="346"/>
      <c r="CQ56" s="346"/>
      <c r="CR56" s="346"/>
      <c r="CS56" s="346"/>
      <c r="CT56" s="346"/>
      <c r="CU56" s="346"/>
      <c r="CV56" s="337">
        <f t="shared" si="30"/>
        <v>53380.06</v>
      </c>
    </row>
    <row r="57" spans="1:101" hidden="1" x14ac:dyDescent="0.25">
      <c r="A57" s="335">
        <f t="shared" si="21"/>
        <v>34163</v>
      </c>
      <c r="B57" s="335">
        <v>34164</v>
      </c>
      <c r="C57" s="317">
        <f t="shared" si="9"/>
        <v>1</v>
      </c>
      <c r="D57" s="317"/>
      <c r="E57" s="336">
        <v>2.2749999999999999E-2</v>
      </c>
      <c r="F57" s="339">
        <f>ROUND(((F56*SUM($C$10:C56))+(E57*C57))/SUM($C$10:C57),5)</f>
        <v>2.496E-2</v>
      </c>
      <c r="G57" s="317">
        <v>80.400000000000006</v>
      </c>
      <c r="I57" s="335">
        <f t="shared" si="22"/>
        <v>34163</v>
      </c>
      <c r="J57" s="335">
        <v>34164</v>
      </c>
      <c r="K57" s="317">
        <f t="shared" si="10"/>
        <v>1</v>
      </c>
      <c r="L57" s="317"/>
      <c r="M57" s="336">
        <v>2.3E-2</v>
      </c>
      <c r="N57" s="339">
        <f>ROUND(((N56*SUM($K$10:K56))+(M57*K57))/SUM($K$10:K57),5)</f>
        <v>2.5420000000000002E-2</v>
      </c>
      <c r="O57" s="340">
        <v>99.7</v>
      </c>
      <c r="Q57" s="335">
        <f t="shared" si="23"/>
        <v>34526</v>
      </c>
      <c r="R57" s="335">
        <v>34529</v>
      </c>
      <c r="S57" s="317">
        <f t="shared" si="11"/>
        <v>3</v>
      </c>
      <c r="U57" s="336">
        <v>3.0470000000000001E-2</v>
      </c>
      <c r="V57" s="339">
        <f>ROUND(((V56*SUM($S$10:S56))+(U57*S57))/SUM($S$10:S57),5)</f>
        <v>2.623E-2</v>
      </c>
      <c r="W57" s="316">
        <v>83.9</v>
      </c>
      <c r="Y57" s="335">
        <f t="shared" si="24"/>
        <v>36082</v>
      </c>
      <c r="Z57" s="345">
        <v>36115</v>
      </c>
      <c r="AA57" s="317">
        <f t="shared" si="12"/>
        <v>33</v>
      </c>
      <c r="AC57" s="346">
        <v>3.3489999999999999E-2</v>
      </c>
      <c r="AD57" s="339">
        <f>ROUND(((AD56*SUM($AA$10:AA56))+(AC57*AA57))/SUM($AA$10:AA57),5)</f>
        <v>3.628E-2</v>
      </c>
      <c r="AE57" s="316">
        <v>129.80000000000001</v>
      </c>
      <c r="AG57" s="335">
        <f t="shared" si="25"/>
        <v>36626</v>
      </c>
      <c r="AH57" s="345">
        <v>36650</v>
      </c>
      <c r="AI57" s="317">
        <f t="shared" si="13"/>
        <v>24</v>
      </c>
      <c r="AK57" s="347">
        <v>4.1773999999999999E-2</v>
      </c>
      <c r="AL57" s="339">
        <f>ROUND(((AL56*SUM($AI$10:AI56))+(AK57*AI57))/SUM($AI$10:AI57),5)</f>
        <v>3.5310000000000001E-2</v>
      </c>
      <c r="AM57" s="348">
        <v>147</v>
      </c>
      <c r="AO57" s="335">
        <f t="shared" si="26"/>
        <v>36572</v>
      </c>
      <c r="AP57" s="345">
        <v>36578</v>
      </c>
      <c r="AQ57" s="317">
        <f t="shared" si="31"/>
        <v>6</v>
      </c>
      <c r="AS57" s="347">
        <v>3.7081000000000003E-2</v>
      </c>
      <c r="AT57" s="339">
        <f>ROUND(((AT56*SUM($AQ$10:AQ56))+(AS57*AQ57))/SUM($AQ$10:AQ57),5)</f>
        <v>3.4889999999999997E-2</v>
      </c>
      <c r="AU57" s="348">
        <v>83.16</v>
      </c>
      <c r="AW57" s="335">
        <f t="shared" si="27"/>
        <v>0</v>
      </c>
      <c r="BB57" s="339">
        <f>ROUND(((BB56*SUM($AY$10:AY56))+(BA57*AY57))/SUM($AY$10:AY57),5)</f>
        <v>-1.49E-3</v>
      </c>
      <c r="BC57" s="348"/>
      <c r="BE57" s="335">
        <f t="shared" si="16"/>
        <v>34151</v>
      </c>
      <c r="BF57" s="335">
        <v>34156</v>
      </c>
      <c r="BG57" s="317">
        <f t="shared" si="0"/>
        <v>5</v>
      </c>
      <c r="BH57" s="336">
        <v>2.1899999999999999E-2</v>
      </c>
      <c r="BI57" s="337">
        <f t="shared" si="29"/>
        <v>9000</v>
      </c>
      <c r="BJ57" s="338"/>
      <c r="BK57" s="341"/>
      <c r="BL57" s="338"/>
      <c r="BM57" s="338"/>
      <c r="BO57" s="335">
        <f t="shared" si="17"/>
        <v>36104</v>
      </c>
      <c r="BP57" s="345">
        <v>36111</v>
      </c>
      <c r="BQ57" s="317">
        <f t="shared" si="2"/>
        <v>7</v>
      </c>
      <c r="BR57" s="346">
        <v>2.9899999999999999E-2</v>
      </c>
      <c r="BS57" s="337">
        <f t="shared" si="32"/>
        <v>9748.2199999999993</v>
      </c>
      <c r="BW57" s="335">
        <f t="shared" si="18"/>
        <v>36328</v>
      </c>
      <c r="BX57" s="345">
        <v>36335</v>
      </c>
      <c r="BY57" s="317">
        <f t="shared" si="4"/>
        <v>7</v>
      </c>
      <c r="BZ57" s="347">
        <v>3.3700000000000001E-2</v>
      </c>
      <c r="CA57" s="337">
        <f t="shared" si="5"/>
        <v>32315.07</v>
      </c>
      <c r="CD57" s="335">
        <f t="shared" si="19"/>
        <v>36335</v>
      </c>
      <c r="CE57" s="345">
        <v>36342</v>
      </c>
      <c r="CF57" s="317">
        <f t="shared" si="6"/>
        <v>7</v>
      </c>
      <c r="CG57" s="347">
        <v>3.6200000000000003E-2</v>
      </c>
      <c r="CH57" s="337">
        <f t="shared" si="7"/>
        <v>34712.33</v>
      </c>
      <c r="CI57" s="341">
        <f>SUM(CH53:CH57)</f>
        <v>134767.12</v>
      </c>
      <c r="CL57" s="335">
        <f t="shared" si="20"/>
        <v>37028</v>
      </c>
      <c r="CM57" s="345">
        <v>37035</v>
      </c>
      <c r="CN57" s="317">
        <f t="shared" si="8"/>
        <v>7</v>
      </c>
      <c r="CO57" s="346">
        <v>2.9000000000000001E-2</v>
      </c>
      <c r="CP57" s="346"/>
      <c r="CQ57" s="346"/>
      <c r="CR57" s="346"/>
      <c r="CS57" s="346"/>
      <c r="CT57" s="346"/>
      <c r="CU57" s="346"/>
      <c r="CV57" s="337">
        <f t="shared" si="30"/>
        <v>46347.96</v>
      </c>
    </row>
    <row r="58" spans="1:101" hidden="1" x14ac:dyDescent="0.25">
      <c r="A58" s="335">
        <f t="shared" si="21"/>
        <v>34164</v>
      </c>
      <c r="B58" s="335">
        <v>34170</v>
      </c>
      <c r="C58" s="317">
        <f t="shared" si="9"/>
        <v>6</v>
      </c>
      <c r="D58" s="317"/>
      <c r="E58" s="336">
        <v>2.2780000000000002E-2</v>
      </c>
      <c r="F58" s="339">
        <f>ROUND(((F57*SUM($C$10:C57))+(E58*C58))/SUM($C$10:C58),5)</f>
        <v>2.4920000000000001E-2</v>
      </c>
      <c r="G58" s="317">
        <v>78.599999999999994</v>
      </c>
      <c r="I58" s="335">
        <f t="shared" si="22"/>
        <v>34164</v>
      </c>
      <c r="J58" s="335">
        <v>34166</v>
      </c>
      <c r="K58" s="317">
        <f t="shared" si="10"/>
        <v>2</v>
      </c>
      <c r="L58" s="317"/>
      <c r="M58" s="336">
        <v>2.3E-2</v>
      </c>
      <c r="N58" s="339">
        <f>ROUND(((N57*SUM($K$10:K57))+(M58*K58))/SUM($K$10:K58),5)</f>
        <v>2.5399999999999999E-2</v>
      </c>
      <c r="O58" s="340">
        <v>99.3</v>
      </c>
      <c r="Q58" s="335">
        <f t="shared" si="23"/>
        <v>34529</v>
      </c>
      <c r="R58" s="335">
        <v>34550</v>
      </c>
      <c r="S58" s="317">
        <f t="shared" si="11"/>
        <v>21</v>
      </c>
      <c r="U58" s="336">
        <v>3.0550000000000001E-2</v>
      </c>
      <c r="V58" s="339">
        <f>ROUND(((V57*SUM($S$10:S57))+(U58*S58))/SUM($S$10:S58),5)</f>
        <v>2.6499999999999999E-2</v>
      </c>
      <c r="W58" s="316">
        <v>89.9</v>
      </c>
      <c r="Y58" s="335">
        <f t="shared" si="24"/>
        <v>36115</v>
      </c>
      <c r="Z58" s="345">
        <v>36140</v>
      </c>
      <c r="AA58" s="317">
        <f t="shared" si="12"/>
        <v>25</v>
      </c>
      <c r="AC58" s="346">
        <v>3.32E-2</v>
      </c>
      <c r="AD58" s="339">
        <f>ROUND(((AD57*SUM($AA$10:AA57))+(AC58*AA58))/SUM($AA$10:AA58),5)</f>
        <v>3.6179999999999997E-2</v>
      </c>
      <c r="AE58" s="316">
        <v>134.69999999999999</v>
      </c>
      <c r="AG58" s="335">
        <f t="shared" si="25"/>
        <v>36650</v>
      </c>
      <c r="AH58" s="345">
        <v>36663</v>
      </c>
      <c r="AI58" s="317">
        <f t="shared" si="13"/>
        <v>13</v>
      </c>
      <c r="AK58" s="347">
        <v>4.8096E-2</v>
      </c>
      <c r="AL58" s="339">
        <f>ROUND(((AL57*SUM($AI$10:AI57))+(AK58*AI58))/SUM($AI$10:AI58),5)</f>
        <v>3.5439999999999999E-2</v>
      </c>
      <c r="AM58" s="348">
        <v>136.5</v>
      </c>
      <c r="AO58" s="335">
        <f t="shared" si="26"/>
        <v>36578</v>
      </c>
      <c r="AP58" s="345">
        <v>36579</v>
      </c>
      <c r="AQ58" s="317">
        <f t="shared" si="31"/>
        <v>1</v>
      </c>
      <c r="AS58" s="347">
        <v>3.6991999999999997E-2</v>
      </c>
      <c r="AT58" s="339">
        <f>ROUND(((AT57*SUM($AQ$10:AQ57))+(AS58*AQ58))/SUM($AQ$10:AQ58),5)</f>
        <v>3.4889999999999997E-2</v>
      </c>
      <c r="AU58" s="348">
        <v>75.73</v>
      </c>
      <c r="BB58" s="339">
        <f>ROUND(((BB57*SUM($AY$10:AY57))+(BA58*AY58))/SUM($AY$10:AY58),5)</f>
        <v>-1.49E-3</v>
      </c>
      <c r="BC58" s="348"/>
      <c r="BE58" s="335">
        <f t="shared" si="16"/>
        <v>34156</v>
      </c>
      <c r="BF58" s="335">
        <v>34163</v>
      </c>
      <c r="BG58" s="317">
        <f t="shared" si="0"/>
        <v>7</v>
      </c>
      <c r="BH58" s="336">
        <v>1.6199999999999999E-2</v>
      </c>
      <c r="BI58" s="337">
        <f t="shared" si="29"/>
        <v>9320.5499999999993</v>
      </c>
      <c r="BJ58" s="338"/>
      <c r="BK58" s="341"/>
      <c r="BL58" s="338"/>
      <c r="BM58" s="338"/>
      <c r="BO58" s="335">
        <f t="shared" si="17"/>
        <v>36111</v>
      </c>
      <c r="BP58" s="345">
        <v>36118</v>
      </c>
      <c r="BQ58" s="317">
        <f t="shared" si="2"/>
        <v>7</v>
      </c>
      <c r="BR58" s="346">
        <v>3.2399999999999998E-2</v>
      </c>
      <c r="BS58" s="337">
        <f t="shared" si="32"/>
        <v>10563.29</v>
      </c>
      <c r="BW58" s="335">
        <f t="shared" si="18"/>
        <v>36335</v>
      </c>
      <c r="BX58" s="345">
        <v>36342</v>
      </c>
      <c r="BY58" s="317">
        <f t="shared" si="4"/>
        <v>7</v>
      </c>
      <c r="BZ58" s="347">
        <v>3.6200000000000003E-2</v>
      </c>
      <c r="CA58" s="337">
        <f t="shared" si="5"/>
        <v>34712.33</v>
      </c>
      <c r="CB58" s="341">
        <f>SUM(CA54:CA58)</f>
        <v>134767.12</v>
      </c>
      <c r="CD58" s="335">
        <f t="shared" si="19"/>
        <v>36342</v>
      </c>
      <c r="CE58" s="345">
        <v>36349</v>
      </c>
      <c r="CF58" s="317">
        <f t="shared" si="6"/>
        <v>7</v>
      </c>
      <c r="CG58" s="347">
        <v>3.4200000000000001E-2</v>
      </c>
      <c r="CH58" s="337">
        <f t="shared" si="7"/>
        <v>32794.519999999997</v>
      </c>
      <c r="CL58" s="335">
        <f t="shared" si="20"/>
        <v>37035</v>
      </c>
      <c r="CM58" s="345">
        <v>37042</v>
      </c>
      <c r="CN58" s="317">
        <f t="shared" si="8"/>
        <v>7</v>
      </c>
      <c r="CO58" s="346">
        <v>3.0300000000000001E-2</v>
      </c>
      <c r="CP58" s="346"/>
      <c r="CQ58" s="346"/>
      <c r="CR58" s="346"/>
      <c r="CS58" s="346"/>
      <c r="CT58" s="346"/>
      <c r="CU58" s="346"/>
      <c r="CV58" s="337">
        <f t="shared" si="30"/>
        <v>48425.63</v>
      </c>
    </row>
    <row r="59" spans="1:101" hidden="1" x14ac:dyDescent="0.25">
      <c r="A59" s="335">
        <f t="shared" si="21"/>
        <v>34170</v>
      </c>
      <c r="B59" s="335">
        <v>34179</v>
      </c>
      <c r="C59" s="317">
        <f t="shared" si="9"/>
        <v>9</v>
      </c>
      <c r="D59" s="317"/>
      <c r="E59" s="336">
        <v>2.3390000000000001E-2</v>
      </c>
      <c r="F59" s="339">
        <f>ROUND(((F58*SUM($C$10:C58))+(E59*C59))/SUM($C$10:C59),5)</f>
        <v>2.4879999999999999E-2</v>
      </c>
      <c r="G59" s="317">
        <v>78.400000000000006</v>
      </c>
      <c r="I59" s="335">
        <f t="shared" si="22"/>
        <v>34166</v>
      </c>
      <c r="J59" s="335">
        <v>34184</v>
      </c>
      <c r="K59" s="317">
        <f t="shared" si="10"/>
        <v>18</v>
      </c>
      <c r="L59" s="317"/>
      <c r="M59" s="336">
        <v>2.3050000000000001E-2</v>
      </c>
      <c r="N59" s="339">
        <f>ROUND(((N58*SUM($K$10:K58))+(M59*K59))/SUM($K$10:K59),5)</f>
        <v>2.5270000000000001E-2</v>
      </c>
      <c r="O59" s="340">
        <v>101.8</v>
      </c>
      <c r="Q59" s="335">
        <f t="shared" si="23"/>
        <v>34550</v>
      </c>
      <c r="R59" s="335">
        <v>34557</v>
      </c>
      <c r="S59" s="317">
        <f t="shared" si="11"/>
        <v>7</v>
      </c>
      <c r="U59" s="336">
        <v>3.0519999999999999E-2</v>
      </c>
      <c r="V59" s="339">
        <f>ROUND(((V58*SUM($S$10:S58))+(U59*S59))/SUM($S$10:S59),5)</f>
        <v>2.6579999999999999E-2</v>
      </c>
      <c r="W59" s="316">
        <v>90.2</v>
      </c>
      <c r="Y59" s="335">
        <f t="shared" si="24"/>
        <v>36140</v>
      </c>
      <c r="Z59" s="345">
        <v>36173</v>
      </c>
      <c r="AA59" s="317">
        <f t="shared" si="12"/>
        <v>33</v>
      </c>
      <c r="AC59" s="346">
        <v>3.2939999999999997E-2</v>
      </c>
      <c r="AD59" s="339">
        <f>ROUND(((AD58*SUM($AA$10:AA58))+(AC59*AA59))/SUM($AA$10:AA59),5)</f>
        <v>3.6049999999999999E-2</v>
      </c>
      <c r="AE59" s="316">
        <v>133.19999999999999</v>
      </c>
      <c r="AG59" s="335">
        <f t="shared" si="25"/>
        <v>36663</v>
      </c>
      <c r="AH59" s="345">
        <v>36700</v>
      </c>
      <c r="AI59" s="317">
        <f t="shared" si="13"/>
        <v>37</v>
      </c>
      <c r="AK59" s="347">
        <v>4.8149999999999998E-2</v>
      </c>
      <c r="AL59" s="339">
        <f>ROUND(((AL58*SUM($AI$10:AI58))+(AK59*AI59))/SUM($AI$10:AI59),5)</f>
        <v>3.5790000000000002E-2</v>
      </c>
      <c r="AM59" s="316">
        <v>136.5</v>
      </c>
      <c r="AO59" s="335">
        <f t="shared" si="26"/>
        <v>36579</v>
      </c>
      <c r="AP59" s="345">
        <v>36580</v>
      </c>
      <c r="AQ59" s="317">
        <f t="shared" si="31"/>
        <v>1</v>
      </c>
      <c r="AS59" s="347">
        <v>3.6991999999999997E-2</v>
      </c>
      <c r="AT59" s="339">
        <f>ROUND(((AT58*SUM($AQ$10:AQ58))+(AS59*AQ59))/SUM($AQ$10:AQ59),5)</f>
        <v>3.4889999999999997E-2</v>
      </c>
      <c r="AU59" s="348">
        <v>75.73</v>
      </c>
      <c r="BB59" s="339">
        <f>ROUND(((BB58*SUM($AY$10:AY58))+(BA59*AY59))/SUM($AY$10:AY59),5)</f>
        <v>-1.49E-3</v>
      </c>
      <c r="BC59" s="348"/>
      <c r="BE59" s="335">
        <f t="shared" si="16"/>
        <v>34163</v>
      </c>
      <c r="BF59" s="335">
        <v>34170</v>
      </c>
      <c r="BG59" s="317">
        <f t="shared" si="0"/>
        <v>7</v>
      </c>
      <c r="BH59" s="336">
        <v>2.01E-2</v>
      </c>
      <c r="BI59" s="337">
        <f t="shared" si="29"/>
        <v>11564.38</v>
      </c>
      <c r="BJ59" s="338"/>
      <c r="BK59" s="341"/>
      <c r="BL59" s="338"/>
      <c r="BM59" s="338"/>
      <c r="BO59" s="335">
        <f t="shared" si="17"/>
        <v>36118</v>
      </c>
      <c r="BP59" s="345">
        <v>36126</v>
      </c>
      <c r="BQ59" s="317">
        <f t="shared" si="2"/>
        <v>8</v>
      </c>
      <c r="BR59" s="346">
        <v>3.4299999999999997E-2</v>
      </c>
      <c r="BS59" s="337">
        <f t="shared" si="32"/>
        <v>12780.27</v>
      </c>
      <c r="BW59" s="335">
        <f t="shared" si="18"/>
        <v>36342</v>
      </c>
      <c r="BX59" s="345">
        <v>36349</v>
      </c>
      <c r="BY59" s="317">
        <f t="shared" si="4"/>
        <v>7</v>
      </c>
      <c r="BZ59" s="347">
        <v>3.4200000000000001E-2</v>
      </c>
      <c r="CA59" s="337">
        <f t="shared" si="5"/>
        <v>32794.519999999997</v>
      </c>
      <c r="CD59" s="335">
        <f t="shared" si="19"/>
        <v>36349</v>
      </c>
      <c r="CE59" s="345">
        <v>36356</v>
      </c>
      <c r="CF59" s="317">
        <f t="shared" si="6"/>
        <v>7</v>
      </c>
      <c r="CG59" s="347">
        <v>2.8199999999999999E-2</v>
      </c>
      <c r="CH59" s="337">
        <f t="shared" si="7"/>
        <v>27041.1</v>
      </c>
      <c r="CL59" s="335">
        <f t="shared" si="20"/>
        <v>37042</v>
      </c>
      <c r="CM59" s="345">
        <v>37043</v>
      </c>
      <c r="CN59" s="317">
        <f t="shared" si="8"/>
        <v>1</v>
      </c>
      <c r="CO59" s="346">
        <v>2.9499999999999998E-2</v>
      </c>
      <c r="CP59" s="346"/>
      <c r="CQ59" s="346"/>
      <c r="CR59" s="346"/>
      <c r="CS59" s="346"/>
      <c r="CT59" s="346"/>
      <c r="CU59" s="346"/>
      <c r="CV59" s="337">
        <f t="shared" si="30"/>
        <v>6735.29</v>
      </c>
      <c r="CW59" s="341">
        <f>SUM(CV54:CV59)</f>
        <v>237470.5</v>
      </c>
    </row>
    <row r="60" spans="1:101" hidden="1" x14ac:dyDescent="0.25">
      <c r="A60" s="335">
        <f t="shared" si="21"/>
        <v>34179</v>
      </c>
      <c r="B60" s="335">
        <v>34191</v>
      </c>
      <c r="C60" s="317">
        <f t="shared" si="9"/>
        <v>12</v>
      </c>
      <c r="D60" s="317"/>
      <c r="E60" s="336">
        <v>2.351E-2</v>
      </c>
      <c r="F60" s="339">
        <f>ROUND(((F59*SUM($C$10:C59))+(E60*C60))/SUM($C$10:C60),5)</f>
        <v>2.4830000000000001E-2</v>
      </c>
      <c r="G60" s="317">
        <v>79.900000000000006</v>
      </c>
      <c r="I60" s="335">
        <f t="shared" si="22"/>
        <v>34184</v>
      </c>
      <c r="J60" s="335">
        <v>34197</v>
      </c>
      <c r="K60" s="317">
        <f t="shared" si="10"/>
        <v>13</v>
      </c>
      <c r="L60" s="317"/>
      <c r="M60" s="336">
        <v>2.316E-2</v>
      </c>
      <c r="N60" s="339">
        <f>ROUND(((N59*SUM($K$10:K59))+(M60*K60))/SUM($K$10:K60),5)</f>
        <v>2.5190000000000001E-2</v>
      </c>
      <c r="O60" s="340">
        <v>107.8</v>
      </c>
      <c r="Q60" s="335">
        <f t="shared" si="23"/>
        <v>34557</v>
      </c>
      <c r="R60" s="335">
        <v>34563</v>
      </c>
      <c r="S60" s="317">
        <f t="shared" si="11"/>
        <v>6</v>
      </c>
      <c r="U60" s="336">
        <v>3.0790000000000001E-2</v>
      </c>
      <c r="V60" s="339">
        <f>ROUND(((V59*SUM($S$10:S59))+(U60*S60))/SUM($S$10:S60),5)</f>
        <v>2.665E-2</v>
      </c>
      <c r="W60" s="316">
        <v>91.8</v>
      </c>
      <c r="Y60" s="335">
        <f t="shared" si="24"/>
        <v>36173</v>
      </c>
      <c r="Z60" s="345">
        <v>36196</v>
      </c>
      <c r="AA60" s="317">
        <f t="shared" si="12"/>
        <v>23</v>
      </c>
      <c r="AC60" s="346">
        <v>3.1260000000000003E-2</v>
      </c>
      <c r="AD60" s="339">
        <f>ROUND(((AD59*SUM($AA$10:AA59))+(AC60*AA60))/SUM($AA$10:AA60),5)</f>
        <v>3.5920000000000001E-2</v>
      </c>
      <c r="AE60" s="316">
        <v>142.4</v>
      </c>
      <c r="AG60" s="335">
        <f t="shared" si="25"/>
        <v>36700</v>
      </c>
      <c r="AH60" s="345">
        <v>36735</v>
      </c>
      <c r="AI60" s="317">
        <f t="shared" si="13"/>
        <v>35</v>
      </c>
      <c r="AK60" s="347">
        <v>4.8155000000000003E-2</v>
      </c>
      <c r="AL60" s="339">
        <f>ROUND(((AL59*SUM($AI$10:AI59))+(AK60*AI60))/SUM($AI$10:AI60),5)</f>
        <v>3.61E-2</v>
      </c>
      <c r="AM60" s="316">
        <v>136.4</v>
      </c>
      <c r="AO60" s="335">
        <f t="shared" si="26"/>
        <v>36580</v>
      </c>
      <c r="AP60" s="345">
        <v>36581</v>
      </c>
      <c r="AQ60" s="317">
        <f t="shared" si="31"/>
        <v>1</v>
      </c>
      <c r="AS60" s="347">
        <v>3.6991999999999997E-2</v>
      </c>
      <c r="AT60" s="339">
        <f>ROUND(((AT59*SUM($AQ$10:AQ59))+(AS60*AQ60))/SUM($AQ$10:AQ60),5)</f>
        <v>3.4889999999999997E-2</v>
      </c>
      <c r="AU60" s="348">
        <v>75.73</v>
      </c>
      <c r="BB60" s="339">
        <f>ROUND(((BB59*SUM($AY$10:AY59))+(BA60*AY60))/SUM($AY$10:AY60),5)</f>
        <v>-1.49E-3</v>
      </c>
      <c r="BC60" s="348"/>
      <c r="BE60" s="335">
        <f t="shared" si="16"/>
        <v>34170</v>
      </c>
      <c r="BF60" s="335">
        <v>34177</v>
      </c>
      <c r="BG60" s="317">
        <f t="shared" si="0"/>
        <v>7</v>
      </c>
      <c r="BH60" s="336">
        <v>2.3800000000000002E-2</v>
      </c>
      <c r="BI60" s="337">
        <f t="shared" si="29"/>
        <v>13693.15</v>
      </c>
      <c r="BJ60" s="338"/>
      <c r="BK60" s="341"/>
      <c r="BL60" s="338"/>
      <c r="BM60" s="338"/>
      <c r="BO60" s="335">
        <f t="shared" si="17"/>
        <v>36126</v>
      </c>
      <c r="BP60" s="345">
        <v>36130</v>
      </c>
      <c r="BQ60" s="317">
        <f t="shared" si="2"/>
        <v>4</v>
      </c>
      <c r="BR60" s="346">
        <v>3.1300000000000001E-2</v>
      </c>
      <c r="BS60" s="337">
        <f t="shared" si="32"/>
        <v>5831.23</v>
      </c>
      <c r="BT60" s="341">
        <f>SUM(BS56:BS60)</f>
        <v>44716.979999999996</v>
      </c>
      <c r="BW60" s="335">
        <f t="shared" si="18"/>
        <v>36349</v>
      </c>
      <c r="BX60" s="345">
        <v>36356</v>
      </c>
      <c r="BY60" s="317">
        <f t="shared" si="4"/>
        <v>7</v>
      </c>
      <c r="BZ60" s="347">
        <v>2.8199999999999999E-2</v>
      </c>
      <c r="CA60" s="337">
        <f t="shared" si="5"/>
        <v>27041.1</v>
      </c>
      <c r="CD60" s="335">
        <f t="shared" si="19"/>
        <v>36356</v>
      </c>
      <c r="CE60" s="345">
        <v>36363</v>
      </c>
      <c r="CF60" s="317">
        <f t="shared" si="6"/>
        <v>7</v>
      </c>
      <c r="CG60" s="347">
        <v>2.9399999999999999E-2</v>
      </c>
      <c r="CH60" s="337">
        <f t="shared" si="7"/>
        <v>28191.78</v>
      </c>
      <c r="CL60" s="335">
        <f t="shared" si="20"/>
        <v>37043</v>
      </c>
      <c r="CM60" s="345">
        <v>37049</v>
      </c>
      <c r="CN60" s="317">
        <f t="shared" si="8"/>
        <v>6</v>
      </c>
      <c r="CO60" s="346">
        <v>2.9499999999999998E-2</v>
      </c>
      <c r="CP60" s="346"/>
      <c r="CQ60" s="346"/>
      <c r="CR60" s="346"/>
      <c r="CS60" s="346"/>
      <c r="CT60" s="346"/>
      <c r="CU60" s="346"/>
      <c r="CV60" s="337">
        <f t="shared" si="30"/>
        <v>40411.769999999997</v>
      </c>
    </row>
    <row r="61" spans="1:101" hidden="1" x14ac:dyDescent="0.25">
      <c r="A61" s="335">
        <f t="shared" si="21"/>
        <v>34191</v>
      </c>
      <c r="B61" s="335">
        <v>34192</v>
      </c>
      <c r="C61" s="317">
        <f t="shared" si="9"/>
        <v>1</v>
      </c>
      <c r="D61" s="317"/>
      <c r="E61" s="336">
        <v>2.3700000000000002E-2</v>
      </c>
      <c r="F61" s="339">
        <f>ROUND(((F60*SUM($C$10:C60))+(E61*C61))/SUM($C$10:C61),5)</f>
        <v>2.4830000000000001E-2</v>
      </c>
      <c r="G61" s="340">
        <v>83</v>
      </c>
      <c r="I61" s="335">
        <f t="shared" si="22"/>
        <v>34197</v>
      </c>
      <c r="J61" s="335">
        <v>34200</v>
      </c>
      <c r="K61" s="317">
        <f t="shared" si="10"/>
        <v>3</v>
      </c>
      <c r="L61" s="317"/>
      <c r="M61" s="336">
        <v>2.3230000000000001E-2</v>
      </c>
      <c r="N61" s="339">
        <f>ROUND(((N60*SUM($K$10:K60))+(M61*K61))/SUM($K$10:K61),5)</f>
        <v>2.5170000000000001E-2</v>
      </c>
      <c r="O61" s="340">
        <v>101.9</v>
      </c>
      <c r="Q61" s="335">
        <f t="shared" si="23"/>
        <v>34563</v>
      </c>
      <c r="R61" s="335">
        <v>34564</v>
      </c>
      <c r="S61" s="317">
        <f t="shared" si="11"/>
        <v>1</v>
      </c>
      <c r="U61" s="336">
        <v>3.0800000000000001E-2</v>
      </c>
      <c r="V61" s="339">
        <f>ROUND(((V60*SUM($S$10:S60))+(U61*S61))/SUM($S$10:S61),5)</f>
        <v>2.666E-2</v>
      </c>
      <c r="W61" s="316">
        <v>91.4</v>
      </c>
      <c r="Y61" s="335">
        <f t="shared" si="24"/>
        <v>36196</v>
      </c>
      <c r="Z61" s="345">
        <v>36209</v>
      </c>
      <c r="AA61" s="317">
        <f t="shared" si="12"/>
        <v>13</v>
      </c>
      <c r="AC61" s="346">
        <v>3.057E-2</v>
      </c>
      <c r="AD61" s="339">
        <f>ROUND(((AD60*SUM($AA$10:AA60))+(AC61*AA61))/SUM($AA$10:AA61),5)</f>
        <v>3.5839999999999997E-2</v>
      </c>
      <c r="AE61" s="316">
        <v>119.1</v>
      </c>
      <c r="AG61" s="335">
        <f t="shared" si="25"/>
        <v>36735</v>
      </c>
      <c r="AH61" s="345">
        <v>36770</v>
      </c>
      <c r="AI61" s="317">
        <f t="shared" si="13"/>
        <v>35</v>
      </c>
      <c r="AK61" s="347">
        <v>4.8121999999999998E-2</v>
      </c>
      <c r="AL61" s="339">
        <f>ROUND(((AL60*SUM($AI$10:AI60))+(AK61*AI61))/SUM($AI$10:AI61),5)</f>
        <v>3.6389999999999999E-2</v>
      </c>
      <c r="AM61" s="316">
        <v>136.4</v>
      </c>
      <c r="AO61" s="335">
        <f t="shared" si="26"/>
        <v>36581</v>
      </c>
      <c r="AP61" s="345">
        <v>36591</v>
      </c>
      <c r="AQ61" s="317">
        <f t="shared" si="31"/>
        <v>10</v>
      </c>
      <c r="AS61" s="347">
        <v>3.7097999999999999E-2</v>
      </c>
      <c r="AT61" s="339">
        <f>ROUND(((AT60*SUM($AQ$10:AQ60))+(AS61*AQ61))/SUM($AQ$10:AQ61),5)</f>
        <v>3.492E-2</v>
      </c>
      <c r="AU61" s="348">
        <v>78.47</v>
      </c>
      <c r="BB61" s="339">
        <f>ROUND(((BB60*SUM($AY$10:AY60))+(BA61*AY61))/SUM($AY$10:AY61),5)</f>
        <v>-1.49E-3</v>
      </c>
      <c r="BC61" s="348"/>
      <c r="BE61" s="335">
        <f t="shared" si="16"/>
        <v>34177</v>
      </c>
      <c r="BF61" s="335">
        <v>34182</v>
      </c>
      <c r="BG61" s="317">
        <f t="shared" si="0"/>
        <v>5</v>
      </c>
      <c r="BH61" s="336">
        <v>2.75E-2</v>
      </c>
      <c r="BI61" s="337">
        <f t="shared" si="29"/>
        <v>11301.37</v>
      </c>
      <c r="BJ61" s="341">
        <f>SUM(BI57:BI61)</f>
        <v>54879.450000000004</v>
      </c>
      <c r="BK61" s="341">
        <v>58608.97</v>
      </c>
      <c r="BL61" s="341">
        <f>BJ61-BK61</f>
        <v>-3729.5199999999968</v>
      </c>
      <c r="BM61" s="341">
        <f>BM56+BL61</f>
        <v>-2866.1499999999978</v>
      </c>
      <c r="BO61" s="335">
        <f t="shared" si="17"/>
        <v>36130</v>
      </c>
      <c r="BP61" s="345">
        <v>36132</v>
      </c>
      <c r="BQ61" s="317">
        <f t="shared" si="2"/>
        <v>2</v>
      </c>
      <c r="BR61" s="346">
        <v>3.1300000000000001E-2</v>
      </c>
      <c r="BS61" s="337">
        <f t="shared" si="32"/>
        <v>2915.62</v>
      </c>
      <c r="BW61" s="335">
        <f t="shared" si="18"/>
        <v>36356</v>
      </c>
      <c r="BX61" s="345">
        <v>36363</v>
      </c>
      <c r="BY61" s="317">
        <f t="shared" si="4"/>
        <v>7</v>
      </c>
      <c r="BZ61" s="347">
        <v>2.9399999999999999E-2</v>
      </c>
      <c r="CA61" s="337">
        <f t="shared" si="5"/>
        <v>28191.78</v>
      </c>
      <c r="CD61" s="335">
        <f t="shared" si="19"/>
        <v>36363</v>
      </c>
      <c r="CE61" s="345">
        <v>36370</v>
      </c>
      <c r="CF61" s="317">
        <f t="shared" si="6"/>
        <v>7</v>
      </c>
      <c r="CG61" s="347">
        <v>3.15E-2</v>
      </c>
      <c r="CH61" s="337">
        <f t="shared" si="7"/>
        <v>30205.48</v>
      </c>
      <c r="CL61" s="335">
        <f t="shared" si="20"/>
        <v>37049</v>
      </c>
      <c r="CM61" s="345">
        <v>37056</v>
      </c>
      <c r="CN61" s="317">
        <f t="shared" si="8"/>
        <v>7</v>
      </c>
      <c r="CO61" s="346">
        <v>2.1499999999999998E-2</v>
      </c>
      <c r="CP61" s="346"/>
      <c r="CQ61" s="346"/>
      <c r="CR61" s="346"/>
      <c r="CS61" s="346"/>
      <c r="CT61" s="346"/>
      <c r="CU61" s="346"/>
      <c r="CV61" s="337">
        <f t="shared" si="30"/>
        <v>34361.42</v>
      </c>
    </row>
    <row r="62" spans="1:101" hidden="1" x14ac:dyDescent="0.25">
      <c r="A62" s="335">
        <f t="shared" si="21"/>
        <v>34192</v>
      </c>
      <c r="B62" s="335">
        <v>34193</v>
      </c>
      <c r="C62" s="317">
        <f t="shared" si="9"/>
        <v>1</v>
      </c>
      <c r="D62" s="317"/>
      <c r="E62" s="336">
        <v>2.375E-2</v>
      </c>
      <c r="F62" s="339">
        <f>ROUND(((F61*SUM($C$10:C61))+(E62*C62))/SUM($C$10:C62),5)</f>
        <v>2.4830000000000001E-2</v>
      </c>
      <c r="G62" s="340">
        <v>83.2</v>
      </c>
      <c r="I62" s="335">
        <f t="shared" si="22"/>
        <v>34200</v>
      </c>
      <c r="J62" s="335">
        <v>34201</v>
      </c>
      <c r="K62" s="317">
        <f t="shared" si="10"/>
        <v>1</v>
      </c>
      <c r="L62" s="317"/>
      <c r="M62" s="336">
        <v>2.2919999999999999E-2</v>
      </c>
      <c r="N62" s="339">
        <f>ROUND(((N61*SUM($K$10:K61))+(M62*K62))/SUM($K$10:K62),5)</f>
        <v>2.5159999999999998E-2</v>
      </c>
      <c r="O62" s="340">
        <v>84.9</v>
      </c>
      <c r="Q62" s="335">
        <f t="shared" si="23"/>
        <v>34564</v>
      </c>
      <c r="R62" s="335">
        <v>34572</v>
      </c>
      <c r="S62" s="317">
        <f t="shared" si="11"/>
        <v>8</v>
      </c>
      <c r="U62" s="336">
        <v>3.125E-2</v>
      </c>
      <c r="V62" s="339">
        <f>ROUND(((V61*SUM($S$10:S61))+(U62*S62))/SUM($S$10:S62),5)</f>
        <v>2.6759999999999999E-2</v>
      </c>
      <c r="W62" s="351">
        <v>90</v>
      </c>
      <c r="Y62" s="335">
        <f t="shared" si="24"/>
        <v>36209</v>
      </c>
      <c r="Z62" s="345">
        <v>36210</v>
      </c>
      <c r="AA62" s="317">
        <f t="shared" si="12"/>
        <v>1</v>
      </c>
      <c r="AC62" s="346">
        <v>3.032E-2</v>
      </c>
      <c r="AD62" s="339">
        <f>ROUND(((AD61*SUM($AA$10:AA61))+(AC62*AA62))/SUM($AA$10:AA62),5)</f>
        <v>3.5830000000000001E-2</v>
      </c>
      <c r="AE62" s="316">
        <v>101.8</v>
      </c>
      <c r="AG62" s="335">
        <f t="shared" si="25"/>
        <v>36770</v>
      </c>
      <c r="AH62" s="345">
        <v>36775</v>
      </c>
      <c r="AI62" s="317">
        <f t="shared" si="13"/>
        <v>5</v>
      </c>
      <c r="AK62" s="347">
        <v>4.8131E-2</v>
      </c>
      <c r="AL62" s="339">
        <f>ROUND(((AL61*SUM($AI$10:AI61))+(AK62*AI62))/SUM($AI$10:AI62),5)</f>
        <v>3.6429999999999997E-2</v>
      </c>
      <c r="AM62" s="316">
        <v>136.4</v>
      </c>
      <c r="AO62" s="335">
        <f t="shared" si="26"/>
        <v>36591</v>
      </c>
      <c r="AP62" s="345">
        <v>36592</v>
      </c>
      <c r="AQ62" s="317">
        <f t="shared" si="31"/>
        <v>1</v>
      </c>
      <c r="AS62" s="347">
        <v>3.7402999999999999E-2</v>
      </c>
      <c r="AT62" s="339">
        <f>ROUND(((AT61*SUM($AQ$10:AQ61))+(AS62*AQ62))/SUM($AQ$10:AQ62),5)</f>
        <v>3.492E-2</v>
      </c>
      <c r="AU62" s="348">
        <v>52.19</v>
      </c>
      <c r="BB62" s="339">
        <f>ROUND(((BB61*SUM($AY$10:AY61))+(BA62*AY62))/SUM($AY$10:AY62),5)</f>
        <v>-1.49E-3</v>
      </c>
      <c r="BC62" s="348"/>
      <c r="BE62" s="335">
        <f t="shared" si="16"/>
        <v>34182</v>
      </c>
      <c r="BF62" s="335">
        <v>34184</v>
      </c>
      <c r="BG62" s="317">
        <f t="shared" si="0"/>
        <v>2</v>
      </c>
      <c r="BH62" s="336">
        <v>2.75E-2</v>
      </c>
      <c r="BI62" s="337">
        <f t="shared" si="29"/>
        <v>4520.55</v>
      </c>
      <c r="BJ62" s="338"/>
      <c r="BK62" s="341"/>
      <c r="BL62" s="338"/>
      <c r="BM62" s="338"/>
      <c r="BO62" s="335">
        <f t="shared" si="17"/>
        <v>36132</v>
      </c>
      <c r="BP62" s="345">
        <v>36139</v>
      </c>
      <c r="BQ62" s="317">
        <f t="shared" si="2"/>
        <v>7</v>
      </c>
      <c r="BR62" s="346">
        <v>2.8299999999999999E-2</v>
      </c>
      <c r="BS62" s="337">
        <f t="shared" si="32"/>
        <v>9226.58</v>
      </c>
      <c r="BW62" s="335">
        <f t="shared" si="18"/>
        <v>36363</v>
      </c>
      <c r="BX62" s="345">
        <v>36370</v>
      </c>
      <c r="BY62" s="317">
        <f t="shared" si="4"/>
        <v>7</v>
      </c>
      <c r="BZ62" s="347">
        <v>3.15E-2</v>
      </c>
      <c r="CA62" s="337">
        <f t="shared" si="5"/>
        <v>30205.48</v>
      </c>
      <c r="CD62" s="335">
        <f t="shared" si="19"/>
        <v>36370</v>
      </c>
      <c r="CE62" s="345">
        <v>36373</v>
      </c>
      <c r="CF62" s="317">
        <f t="shared" si="6"/>
        <v>3</v>
      </c>
      <c r="CG62" s="347">
        <v>3.1099999999999999E-2</v>
      </c>
      <c r="CH62" s="337">
        <f t="shared" si="7"/>
        <v>12780.82</v>
      </c>
      <c r="CI62" s="341">
        <f>SUM(CH58:CH62)</f>
        <v>131013.69999999998</v>
      </c>
      <c r="CL62" s="335">
        <f t="shared" si="20"/>
        <v>37056</v>
      </c>
      <c r="CM62" s="345">
        <v>37063</v>
      </c>
      <c r="CN62" s="317">
        <f t="shared" si="8"/>
        <v>7</v>
      </c>
      <c r="CO62" s="346">
        <v>3.0499999999999999E-2</v>
      </c>
      <c r="CP62" s="346"/>
      <c r="CQ62" s="346"/>
      <c r="CR62" s="346"/>
      <c r="CS62" s="346"/>
      <c r="CT62" s="346"/>
      <c r="CU62" s="346"/>
      <c r="CV62" s="337">
        <f t="shared" si="30"/>
        <v>48745.27</v>
      </c>
    </row>
    <row r="63" spans="1:101" hidden="1" x14ac:dyDescent="0.25">
      <c r="A63" s="335">
        <f t="shared" si="21"/>
        <v>34193</v>
      </c>
      <c r="B63" s="335">
        <v>34194</v>
      </c>
      <c r="C63" s="317">
        <f t="shared" si="9"/>
        <v>1</v>
      </c>
      <c r="D63" s="317"/>
      <c r="E63" s="336">
        <v>2.3789999999999999E-2</v>
      </c>
      <c r="F63" s="339">
        <f>ROUND(((F62*SUM($C$10:C62))+(E63*C63))/SUM($C$10:C63),5)</f>
        <v>2.4830000000000001E-2</v>
      </c>
      <c r="G63" s="340">
        <v>78.2</v>
      </c>
      <c r="I63" s="335">
        <f t="shared" si="22"/>
        <v>34201</v>
      </c>
      <c r="J63" s="335">
        <v>34206</v>
      </c>
      <c r="K63" s="317">
        <f t="shared" si="10"/>
        <v>5</v>
      </c>
      <c r="L63" s="317"/>
      <c r="M63" s="336">
        <v>2.2929999999999999E-2</v>
      </c>
      <c r="N63" s="339">
        <f>ROUND(((N62*SUM($K$10:K62))+(M63*K63))/SUM($K$10:K63),5)</f>
        <v>2.513E-2</v>
      </c>
      <c r="O63" s="340">
        <v>85.5</v>
      </c>
      <c r="Q63" s="335">
        <f t="shared" si="23"/>
        <v>34572</v>
      </c>
      <c r="R63" s="335">
        <v>34578</v>
      </c>
      <c r="S63" s="317">
        <f t="shared" si="11"/>
        <v>6</v>
      </c>
      <c r="U63" s="336">
        <v>3.1460000000000002E-2</v>
      </c>
      <c r="V63" s="339">
        <f>ROUND(((V62*SUM($S$10:S62))+(U63*S63))/SUM($S$10:S63),5)</f>
        <v>2.6839999999999999E-2</v>
      </c>
      <c r="W63" s="351">
        <v>83.7</v>
      </c>
      <c r="Y63" s="335">
        <f t="shared" si="24"/>
        <v>36210</v>
      </c>
      <c r="Z63" s="345">
        <v>36214</v>
      </c>
      <c r="AA63" s="317">
        <f t="shared" si="12"/>
        <v>4</v>
      </c>
      <c r="AC63" s="346">
        <v>3.007E-2</v>
      </c>
      <c r="AD63" s="339">
        <f>ROUND(((AD62*SUM($AA$10:AA62))+(AC63*AA63))/SUM($AA$10:AA63),5)</f>
        <v>3.5799999999999998E-2</v>
      </c>
      <c r="AE63" s="316">
        <v>113.9</v>
      </c>
      <c r="AG63" s="335">
        <f t="shared" si="25"/>
        <v>36775</v>
      </c>
      <c r="AH63" s="345">
        <v>36776</v>
      </c>
      <c r="AI63" s="317">
        <f t="shared" si="13"/>
        <v>1</v>
      </c>
      <c r="AK63" s="347">
        <v>4.5879000000000003E-2</v>
      </c>
      <c r="AL63" s="339">
        <f>ROUND(((AL62*SUM($AI$10:AI62))+(AK63*AI63))/SUM($AI$10:AI63),5)</f>
        <v>3.644E-2</v>
      </c>
      <c r="AM63" s="348">
        <v>141</v>
      </c>
      <c r="AO63" s="335">
        <f t="shared" si="26"/>
        <v>36592</v>
      </c>
      <c r="AP63" s="345">
        <v>36593</v>
      </c>
      <c r="AQ63" s="317">
        <f t="shared" si="31"/>
        <v>1</v>
      </c>
      <c r="AS63" s="347">
        <v>3.7402999999999999E-2</v>
      </c>
      <c r="AT63" s="339">
        <f>ROUND(((AT62*SUM($AQ$10:AQ62))+(AS63*AQ63))/SUM($AQ$10:AQ63),5)</f>
        <v>3.492E-2</v>
      </c>
      <c r="AU63" s="348">
        <v>52.19</v>
      </c>
      <c r="BB63" s="339">
        <f>ROUND(((BB62*SUM($AY$10:AY62))+(BA63*AY63))/SUM($AY$10:AY63),5)</f>
        <v>-1.49E-3</v>
      </c>
      <c r="BC63" s="348"/>
      <c r="BE63" s="335">
        <f t="shared" si="16"/>
        <v>34184</v>
      </c>
      <c r="BF63" s="335">
        <v>34191</v>
      </c>
      <c r="BG63" s="317">
        <f t="shared" si="0"/>
        <v>7</v>
      </c>
      <c r="BH63" s="336">
        <v>2.6600000000000002E-2</v>
      </c>
      <c r="BI63" s="337">
        <f t="shared" si="29"/>
        <v>15304.11</v>
      </c>
      <c r="BJ63" s="338"/>
      <c r="BK63" s="341"/>
      <c r="BL63" s="338"/>
      <c r="BM63" s="338"/>
      <c r="BO63" s="335">
        <f t="shared" si="17"/>
        <v>36139</v>
      </c>
      <c r="BP63" s="345">
        <v>36146</v>
      </c>
      <c r="BQ63" s="317">
        <f t="shared" si="2"/>
        <v>7</v>
      </c>
      <c r="BR63" s="346">
        <v>3.1399999999999997E-2</v>
      </c>
      <c r="BS63" s="337">
        <f t="shared" si="32"/>
        <v>10237.26</v>
      </c>
      <c r="BW63" s="335">
        <f t="shared" si="18"/>
        <v>36370</v>
      </c>
      <c r="BX63" s="345">
        <v>36373</v>
      </c>
      <c r="BY63" s="317">
        <f t="shared" si="4"/>
        <v>3</v>
      </c>
      <c r="BZ63" s="347">
        <v>3.1099999999999999E-2</v>
      </c>
      <c r="CA63" s="337">
        <f t="shared" si="5"/>
        <v>12780.82</v>
      </c>
      <c r="CB63" s="341">
        <f>SUM(CA59:CA63)</f>
        <v>131013.69999999998</v>
      </c>
      <c r="CD63" s="335">
        <f t="shared" si="19"/>
        <v>36373</v>
      </c>
      <c r="CE63" s="345">
        <v>36377</v>
      </c>
      <c r="CF63" s="317">
        <f t="shared" si="6"/>
        <v>4</v>
      </c>
      <c r="CG63" s="347">
        <v>3.1099999999999999E-2</v>
      </c>
      <c r="CH63" s="337">
        <f t="shared" si="7"/>
        <v>17041.099999999999</v>
      </c>
      <c r="CL63" s="335">
        <f t="shared" si="20"/>
        <v>37063</v>
      </c>
      <c r="CM63" s="345">
        <v>37070</v>
      </c>
      <c r="CN63" s="317">
        <f t="shared" si="8"/>
        <v>7</v>
      </c>
      <c r="CO63" s="346">
        <v>2.9700000000000001E-2</v>
      </c>
      <c r="CP63" s="346"/>
      <c r="CQ63" s="346"/>
      <c r="CR63" s="346"/>
      <c r="CS63" s="346"/>
      <c r="CT63" s="346"/>
      <c r="CU63" s="346"/>
      <c r="CV63" s="337">
        <f t="shared" si="30"/>
        <v>47466.7</v>
      </c>
    </row>
    <row r="64" spans="1:101" hidden="1" x14ac:dyDescent="0.25">
      <c r="A64" s="335">
        <f t="shared" si="21"/>
        <v>34194</v>
      </c>
      <c r="B64" s="335">
        <v>34200</v>
      </c>
      <c r="C64" s="317">
        <f t="shared" si="9"/>
        <v>6</v>
      </c>
      <c r="D64" s="317"/>
      <c r="E64" s="336">
        <v>2.3789999999999999E-2</v>
      </c>
      <c r="F64" s="339">
        <f>ROUND(((F63*SUM($C$10:C63))+(E64*C64))/SUM($C$10:C64),5)</f>
        <v>2.4809999999999999E-2</v>
      </c>
      <c r="G64" s="340">
        <v>78.400000000000006</v>
      </c>
      <c r="I64" s="335">
        <f t="shared" si="22"/>
        <v>34206</v>
      </c>
      <c r="J64" s="335">
        <v>34213</v>
      </c>
      <c r="K64" s="317">
        <f t="shared" si="10"/>
        <v>7</v>
      </c>
      <c r="L64" s="317"/>
      <c r="M64" s="336">
        <v>2.299E-2</v>
      </c>
      <c r="N64" s="339">
        <f>ROUND(((N63*SUM($K$10:K63))+(M64*K64))/SUM($K$10:K64),5)</f>
        <v>2.5090000000000001E-2</v>
      </c>
      <c r="O64" s="340">
        <v>88</v>
      </c>
      <c r="Q64" s="335">
        <f t="shared" si="23"/>
        <v>34578</v>
      </c>
      <c r="R64" s="335">
        <v>34591</v>
      </c>
      <c r="S64" s="317">
        <f t="shared" si="11"/>
        <v>13</v>
      </c>
      <c r="U64" s="336">
        <v>3.193E-2</v>
      </c>
      <c r="V64" s="339">
        <f>ROUND(((V63*SUM($S$10:S63))+(U64*S64))/SUM($S$10:S64),5)</f>
        <v>2.7009999999999999E-2</v>
      </c>
      <c r="W64" s="351">
        <v>85.7</v>
      </c>
      <c r="Y64" s="335">
        <f t="shared" si="24"/>
        <v>36214</v>
      </c>
      <c r="Z64" s="345">
        <v>36220</v>
      </c>
      <c r="AA64" s="317">
        <f t="shared" si="12"/>
        <v>6</v>
      </c>
      <c r="AC64" s="346">
        <v>3.014E-2</v>
      </c>
      <c r="AD64" s="339">
        <f>ROUND(((AD63*SUM($AA$10:AA63))+(AC64*AA64))/SUM($AA$10:AA64),5)</f>
        <v>3.576E-2</v>
      </c>
      <c r="AE64" s="348">
        <v>118</v>
      </c>
      <c r="AG64" s="335">
        <f t="shared" si="25"/>
        <v>36776</v>
      </c>
      <c r="AH64" s="345">
        <v>36805</v>
      </c>
      <c r="AI64" s="317">
        <f t="shared" si="13"/>
        <v>29</v>
      </c>
      <c r="AK64" s="347">
        <v>4.6989000000000003E-2</v>
      </c>
      <c r="AL64" s="339">
        <f>ROUND(((AL63*SUM($AI$10:AI63))+(AK64*AI64))/SUM($AI$10:AI64),5)</f>
        <v>3.6650000000000002E-2</v>
      </c>
      <c r="AM64" s="348">
        <v>116</v>
      </c>
      <c r="AO64" s="335">
        <f t="shared" si="26"/>
        <v>36593</v>
      </c>
      <c r="AP64" s="345">
        <v>36595</v>
      </c>
      <c r="AQ64" s="317">
        <f t="shared" si="31"/>
        <v>2</v>
      </c>
      <c r="AS64" s="347">
        <v>3.7804999999999998E-2</v>
      </c>
      <c r="AT64" s="339">
        <f>ROUND(((AT63*SUM($AQ$10:AQ63))+(AS64*AQ64))/SUM($AQ$10:AQ64),5)</f>
        <v>3.4930000000000003E-2</v>
      </c>
      <c r="AU64" s="348">
        <v>51.76</v>
      </c>
      <c r="BB64" s="339">
        <f>ROUND(((BB63*SUM($AY$10:AY63))+(BA64*AY64))/SUM($AY$10:AY64),5)</f>
        <v>-1.49E-3</v>
      </c>
      <c r="BC64" s="348"/>
      <c r="BE64" s="335">
        <f t="shared" si="16"/>
        <v>34191</v>
      </c>
      <c r="BF64" s="335">
        <v>34198</v>
      </c>
      <c r="BG64" s="317">
        <f t="shared" si="0"/>
        <v>7</v>
      </c>
      <c r="BH64" s="336">
        <v>2.5000000000000001E-2</v>
      </c>
      <c r="BI64" s="337">
        <f t="shared" si="29"/>
        <v>14383.56</v>
      </c>
      <c r="BJ64" s="338"/>
      <c r="BK64" s="341"/>
      <c r="BL64" s="338"/>
      <c r="BM64" s="338"/>
      <c r="BO64" s="335">
        <f t="shared" si="17"/>
        <v>36146</v>
      </c>
      <c r="BP64" s="345">
        <v>36153</v>
      </c>
      <c r="BQ64" s="317">
        <f t="shared" si="2"/>
        <v>7</v>
      </c>
      <c r="BR64" s="346">
        <v>3.4500000000000003E-2</v>
      </c>
      <c r="BS64" s="337">
        <f t="shared" si="32"/>
        <v>11247.95</v>
      </c>
      <c r="BW64" s="335">
        <f t="shared" si="18"/>
        <v>36373</v>
      </c>
      <c r="BX64" s="345">
        <v>36377</v>
      </c>
      <c r="BY64" s="317">
        <f t="shared" si="4"/>
        <v>4</v>
      </c>
      <c r="BZ64" s="347">
        <v>3.1099999999999999E-2</v>
      </c>
      <c r="CA64" s="337">
        <f t="shared" si="5"/>
        <v>17041.099999999999</v>
      </c>
      <c r="CD64" s="335">
        <f t="shared" si="19"/>
        <v>36377</v>
      </c>
      <c r="CE64" s="345">
        <v>36384</v>
      </c>
      <c r="CF64" s="317">
        <f t="shared" si="6"/>
        <v>7</v>
      </c>
      <c r="CG64" s="347">
        <v>2.9600000000000001E-2</v>
      </c>
      <c r="CH64" s="337">
        <f t="shared" si="7"/>
        <v>28383.56</v>
      </c>
      <c r="CL64" s="335">
        <f t="shared" si="20"/>
        <v>37070</v>
      </c>
      <c r="CM64" s="345">
        <v>37073</v>
      </c>
      <c r="CN64" s="317">
        <f t="shared" si="8"/>
        <v>3</v>
      </c>
      <c r="CO64" s="346">
        <v>2.6800000000000001E-2</v>
      </c>
      <c r="CP64" s="346"/>
      <c r="CQ64" s="346"/>
      <c r="CR64" s="346"/>
      <c r="CS64" s="346"/>
      <c r="CT64" s="346"/>
      <c r="CU64" s="346"/>
      <c r="CV64" s="337">
        <f t="shared" si="30"/>
        <v>18356.53</v>
      </c>
      <c r="CW64" s="341">
        <f>SUM(CV60:CV64)</f>
        <v>189341.68999999997</v>
      </c>
    </row>
    <row r="65" spans="1:101" hidden="1" x14ac:dyDescent="0.25">
      <c r="A65" s="335">
        <f t="shared" si="21"/>
        <v>34200</v>
      </c>
      <c r="B65" s="335">
        <v>34201</v>
      </c>
      <c r="C65" s="317">
        <f t="shared" si="9"/>
        <v>1</v>
      </c>
      <c r="D65" s="317"/>
      <c r="E65" s="336">
        <v>2.392E-2</v>
      </c>
      <c r="F65" s="339">
        <f>ROUND(((F64*SUM($C$10:C64))+(E65*C65))/SUM($C$10:C65),5)</f>
        <v>2.4809999999999999E-2</v>
      </c>
      <c r="G65" s="340">
        <v>74.8</v>
      </c>
      <c r="I65" s="335">
        <f t="shared" si="22"/>
        <v>34213</v>
      </c>
      <c r="J65" s="335">
        <v>34215</v>
      </c>
      <c r="K65" s="317">
        <f t="shared" si="10"/>
        <v>2</v>
      </c>
      <c r="L65" s="317"/>
      <c r="M65" s="336">
        <v>2.299E-2</v>
      </c>
      <c r="N65" s="339">
        <f>ROUND(((N64*SUM($K$10:K64))+(M65*K65))/SUM($K$10:K65),5)</f>
        <v>2.5080000000000002E-2</v>
      </c>
      <c r="O65" s="340">
        <v>87.8</v>
      </c>
      <c r="Q65" s="335">
        <f t="shared" si="23"/>
        <v>34591</v>
      </c>
      <c r="R65" s="335">
        <v>34621</v>
      </c>
      <c r="S65" s="317">
        <f t="shared" si="11"/>
        <v>30</v>
      </c>
      <c r="U65" s="336">
        <v>3.2039999999999999E-2</v>
      </c>
      <c r="V65" s="339">
        <f>ROUND(((V64*SUM($S$10:S64))+(U65*S65))/SUM($S$10:S65),5)</f>
        <v>2.7380000000000002E-2</v>
      </c>
      <c r="W65" s="351">
        <v>88.4</v>
      </c>
      <c r="Y65" s="335">
        <f t="shared" si="24"/>
        <v>36220</v>
      </c>
      <c r="Z65" s="345">
        <v>36230</v>
      </c>
      <c r="AA65" s="317">
        <f t="shared" si="12"/>
        <v>10</v>
      </c>
      <c r="AC65" s="346">
        <v>2.9329999999999998E-2</v>
      </c>
      <c r="AD65" s="339">
        <f>ROUND(((AD64*SUM($AA$10:AA64))+(AC65*AA65))/SUM($AA$10:AA65),5)</f>
        <v>3.569E-2</v>
      </c>
      <c r="AE65" s="348">
        <v>98.2</v>
      </c>
      <c r="AG65" s="335">
        <f t="shared" si="25"/>
        <v>36805</v>
      </c>
      <c r="AH65" s="345">
        <v>36881</v>
      </c>
      <c r="AI65" s="317">
        <f t="shared" si="13"/>
        <v>76</v>
      </c>
      <c r="AK65" s="347">
        <v>4.6924E-2</v>
      </c>
      <c r="AL65" s="339">
        <f>ROUND(((AL64*SUM($AI$10:AI64))+(AK65*AI65))/SUM($AI$10:AI65),5)</f>
        <v>3.7159999999999999E-2</v>
      </c>
      <c r="AM65" s="316">
        <v>119.3</v>
      </c>
      <c r="AO65" s="335">
        <f t="shared" si="26"/>
        <v>36595</v>
      </c>
      <c r="AP65" s="345">
        <v>36600</v>
      </c>
      <c r="AQ65" s="317">
        <f t="shared" si="31"/>
        <v>5</v>
      </c>
      <c r="AS65" s="347">
        <v>3.8698999999999997E-2</v>
      </c>
      <c r="AT65" s="339">
        <f>ROUND(((AT64*SUM($AQ$10:AQ64))+(AS65*AQ65))/SUM($AQ$10:AQ65),5)</f>
        <v>3.4950000000000002E-2</v>
      </c>
      <c r="AU65" s="348">
        <v>48.54</v>
      </c>
      <c r="BB65" s="339">
        <f>ROUND(((BB64*SUM($AY$10:AY64))+(BA65*AY65))/SUM($AY$10:AY65),5)</f>
        <v>-1.49E-3</v>
      </c>
      <c r="BC65" s="348"/>
      <c r="BE65" s="335">
        <f t="shared" si="16"/>
        <v>34198</v>
      </c>
      <c r="BF65" s="335">
        <v>34205</v>
      </c>
      <c r="BG65" s="317">
        <f t="shared" si="0"/>
        <v>7</v>
      </c>
      <c r="BH65" s="336">
        <v>2.53E-2</v>
      </c>
      <c r="BI65" s="337">
        <f t="shared" si="29"/>
        <v>14556.16</v>
      </c>
      <c r="BJ65" s="338"/>
      <c r="BK65" s="341"/>
      <c r="BL65" s="338"/>
      <c r="BM65" s="338"/>
      <c r="BO65" s="335">
        <f t="shared" si="17"/>
        <v>36153</v>
      </c>
      <c r="BP65" s="345">
        <v>36160</v>
      </c>
      <c r="BQ65" s="317">
        <f t="shared" si="2"/>
        <v>7</v>
      </c>
      <c r="BR65" s="346">
        <v>3.7600000000000001E-2</v>
      </c>
      <c r="BS65" s="337">
        <f t="shared" si="32"/>
        <v>12258.63</v>
      </c>
      <c r="BW65" s="335">
        <f t="shared" si="18"/>
        <v>36377</v>
      </c>
      <c r="BX65" s="345">
        <v>36384</v>
      </c>
      <c r="BY65" s="317">
        <f t="shared" si="4"/>
        <v>7</v>
      </c>
      <c r="BZ65" s="347">
        <v>2.9600000000000001E-2</v>
      </c>
      <c r="CA65" s="337">
        <f t="shared" si="5"/>
        <v>28383.56</v>
      </c>
      <c r="CD65" s="335">
        <f t="shared" si="19"/>
        <v>36384</v>
      </c>
      <c r="CE65" s="345">
        <v>36391</v>
      </c>
      <c r="CF65" s="317">
        <f t="shared" si="6"/>
        <v>7</v>
      </c>
      <c r="CG65" s="347">
        <v>3.2199999999999999E-2</v>
      </c>
      <c r="CH65" s="337">
        <f t="shared" si="7"/>
        <v>30876.71</v>
      </c>
      <c r="CL65" s="335">
        <f t="shared" si="20"/>
        <v>37073</v>
      </c>
      <c r="CM65" s="345">
        <v>37077</v>
      </c>
      <c r="CN65" s="317">
        <f t="shared" si="8"/>
        <v>4</v>
      </c>
      <c r="CO65" s="346">
        <v>2.6800000000000001E-2</v>
      </c>
      <c r="CP65" s="346"/>
      <c r="CQ65" s="346"/>
      <c r="CR65" s="346"/>
      <c r="CS65" s="346"/>
      <c r="CT65" s="346"/>
      <c r="CU65" s="346"/>
      <c r="CV65" s="337">
        <f t="shared" si="30"/>
        <v>24475.38</v>
      </c>
    </row>
    <row r="66" spans="1:101" hidden="1" x14ac:dyDescent="0.25">
      <c r="A66" s="335">
        <f t="shared" si="21"/>
        <v>34201</v>
      </c>
      <c r="B66" s="335">
        <v>34204</v>
      </c>
      <c r="C66" s="317">
        <f t="shared" si="9"/>
        <v>3</v>
      </c>
      <c r="D66" s="317"/>
      <c r="E66" s="336">
        <v>2.3939999999999999E-2</v>
      </c>
      <c r="F66" s="339">
        <f>ROUND(((F65*SUM($C$10:C65))+(E66*C66))/SUM($C$10:C66),5)</f>
        <v>2.4799999999999999E-2</v>
      </c>
      <c r="G66" s="340">
        <v>77.2</v>
      </c>
      <c r="I66" s="335">
        <f t="shared" si="22"/>
        <v>34215</v>
      </c>
      <c r="J66" s="335">
        <v>34220</v>
      </c>
      <c r="K66" s="317">
        <f t="shared" si="10"/>
        <v>5</v>
      </c>
      <c r="L66" s="317"/>
      <c r="M66" s="336">
        <v>2.299E-2</v>
      </c>
      <c r="N66" s="339">
        <f>ROUND(((N65*SUM($K$10:K65))+(M66*K66))/SUM($K$10:K66),5)</f>
        <v>2.5049999999999999E-2</v>
      </c>
      <c r="O66" s="340">
        <v>88.6</v>
      </c>
      <c r="Q66" s="335">
        <f t="shared" si="23"/>
        <v>34621</v>
      </c>
      <c r="R66" s="335">
        <v>34634</v>
      </c>
      <c r="S66" s="317">
        <f t="shared" si="11"/>
        <v>13</v>
      </c>
      <c r="U66" s="336">
        <v>3.3689999999999998E-2</v>
      </c>
      <c r="V66" s="339">
        <f>ROUND(((V65*SUM($S$10:S65))+(U66*S66))/SUM($S$10:S66),5)</f>
        <v>2.7570000000000001E-2</v>
      </c>
      <c r="W66" s="351">
        <v>90.4</v>
      </c>
      <c r="Y66" s="335">
        <f t="shared" si="24"/>
        <v>36230</v>
      </c>
      <c r="Z66" s="345">
        <v>36237</v>
      </c>
      <c r="AA66" s="317">
        <f t="shared" si="12"/>
        <v>7</v>
      </c>
      <c r="AC66" s="346">
        <v>2.9430000000000001E-2</v>
      </c>
      <c r="AD66" s="339">
        <f>ROUND(((AD65*SUM($AA$10:AA65))+(AC66*AA66))/SUM($AA$10:AA66),5)</f>
        <v>3.5639999999999998E-2</v>
      </c>
      <c r="AE66" s="348">
        <v>97.7</v>
      </c>
      <c r="AG66" s="335">
        <f t="shared" si="25"/>
        <v>36881</v>
      </c>
      <c r="AH66" s="345">
        <v>36910</v>
      </c>
      <c r="AI66" s="317">
        <f t="shared" si="13"/>
        <v>29</v>
      </c>
      <c r="AK66" s="347">
        <v>4.8822999999999998E-2</v>
      </c>
      <c r="AL66" s="339">
        <f>ROUND(((AL65*SUM($AI$10:AI65))+(AK66*AI66))/SUM($AI$10:AI66),5)</f>
        <v>3.7379999999999997E-2</v>
      </c>
      <c r="AM66" s="348">
        <v>90.82</v>
      </c>
      <c r="AO66" s="335">
        <f t="shared" si="26"/>
        <v>36600</v>
      </c>
      <c r="AP66" s="345">
        <v>36608</v>
      </c>
      <c r="AQ66" s="317">
        <f t="shared" si="31"/>
        <v>8</v>
      </c>
      <c r="AS66" s="347">
        <v>3.8688E-2</v>
      </c>
      <c r="AT66" s="339">
        <f>ROUND(((AT65*SUM($AQ$10:AQ65))+(AS66*AQ66))/SUM($AQ$10:AQ66),5)</f>
        <v>3.4979999999999997E-2</v>
      </c>
      <c r="AU66" s="348">
        <v>48.69</v>
      </c>
      <c r="BB66" s="339">
        <f>ROUND(((BB65*SUM($AY$10:AY65))+(BA66*AY66))/SUM($AY$10:AY66),5)</f>
        <v>-1.49E-3</v>
      </c>
      <c r="BC66" s="348"/>
      <c r="BE66" s="335">
        <f t="shared" si="16"/>
        <v>34205</v>
      </c>
      <c r="BF66" s="335">
        <v>34212</v>
      </c>
      <c r="BG66" s="317">
        <f t="shared" si="0"/>
        <v>7</v>
      </c>
      <c r="BH66" s="336">
        <v>2.5400000000000002E-2</v>
      </c>
      <c r="BI66" s="337">
        <f t="shared" si="29"/>
        <v>14613.7</v>
      </c>
      <c r="BJ66" s="338"/>
      <c r="BK66" s="341"/>
      <c r="BL66" s="338"/>
      <c r="BM66" s="338"/>
      <c r="BO66" s="335">
        <f t="shared" si="17"/>
        <v>36160</v>
      </c>
      <c r="BP66" s="345">
        <v>36161</v>
      </c>
      <c r="BQ66" s="317">
        <f t="shared" si="2"/>
        <v>1</v>
      </c>
      <c r="BR66" s="346">
        <v>0.04</v>
      </c>
      <c r="BS66" s="337">
        <f t="shared" si="32"/>
        <v>1863.01</v>
      </c>
      <c r="BT66" s="341">
        <f>SUM(BS61:BS66)</f>
        <v>47749.05</v>
      </c>
      <c r="BW66" s="335">
        <f t="shared" si="18"/>
        <v>36384</v>
      </c>
      <c r="BX66" s="345">
        <v>36391</v>
      </c>
      <c r="BY66" s="317">
        <f t="shared" si="4"/>
        <v>7</v>
      </c>
      <c r="BZ66" s="347">
        <v>3.2199999999999999E-2</v>
      </c>
      <c r="CA66" s="337">
        <f t="shared" si="5"/>
        <v>30876.71</v>
      </c>
      <c r="CD66" s="335">
        <f t="shared" si="19"/>
        <v>36391</v>
      </c>
      <c r="CE66" s="345">
        <v>36398</v>
      </c>
      <c r="CF66" s="317">
        <f t="shared" si="6"/>
        <v>7</v>
      </c>
      <c r="CG66" s="347">
        <v>3.2000000000000001E-2</v>
      </c>
      <c r="CH66" s="337">
        <f t="shared" si="7"/>
        <v>30684.93</v>
      </c>
      <c r="CL66" s="335">
        <f t="shared" si="20"/>
        <v>37077</v>
      </c>
      <c r="CM66" s="345">
        <v>37084</v>
      </c>
      <c r="CN66" s="317">
        <f t="shared" si="8"/>
        <v>7</v>
      </c>
      <c r="CO66" s="346">
        <v>2.12E-2</v>
      </c>
      <c r="CP66" s="346"/>
      <c r="CQ66" s="346"/>
      <c r="CR66" s="346"/>
      <c r="CS66" s="346"/>
      <c r="CT66" s="346"/>
      <c r="CU66" s="346"/>
      <c r="CV66" s="337">
        <f t="shared" si="30"/>
        <v>33881.96</v>
      </c>
    </row>
    <row r="67" spans="1:101" hidden="1" x14ac:dyDescent="0.25">
      <c r="A67" s="335">
        <f t="shared" si="21"/>
        <v>34204</v>
      </c>
      <c r="B67" s="335">
        <v>34205</v>
      </c>
      <c r="C67" s="317">
        <f t="shared" si="9"/>
        <v>1</v>
      </c>
      <c r="D67" s="317"/>
      <c r="E67" s="336">
        <v>2.4369999999999999E-2</v>
      </c>
      <c r="F67" s="339">
        <f>ROUND(((F66*SUM($C$10:C66))+(E67*C67))/SUM($C$10:C67),5)</f>
        <v>2.4799999999999999E-2</v>
      </c>
      <c r="G67" s="340">
        <v>76.900000000000006</v>
      </c>
      <c r="I67" s="335">
        <f t="shared" si="22"/>
        <v>34220</v>
      </c>
      <c r="J67" s="335">
        <v>34221</v>
      </c>
      <c r="K67" s="317">
        <f t="shared" si="10"/>
        <v>1</v>
      </c>
      <c r="L67" s="317"/>
      <c r="M67" s="336">
        <v>2.2970000000000001E-2</v>
      </c>
      <c r="N67" s="339">
        <f>ROUND(((N66*SUM($K$10:K66))+(M67*K67))/SUM($K$10:K67),5)</f>
        <v>2.504E-2</v>
      </c>
      <c r="O67" s="340">
        <v>89.2</v>
      </c>
      <c r="Q67" s="335">
        <f t="shared" si="23"/>
        <v>34634</v>
      </c>
      <c r="R67" s="335">
        <v>34640</v>
      </c>
      <c r="S67" s="317">
        <f t="shared" si="11"/>
        <v>6</v>
      </c>
      <c r="U67" s="336">
        <v>3.3750000000000002E-2</v>
      </c>
      <c r="V67" s="339">
        <f>ROUND(((V66*SUM($S$10:S66))+(U67*S67))/SUM($S$10:S67),5)</f>
        <v>2.7660000000000001E-2</v>
      </c>
      <c r="W67" s="351">
        <v>89.3</v>
      </c>
      <c r="Y67" s="335">
        <f t="shared" si="24"/>
        <v>36237</v>
      </c>
      <c r="Z67" s="345">
        <v>36255</v>
      </c>
      <c r="AA67" s="317">
        <f t="shared" si="12"/>
        <v>18</v>
      </c>
      <c r="AC67" s="346">
        <v>2.98E-2</v>
      </c>
      <c r="AD67" s="339">
        <f>ROUND(((AD66*SUM($AA$10:AA66))+(AC67*AA67))/SUM($AA$10:AA67),5)</f>
        <v>3.5529999999999999E-2</v>
      </c>
      <c r="AE67" s="348">
        <v>114.8</v>
      </c>
      <c r="AG67" s="335">
        <f t="shared" si="25"/>
        <v>36910</v>
      </c>
      <c r="AH67" s="345">
        <v>36929</v>
      </c>
      <c r="AI67" s="317">
        <f t="shared" si="13"/>
        <v>19</v>
      </c>
      <c r="AK67" s="347">
        <v>5.2587000000000002E-2</v>
      </c>
      <c r="AL67" s="339">
        <f>ROUND(((AL66*SUM($AI$10:AI66))+(AK67*AI67))/SUM($AI$10:AI67),5)</f>
        <v>3.7560000000000003E-2</v>
      </c>
      <c r="AM67" s="348">
        <v>41.27</v>
      </c>
      <c r="AO67" s="335">
        <f t="shared" si="26"/>
        <v>36608</v>
      </c>
      <c r="AP67" s="345">
        <v>36622</v>
      </c>
      <c r="AQ67" s="317">
        <f t="shared" si="31"/>
        <v>14</v>
      </c>
      <c r="AS67" s="347">
        <v>3.8745000000000002E-2</v>
      </c>
      <c r="AT67" s="339">
        <f>ROUND(((AT66*SUM($AQ$10:AQ66))+(AS67*AQ67))/SUM($AQ$10:AQ67),5)</f>
        <v>3.5040000000000002E-2</v>
      </c>
      <c r="AU67" s="348">
        <v>49.54</v>
      </c>
      <c r="BB67" s="339">
        <f>ROUND(((BB66*SUM($AY$10:AY66))+(BA67*AY67))/SUM($AY$10:AY67),5)</f>
        <v>-1.49E-3</v>
      </c>
      <c r="BC67" s="348"/>
      <c r="BE67" s="335">
        <f t="shared" si="16"/>
        <v>34212</v>
      </c>
      <c r="BF67" s="335">
        <v>34213</v>
      </c>
      <c r="BG67" s="317">
        <f t="shared" si="0"/>
        <v>1</v>
      </c>
      <c r="BH67" s="336">
        <v>2.41E-2</v>
      </c>
      <c r="BI67" s="337">
        <f t="shared" si="29"/>
        <v>1980.82</v>
      </c>
      <c r="BJ67" s="341">
        <f>SUM(BI62:BI67)</f>
        <v>65358.9</v>
      </c>
      <c r="BK67" s="341">
        <v>60950.38</v>
      </c>
      <c r="BL67" s="341">
        <f>BJ67-BK67</f>
        <v>4408.5200000000041</v>
      </c>
      <c r="BM67" s="341">
        <f>BM61+BL67</f>
        <v>1542.3700000000063</v>
      </c>
      <c r="BO67" s="335">
        <f t="shared" si="17"/>
        <v>36161</v>
      </c>
      <c r="BP67" s="345">
        <v>36167</v>
      </c>
      <c r="BQ67" s="317">
        <f t="shared" si="2"/>
        <v>6</v>
      </c>
      <c r="BR67" s="346">
        <v>0.04</v>
      </c>
      <c r="BS67" s="337">
        <f t="shared" si="32"/>
        <v>11178.08</v>
      </c>
      <c r="BW67" s="335">
        <f t="shared" si="18"/>
        <v>36391</v>
      </c>
      <c r="BX67" s="345">
        <v>36398</v>
      </c>
      <c r="BY67" s="317">
        <f t="shared" si="4"/>
        <v>7</v>
      </c>
      <c r="BZ67" s="347">
        <v>3.2000000000000001E-2</v>
      </c>
      <c r="CA67" s="337">
        <f t="shared" si="5"/>
        <v>30684.93</v>
      </c>
      <c r="CD67" s="335">
        <f t="shared" si="19"/>
        <v>36398</v>
      </c>
      <c r="CE67" s="345">
        <v>36404</v>
      </c>
      <c r="CF67" s="317">
        <f t="shared" si="6"/>
        <v>6</v>
      </c>
      <c r="CG67" s="347">
        <v>3.2399999999999998E-2</v>
      </c>
      <c r="CH67" s="337">
        <f t="shared" si="7"/>
        <v>26630.14</v>
      </c>
      <c r="CI67" s="341">
        <f>SUM(CH63:CH67)</f>
        <v>133616.44</v>
      </c>
      <c r="CL67" s="335">
        <f t="shared" si="20"/>
        <v>37084</v>
      </c>
      <c r="CM67" s="345">
        <v>37091</v>
      </c>
      <c r="CN67" s="317">
        <f t="shared" si="8"/>
        <v>7</v>
      </c>
      <c r="CO67" s="346">
        <v>2.3400000000000001E-2</v>
      </c>
      <c r="CP67" s="346"/>
      <c r="CQ67" s="346"/>
      <c r="CR67" s="346"/>
      <c r="CS67" s="346"/>
      <c r="CT67" s="346"/>
      <c r="CU67" s="346"/>
      <c r="CV67" s="337">
        <f t="shared" si="30"/>
        <v>37398.01</v>
      </c>
    </row>
    <row r="68" spans="1:101" hidden="1" x14ac:dyDescent="0.25">
      <c r="A68" s="335">
        <f t="shared" si="21"/>
        <v>34205</v>
      </c>
      <c r="B68" s="335">
        <v>34207</v>
      </c>
      <c r="C68" s="317">
        <f t="shared" si="9"/>
        <v>2</v>
      </c>
      <c r="D68" s="317"/>
      <c r="E68" s="336">
        <v>2.443E-2</v>
      </c>
      <c r="F68" s="339">
        <f>ROUND(((F67*SUM($C$10:C67))+(E68*C68))/SUM($C$10:C68),5)</f>
        <v>2.4799999999999999E-2</v>
      </c>
      <c r="G68" s="340">
        <v>75.099999999999994</v>
      </c>
      <c r="I68" s="335">
        <f t="shared" si="22"/>
        <v>34221</v>
      </c>
      <c r="J68" s="335">
        <v>34225</v>
      </c>
      <c r="K68" s="317">
        <f t="shared" si="10"/>
        <v>4</v>
      </c>
      <c r="L68" s="317"/>
      <c r="M68" s="336">
        <v>2.2950000000000002E-2</v>
      </c>
      <c r="N68" s="339">
        <f>ROUND(((N67*SUM($K$10:K67))+(M68*K68))/SUM($K$10:K68),5)</f>
        <v>2.5020000000000001E-2</v>
      </c>
      <c r="O68" s="340">
        <v>85.4</v>
      </c>
      <c r="Q68" s="335">
        <f t="shared" si="23"/>
        <v>34640</v>
      </c>
      <c r="R68" s="335">
        <v>34641</v>
      </c>
      <c r="S68" s="317">
        <f t="shared" si="11"/>
        <v>1</v>
      </c>
      <c r="U68" s="336">
        <v>3.3779999999999998E-2</v>
      </c>
      <c r="V68" s="339">
        <f>ROUND(((V67*SUM($S$10:S67))+(U68*S68))/SUM($S$10:S68),5)</f>
        <v>2.767E-2</v>
      </c>
      <c r="W68" s="351">
        <v>85.1</v>
      </c>
      <c r="Y68" s="335">
        <f t="shared" si="24"/>
        <v>36255</v>
      </c>
      <c r="Z68" s="345">
        <v>36257</v>
      </c>
      <c r="AA68" s="317">
        <f t="shared" si="12"/>
        <v>2</v>
      </c>
      <c r="AC68" s="346">
        <v>2.988E-2</v>
      </c>
      <c r="AD68" s="339">
        <f>ROUND(((AD67*SUM($AA$10:AA67))+(AC68*AA68))/SUM($AA$10:AA68),5)</f>
        <v>3.5520000000000003E-2</v>
      </c>
      <c r="AE68" s="348">
        <v>110</v>
      </c>
      <c r="AG68" s="335">
        <f t="shared" si="25"/>
        <v>36929</v>
      </c>
      <c r="AH68" s="345">
        <v>36930</v>
      </c>
      <c r="AI68" s="317">
        <f t="shared" si="13"/>
        <v>1</v>
      </c>
      <c r="AK68" s="347">
        <v>5.3349000000000001E-2</v>
      </c>
      <c r="AL68" s="339">
        <f>ROUND(((AL67*SUM($AI$10:AI67))+(AK68*AI68))/SUM($AI$10:AI68),5)</f>
        <v>3.7569999999999999E-2</v>
      </c>
      <c r="AM68" s="348">
        <v>38.619999999999997</v>
      </c>
      <c r="AO68" s="335">
        <f t="shared" si="26"/>
        <v>36622</v>
      </c>
      <c r="AP68" s="345">
        <v>36628</v>
      </c>
      <c r="AQ68" s="317">
        <f t="shared" si="31"/>
        <v>6</v>
      </c>
      <c r="AS68" s="347">
        <v>3.7973E-2</v>
      </c>
      <c r="AT68" s="339">
        <f>ROUND(((AT67*SUM($AQ$10:AQ67))+(AS68*AQ68))/SUM($AQ$10:AQ68),5)</f>
        <v>3.5060000000000001E-2</v>
      </c>
      <c r="AU68" s="348">
        <v>47.26</v>
      </c>
      <c r="BB68" s="339">
        <f>ROUND(((BB67*SUM($AY$10:AY67))+(BA68*AY68))/SUM($AY$10:AY68),5)</f>
        <v>-1.49E-3</v>
      </c>
      <c r="BC68" s="348"/>
      <c r="BE68" s="335">
        <f t="shared" si="16"/>
        <v>34213</v>
      </c>
      <c r="BF68" s="335">
        <v>34219</v>
      </c>
      <c r="BG68" s="317">
        <f t="shared" si="0"/>
        <v>6</v>
      </c>
      <c r="BH68" s="336">
        <v>2.41E-2</v>
      </c>
      <c r="BI68" s="337">
        <f t="shared" si="29"/>
        <v>11884.93</v>
      </c>
      <c r="BJ68" s="338"/>
      <c r="BK68" s="341"/>
      <c r="BL68" s="338"/>
      <c r="BM68" s="338"/>
      <c r="BO68" s="335">
        <f t="shared" si="17"/>
        <v>36167</v>
      </c>
      <c r="BP68" s="345">
        <v>36174</v>
      </c>
      <c r="BQ68" s="317">
        <f t="shared" si="2"/>
        <v>7</v>
      </c>
      <c r="BR68" s="346">
        <v>2.86E-2</v>
      </c>
      <c r="BS68" s="337">
        <f t="shared" si="32"/>
        <v>9324.3799999999992</v>
      </c>
      <c r="BW68" s="335">
        <f t="shared" si="18"/>
        <v>36398</v>
      </c>
      <c r="BX68" s="345">
        <v>36404</v>
      </c>
      <c r="BY68" s="317">
        <f t="shared" si="4"/>
        <v>6</v>
      </c>
      <c r="BZ68" s="347">
        <v>3.2399999999999998E-2</v>
      </c>
      <c r="CA68" s="337">
        <f t="shared" si="5"/>
        <v>26630.14</v>
      </c>
      <c r="CB68" s="341">
        <f>SUM(CA64:CA68)</f>
        <v>133616.44</v>
      </c>
      <c r="CD68" s="335">
        <f t="shared" si="19"/>
        <v>36404</v>
      </c>
      <c r="CE68" s="345">
        <v>36405</v>
      </c>
      <c r="CF68" s="317">
        <f t="shared" si="6"/>
        <v>1</v>
      </c>
      <c r="CG68" s="347">
        <v>3.2399999999999998E-2</v>
      </c>
      <c r="CH68" s="337">
        <f t="shared" si="7"/>
        <v>4438.3599999999997</v>
      </c>
      <c r="CL68" s="335">
        <f t="shared" si="20"/>
        <v>37091</v>
      </c>
      <c r="CM68" s="345">
        <v>37098</v>
      </c>
      <c r="CN68" s="317">
        <f t="shared" si="8"/>
        <v>7</v>
      </c>
      <c r="CO68" s="346">
        <v>2.6800000000000001E-2</v>
      </c>
      <c r="CP68" s="346"/>
      <c r="CQ68" s="346"/>
      <c r="CR68" s="346"/>
      <c r="CS68" s="346"/>
      <c r="CT68" s="346"/>
      <c r="CU68" s="346"/>
      <c r="CV68" s="337">
        <f t="shared" si="30"/>
        <v>42831.91</v>
      </c>
    </row>
    <row r="69" spans="1:101" hidden="1" x14ac:dyDescent="0.25">
      <c r="A69" s="335">
        <f t="shared" si="21"/>
        <v>34207</v>
      </c>
      <c r="B69" s="335">
        <v>34233</v>
      </c>
      <c r="C69" s="317">
        <f t="shared" si="9"/>
        <v>26</v>
      </c>
      <c r="D69" s="317"/>
      <c r="E69" s="336">
        <v>2.4550000000000002E-2</v>
      </c>
      <c r="F69" s="339">
        <f>ROUND(((F68*SUM($C$10:C68))+(E69*C69))/SUM($C$10:C69),5)</f>
        <v>2.478E-2</v>
      </c>
      <c r="G69" s="340">
        <v>72.7</v>
      </c>
      <c r="I69" s="335">
        <f t="shared" si="22"/>
        <v>34225</v>
      </c>
      <c r="J69" s="335">
        <v>34227</v>
      </c>
      <c r="K69" s="317">
        <f t="shared" si="10"/>
        <v>2</v>
      </c>
      <c r="L69" s="317"/>
      <c r="M69" s="336">
        <v>2.3E-2</v>
      </c>
      <c r="N69" s="339">
        <f>ROUND(((N68*SUM($K$10:K68))+(M69*K69))/SUM($K$10:K69),5)</f>
        <v>2.5010000000000001E-2</v>
      </c>
      <c r="O69" s="340">
        <v>87</v>
      </c>
      <c r="Q69" s="335">
        <f t="shared" si="23"/>
        <v>34641</v>
      </c>
      <c r="R69" s="335">
        <v>34648</v>
      </c>
      <c r="S69" s="317">
        <f t="shared" si="11"/>
        <v>7</v>
      </c>
      <c r="U69" s="336">
        <v>3.3850000000000005E-2</v>
      </c>
      <c r="V69" s="339">
        <f>ROUND(((V68*SUM($S$10:S68))+(U69*S69))/SUM($S$10:S69),5)</f>
        <v>2.777E-2</v>
      </c>
      <c r="W69" s="351">
        <v>83.4</v>
      </c>
      <c r="Y69" s="335">
        <f t="shared" si="24"/>
        <v>36257</v>
      </c>
      <c r="Z69" s="345">
        <v>36258</v>
      </c>
      <c r="AA69" s="317">
        <f t="shared" si="12"/>
        <v>1</v>
      </c>
      <c r="AC69" s="346">
        <v>2.9870000000000001E-2</v>
      </c>
      <c r="AD69" s="339">
        <f>ROUND(((AD68*SUM($AA$10:AA68))+(AC69*AA69))/SUM($AA$10:AA69),5)</f>
        <v>3.551E-2</v>
      </c>
      <c r="AE69" s="348">
        <v>104.8</v>
      </c>
      <c r="AG69" s="335">
        <f t="shared" si="25"/>
        <v>36930</v>
      </c>
      <c r="AH69" s="345">
        <v>36936</v>
      </c>
      <c r="AI69" s="317">
        <f t="shared" si="13"/>
        <v>6</v>
      </c>
      <c r="AK69" s="346">
        <v>4.8619000000000002E-2</v>
      </c>
      <c r="AL69" s="339">
        <f>ROUND(((AL68*SUM($AI$10:AI68))+(AK69*AI69))/SUM($AI$10:AI69),5)</f>
        <v>3.7609999999999998E-2</v>
      </c>
      <c r="AM69" s="348">
        <v>56.95</v>
      </c>
      <c r="AO69" s="335">
        <f t="shared" si="26"/>
        <v>36628</v>
      </c>
      <c r="AP69" s="345">
        <v>36630</v>
      </c>
      <c r="AQ69" s="317">
        <f t="shared" si="31"/>
        <v>2</v>
      </c>
      <c r="AS69" s="347">
        <v>4.0506E-2</v>
      </c>
      <c r="AT69" s="339">
        <f>ROUND(((AT68*SUM($AQ$10:AQ68))+(AS69*AQ69))/SUM($AQ$10:AQ69),5)</f>
        <v>3.5069999999999997E-2</v>
      </c>
      <c r="AU69" s="348">
        <v>26.46</v>
      </c>
      <c r="BB69" s="339">
        <f>ROUND(((BB68*SUM($AY$10:AY68))+(BA69*AY69))/SUM($AY$10:AY69),5)</f>
        <v>-1.49E-3</v>
      </c>
      <c r="BC69" s="348"/>
      <c r="BE69" s="335">
        <f t="shared" si="16"/>
        <v>34219</v>
      </c>
      <c r="BF69" s="335">
        <v>34226</v>
      </c>
      <c r="BG69" s="317">
        <f t="shared" si="0"/>
        <v>7</v>
      </c>
      <c r="BH69" s="336">
        <v>2.2600000000000002E-2</v>
      </c>
      <c r="BI69" s="337">
        <f t="shared" si="29"/>
        <v>13002.74</v>
      </c>
      <c r="BJ69" s="338"/>
      <c r="BK69" s="341"/>
      <c r="BL69" s="338"/>
      <c r="BM69" s="338"/>
      <c r="BO69" s="335">
        <f t="shared" si="17"/>
        <v>36174</v>
      </c>
      <c r="BP69" s="345">
        <v>36181</v>
      </c>
      <c r="BQ69" s="317">
        <f t="shared" si="2"/>
        <v>7</v>
      </c>
      <c r="BR69" s="346">
        <v>2.9700000000000001E-2</v>
      </c>
      <c r="BS69" s="337">
        <f t="shared" si="32"/>
        <v>9683.01</v>
      </c>
      <c r="BW69" s="335">
        <f t="shared" si="18"/>
        <v>36404</v>
      </c>
      <c r="BX69" s="345">
        <v>36405</v>
      </c>
      <c r="BY69" s="317">
        <f t="shared" si="4"/>
        <v>1</v>
      </c>
      <c r="BZ69" s="347">
        <v>3.2399999999999998E-2</v>
      </c>
      <c r="CA69" s="337">
        <f t="shared" si="5"/>
        <v>4438.3599999999997</v>
      </c>
      <c r="CD69" s="335">
        <f t="shared" si="19"/>
        <v>36405</v>
      </c>
      <c r="CE69" s="345">
        <v>36412</v>
      </c>
      <c r="CF69" s="317">
        <f t="shared" si="6"/>
        <v>7</v>
      </c>
      <c r="CG69" s="347">
        <v>3.1399999999999997E-2</v>
      </c>
      <c r="CH69" s="337">
        <f t="shared" si="7"/>
        <v>30109.59</v>
      </c>
      <c r="CL69" s="335">
        <f t="shared" si="20"/>
        <v>37098</v>
      </c>
      <c r="CM69" s="345">
        <v>37104</v>
      </c>
      <c r="CN69" s="317">
        <f t="shared" si="8"/>
        <v>6</v>
      </c>
      <c r="CO69" s="346">
        <v>2.64E-2</v>
      </c>
      <c r="CP69" s="346"/>
      <c r="CQ69" s="346"/>
      <c r="CR69" s="346"/>
      <c r="CS69" s="346"/>
      <c r="CT69" s="346"/>
      <c r="CU69" s="346"/>
      <c r="CV69" s="337">
        <f t="shared" si="30"/>
        <v>36165.11</v>
      </c>
      <c r="CW69" s="341">
        <f>SUM(CV65:CV69)</f>
        <v>174752.37</v>
      </c>
    </row>
    <row r="70" spans="1:101" hidden="1" x14ac:dyDescent="0.25">
      <c r="A70" s="335">
        <f t="shared" si="21"/>
        <v>34233</v>
      </c>
      <c r="B70" s="335">
        <v>34235</v>
      </c>
      <c r="C70" s="317">
        <f t="shared" si="9"/>
        <v>2</v>
      </c>
      <c r="D70" s="317"/>
      <c r="E70" s="336">
        <v>2.4559999999999998E-2</v>
      </c>
      <c r="F70" s="339">
        <f>ROUND(((F69*SUM($C$10:C69))+(E70*C70))/SUM($C$10:C70),5)</f>
        <v>2.478E-2</v>
      </c>
      <c r="G70" s="340">
        <v>71.7</v>
      </c>
      <c r="I70" s="335">
        <f t="shared" si="22"/>
        <v>34227</v>
      </c>
      <c r="J70" s="335">
        <v>34229</v>
      </c>
      <c r="K70" s="317">
        <f t="shared" si="10"/>
        <v>2</v>
      </c>
      <c r="L70" s="317"/>
      <c r="M70" s="336">
        <v>2.3009999999999999E-2</v>
      </c>
      <c r="N70" s="339">
        <f>ROUND(((N69*SUM($K$10:K69))+(M70*K70))/SUM($K$10:K70),5)</f>
        <v>2.5000000000000001E-2</v>
      </c>
      <c r="O70" s="340">
        <v>87.1</v>
      </c>
      <c r="Q70" s="335">
        <f t="shared" si="23"/>
        <v>34648</v>
      </c>
      <c r="R70" s="335">
        <v>34652</v>
      </c>
      <c r="S70" s="317">
        <f t="shared" si="11"/>
        <v>4</v>
      </c>
      <c r="U70" s="336">
        <v>3.424E-2</v>
      </c>
      <c r="V70" s="339">
        <f>ROUND(((V69*SUM($S$10:S69))+(U70*S70))/SUM($S$10:S70),5)</f>
        <v>2.7830000000000001E-2</v>
      </c>
      <c r="W70" s="351">
        <v>85</v>
      </c>
      <c r="Y70" s="335">
        <f t="shared" si="24"/>
        <v>36258</v>
      </c>
      <c r="Z70" s="345">
        <v>36269</v>
      </c>
      <c r="AA70" s="317">
        <f t="shared" si="12"/>
        <v>11</v>
      </c>
      <c r="AC70" s="346">
        <v>2.9899999999999999E-2</v>
      </c>
      <c r="AD70" s="339">
        <f>ROUND(((AD69*SUM($AA$10:AA69))+(AC70*AA70))/SUM($AA$10:AA70),5)</f>
        <v>3.5439999999999999E-2</v>
      </c>
      <c r="AE70" s="348">
        <v>107.3</v>
      </c>
      <c r="AG70" s="335">
        <f t="shared" si="25"/>
        <v>36936</v>
      </c>
      <c r="AH70" s="345">
        <v>36980</v>
      </c>
      <c r="AI70" s="317">
        <f t="shared" si="13"/>
        <v>44</v>
      </c>
      <c r="AK70" s="346">
        <v>4.7569E-2</v>
      </c>
      <c r="AL70" s="339">
        <f>ROUND(((AL69*SUM($AI$10:AI69))+(AK70*AI70))/SUM($AI$10:AI70),5)</f>
        <v>3.7879999999999997E-2</v>
      </c>
      <c r="AM70" s="348">
        <v>67.400000000000006</v>
      </c>
      <c r="AO70" s="335">
        <f t="shared" si="26"/>
        <v>36630</v>
      </c>
      <c r="AP70" s="345">
        <v>36636</v>
      </c>
      <c r="AQ70" s="317">
        <f t="shared" si="31"/>
        <v>6</v>
      </c>
      <c r="AS70" s="347">
        <v>4.1542999999999997E-2</v>
      </c>
      <c r="AT70" s="339">
        <f>ROUND(((AT69*SUM($AQ$10:AQ69))+(AS70*AQ70))/SUM($AQ$10:AQ70),5)</f>
        <v>3.5110000000000002E-2</v>
      </c>
      <c r="AU70" s="348">
        <v>19.57</v>
      </c>
      <c r="BB70" s="352"/>
      <c r="BC70" s="348"/>
      <c r="BE70" s="335">
        <f t="shared" si="16"/>
        <v>34226</v>
      </c>
      <c r="BF70" s="335">
        <v>34233</v>
      </c>
      <c r="BG70" s="317">
        <f t="shared" si="0"/>
        <v>7</v>
      </c>
      <c r="BH70" s="336">
        <v>2.3200000000000002E-2</v>
      </c>
      <c r="BI70" s="337">
        <f t="shared" si="29"/>
        <v>13347.95</v>
      </c>
      <c r="BJ70" s="338"/>
      <c r="BK70" s="341"/>
      <c r="BL70" s="338"/>
      <c r="BM70" s="338"/>
      <c r="BO70" s="335">
        <f t="shared" si="17"/>
        <v>36181</v>
      </c>
      <c r="BP70" s="345">
        <v>36188</v>
      </c>
      <c r="BQ70" s="317">
        <f t="shared" si="2"/>
        <v>7</v>
      </c>
      <c r="BR70" s="346">
        <v>2.8899999999999999E-2</v>
      </c>
      <c r="BS70" s="337">
        <f t="shared" si="32"/>
        <v>9422.19</v>
      </c>
      <c r="BW70" s="335">
        <f t="shared" si="18"/>
        <v>36405</v>
      </c>
      <c r="BX70" s="345">
        <v>36412</v>
      </c>
      <c r="BY70" s="317">
        <f t="shared" si="4"/>
        <v>7</v>
      </c>
      <c r="BZ70" s="347">
        <v>3.1399999999999997E-2</v>
      </c>
      <c r="CA70" s="337">
        <f t="shared" si="5"/>
        <v>30109.59</v>
      </c>
      <c r="CD70" s="335">
        <f t="shared" si="19"/>
        <v>36412</v>
      </c>
      <c r="CE70" s="345">
        <v>36414</v>
      </c>
      <c r="CF70" s="317">
        <f t="shared" si="6"/>
        <v>2</v>
      </c>
      <c r="CG70" s="347">
        <v>3.1699999999999999E-2</v>
      </c>
      <c r="CH70" s="337">
        <f t="shared" si="7"/>
        <v>8684.93</v>
      </c>
      <c r="CI70" s="341" t="s">
        <v>35</v>
      </c>
      <c r="CL70" s="335">
        <f t="shared" si="20"/>
        <v>37104</v>
      </c>
      <c r="CM70" s="345">
        <v>37105</v>
      </c>
      <c r="CN70" s="317">
        <f t="shared" si="8"/>
        <v>1</v>
      </c>
      <c r="CO70" s="347">
        <v>2.64E-2</v>
      </c>
      <c r="CP70" s="347"/>
      <c r="CQ70" s="347"/>
      <c r="CR70" s="347"/>
      <c r="CS70" s="347"/>
      <c r="CT70" s="347"/>
      <c r="CU70" s="347"/>
      <c r="CV70" s="337">
        <f t="shared" si="30"/>
        <v>6027.52</v>
      </c>
    </row>
    <row r="71" spans="1:101" hidden="1" x14ac:dyDescent="0.25">
      <c r="A71" s="335">
        <f t="shared" si="21"/>
        <v>34235</v>
      </c>
      <c r="B71" s="335">
        <v>34243</v>
      </c>
      <c r="C71" s="317">
        <f t="shared" si="9"/>
        <v>8</v>
      </c>
      <c r="D71" s="317"/>
      <c r="E71" s="336">
        <v>2.4809999999999999E-2</v>
      </c>
      <c r="F71" s="339">
        <f>ROUND(((F70*SUM($C$10:C70))+(E71*C71))/SUM($C$10:C71),5)</f>
        <v>2.478E-2</v>
      </c>
      <c r="G71" s="340">
        <v>73.7</v>
      </c>
      <c r="I71" s="335">
        <f t="shared" si="22"/>
        <v>34229</v>
      </c>
      <c r="J71" s="335">
        <v>34246</v>
      </c>
      <c r="K71" s="317">
        <f t="shared" si="10"/>
        <v>17</v>
      </c>
      <c r="L71" s="317"/>
      <c r="M71" s="336">
        <v>2.3019999999999999E-2</v>
      </c>
      <c r="N71" s="339">
        <f>ROUND(((N70*SUM($K$10:K70))+(M71*K71))/SUM($K$10:K71),5)</f>
        <v>2.4910000000000002E-2</v>
      </c>
      <c r="O71" s="340">
        <v>86.6</v>
      </c>
      <c r="Q71" s="335">
        <f t="shared" si="23"/>
        <v>34652</v>
      </c>
      <c r="R71" s="335">
        <v>34655</v>
      </c>
      <c r="S71" s="317">
        <f t="shared" si="11"/>
        <v>3</v>
      </c>
      <c r="U71" s="336">
        <v>3.4300000000000004E-2</v>
      </c>
      <c r="V71" s="339">
        <f>ROUND(((V70*SUM($S$10:S70))+(U71*S71))/SUM($S$10:S71),5)</f>
        <v>2.7869999999999999E-2</v>
      </c>
      <c r="W71" s="351">
        <v>84.5</v>
      </c>
      <c r="Y71" s="335">
        <f t="shared" si="24"/>
        <v>36269</v>
      </c>
      <c r="Z71" s="345">
        <v>36299</v>
      </c>
      <c r="AA71" s="317">
        <f t="shared" si="12"/>
        <v>30</v>
      </c>
      <c r="AC71" s="346">
        <v>3.015E-2</v>
      </c>
      <c r="AD71" s="339">
        <f>ROUND(((AD70*SUM($AA$10:AA70))+(AC71*AA71))/SUM($AA$10:AA71),5)</f>
        <v>3.5270000000000003E-2</v>
      </c>
      <c r="AE71" s="348">
        <v>115.1</v>
      </c>
      <c r="AG71" s="335">
        <f t="shared" si="25"/>
        <v>36980</v>
      </c>
      <c r="AH71" s="345">
        <v>36985</v>
      </c>
      <c r="AI71" s="317">
        <f t="shared" si="13"/>
        <v>5</v>
      </c>
      <c r="AK71" s="346">
        <v>4.7719999999999999E-2</v>
      </c>
      <c r="AL71" s="339">
        <f>ROUND(((AL70*SUM($AI$10:AI70))+(AK71*AI71))/SUM($AI$10:AI71),5)</f>
        <v>3.7909999999999999E-2</v>
      </c>
      <c r="AM71" s="348">
        <v>68.56</v>
      </c>
      <c r="AO71" s="335">
        <f t="shared" si="26"/>
        <v>36636</v>
      </c>
      <c r="AP71" s="345">
        <v>36647</v>
      </c>
      <c r="AQ71" s="317">
        <f t="shared" si="31"/>
        <v>11</v>
      </c>
      <c r="AS71" s="347">
        <v>4.4174999999999999E-2</v>
      </c>
      <c r="AT71" s="339">
        <f>ROUND(((AT70*SUM($AQ$10:AQ70))+(AS71*AQ71))/SUM($AQ$10:AQ71),5)</f>
        <v>3.5220000000000001E-2</v>
      </c>
      <c r="AU71" s="348">
        <v>20.71</v>
      </c>
      <c r="BB71" s="352"/>
      <c r="BC71" s="348"/>
      <c r="BE71" s="335">
        <f t="shared" si="16"/>
        <v>34233</v>
      </c>
      <c r="BF71" s="335">
        <v>34240</v>
      </c>
      <c r="BG71" s="317">
        <f t="shared" si="0"/>
        <v>7</v>
      </c>
      <c r="BH71" s="336">
        <v>2.7400000000000001E-2</v>
      </c>
      <c r="BI71" s="337">
        <f t="shared" si="29"/>
        <v>15764.38</v>
      </c>
      <c r="BJ71" s="338"/>
      <c r="BK71" s="341"/>
      <c r="BL71" s="338"/>
      <c r="BM71" s="338"/>
      <c r="BO71" s="335">
        <f t="shared" si="17"/>
        <v>36188</v>
      </c>
      <c r="BP71" s="345">
        <v>36192</v>
      </c>
      <c r="BQ71" s="317">
        <f t="shared" si="2"/>
        <v>4</v>
      </c>
      <c r="BR71" s="346">
        <v>2.7199999999999998E-2</v>
      </c>
      <c r="BS71" s="337">
        <f t="shared" si="32"/>
        <v>5067.3999999999996</v>
      </c>
      <c r="BT71" s="341">
        <f>SUM(BS67:BS71)</f>
        <v>44675.060000000005</v>
      </c>
      <c r="BW71" s="335">
        <f t="shared" si="18"/>
        <v>36412</v>
      </c>
      <c r="BX71" s="345">
        <v>36419</v>
      </c>
      <c r="BY71" s="317">
        <f t="shared" si="4"/>
        <v>7</v>
      </c>
      <c r="BZ71" s="347">
        <v>3.1699999999999999E-2</v>
      </c>
      <c r="CA71" s="337">
        <f t="shared" si="5"/>
        <v>30397.26</v>
      </c>
      <c r="CD71" s="335">
        <f t="shared" si="19"/>
        <v>36414</v>
      </c>
      <c r="CE71" s="345">
        <v>36419</v>
      </c>
      <c r="CF71" s="317">
        <f t="shared" si="6"/>
        <v>5</v>
      </c>
      <c r="CG71" s="347">
        <v>3.1699999999999999E-2</v>
      </c>
      <c r="CH71" s="337">
        <f t="shared" si="7"/>
        <v>21712.33</v>
      </c>
      <c r="CL71" s="335">
        <f t="shared" si="20"/>
        <v>37105</v>
      </c>
      <c r="CM71" s="345">
        <v>37112</v>
      </c>
      <c r="CN71" s="317">
        <f t="shared" si="8"/>
        <v>7</v>
      </c>
      <c r="CO71" s="347">
        <v>2.4199999999999999E-2</v>
      </c>
      <c r="CP71" s="347"/>
      <c r="CQ71" s="347"/>
      <c r="CR71" s="347"/>
      <c r="CS71" s="347"/>
      <c r="CT71" s="347"/>
      <c r="CU71" s="347"/>
      <c r="CV71" s="337">
        <f t="shared" si="30"/>
        <v>38676.57</v>
      </c>
    </row>
    <row r="72" spans="1:101" hidden="1" x14ac:dyDescent="0.25">
      <c r="A72" s="335">
        <f t="shared" si="21"/>
        <v>34243</v>
      </c>
      <c r="B72" s="335">
        <v>34246</v>
      </c>
      <c r="C72" s="317">
        <f t="shared" si="9"/>
        <v>3</v>
      </c>
      <c r="D72" s="317"/>
      <c r="E72" s="336">
        <v>2.4819999999999998E-2</v>
      </c>
      <c r="F72" s="339">
        <f>ROUND(((F71*SUM($C$10:C71))+(E72*C72))/SUM($C$10:C72),5)</f>
        <v>2.478E-2</v>
      </c>
      <c r="G72" s="340">
        <v>73.599999999999994</v>
      </c>
      <c r="I72" s="335">
        <f t="shared" si="22"/>
        <v>34246</v>
      </c>
      <c r="J72" s="335">
        <v>34248</v>
      </c>
      <c r="K72" s="317">
        <f t="shared" si="10"/>
        <v>2</v>
      </c>
      <c r="L72" s="317"/>
      <c r="M72" s="336">
        <v>2.3040000000000001E-2</v>
      </c>
      <c r="N72" s="339">
        <f>ROUND(((N71*SUM($K$10:K71))+(M72*K72))/SUM($K$10:K72),5)</f>
        <v>2.4899999999999999E-2</v>
      </c>
      <c r="O72" s="340">
        <v>87.8</v>
      </c>
      <c r="Q72" s="335">
        <f t="shared" si="23"/>
        <v>34655</v>
      </c>
      <c r="R72" s="353">
        <v>34656</v>
      </c>
      <c r="S72" s="317">
        <f t="shared" si="11"/>
        <v>1</v>
      </c>
      <c r="U72" s="336">
        <v>3.492E-2</v>
      </c>
      <c r="V72" s="339">
        <f>ROUND(((V71*SUM($S$10:S71))+(U72*S72))/SUM($S$10:S72),5)</f>
        <v>2.7890000000000002E-2</v>
      </c>
      <c r="W72" s="351">
        <v>63.9</v>
      </c>
      <c r="Y72" s="335">
        <f t="shared" si="24"/>
        <v>36299</v>
      </c>
      <c r="Z72" s="345">
        <v>36315</v>
      </c>
      <c r="AA72" s="317">
        <f t="shared" si="12"/>
        <v>16</v>
      </c>
      <c r="AC72" s="346">
        <v>3.0550000000000001E-2</v>
      </c>
      <c r="AD72" s="339">
        <f>ROUND(((AD71*SUM($AA$10:AA71))+(AC72*AA72))/SUM($AA$10:AA72),5)</f>
        <v>3.5189999999999999E-2</v>
      </c>
      <c r="AE72" s="348">
        <v>118.6</v>
      </c>
      <c r="AG72" s="335">
        <f t="shared" si="25"/>
        <v>36985</v>
      </c>
      <c r="AH72" s="345">
        <v>37015</v>
      </c>
      <c r="AI72" s="317">
        <f t="shared" si="13"/>
        <v>30</v>
      </c>
      <c r="AK72" s="346">
        <v>4.8897999999999997E-2</v>
      </c>
      <c r="AL72" s="339">
        <f>ROUND(((AL71*SUM($AI$10:AI71))+(AK72*AI72))/SUM($AI$10:AI72),5)</f>
        <v>3.8109999999999998E-2</v>
      </c>
      <c r="AM72" s="348">
        <v>91.29</v>
      </c>
      <c r="AO72" s="335">
        <f t="shared" si="26"/>
        <v>36647</v>
      </c>
      <c r="AP72" s="345">
        <v>36649</v>
      </c>
      <c r="AQ72" s="317">
        <f t="shared" si="31"/>
        <v>2</v>
      </c>
      <c r="AS72" s="347">
        <v>4.5032000000000003E-2</v>
      </c>
      <c r="AT72" s="339">
        <f>ROUND(((AT71*SUM($AQ$10:AQ71))+(AS72*AQ72))/SUM($AQ$10:AQ72),5)</f>
        <v>3.524E-2</v>
      </c>
      <c r="AU72" s="348">
        <v>24.43</v>
      </c>
      <c r="BB72" s="352"/>
      <c r="BC72" s="348"/>
      <c r="BE72" s="335">
        <f t="shared" si="16"/>
        <v>34240</v>
      </c>
      <c r="BF72" s="335">
        <v>34243</v>
      </c>
      <c r="BG72" s="317">
        <f t="shared" si="0"/>
        <v>3</v>
      </c>
      <c r="BH72" s="336">
        <v>3.1E-2</v>
      </c>
      <c r="BI72" s="337">
        <f t="shared" si="29"/>
        <v>7643.84</v>
      </c>
      <c r="BJ72" s="341">
        <f>SUM(BI68:BI72)</f>
        <v>61643.839999999997</v>
      </c>
      <c r="BK72" s="341">
        <v>60917.37</v>
      </c>
      <c r="BL72" s="341">
        <f>BJ72-BK72</f>
        <v>726.46999999999389</v>
      </c>
      <c r="BM72" s="341">
        <f>BM67+BL72</f>
        <v>2268.84</v>
      </c>
      <c r="BO72" s="335">
        <f t="shared" si="17"/>
        <v>36192</v>
      </c>
      <c r="BP72" s="345">
        <v>36195</v>
      </c>
      <c r="BQ72" s="317">
        <f t="shared" si="2"/>
        <v>3</v>
      </c>
      <c r="BR72" s="346">
        <v>2.7199999999999998E-2</v>
      </c>
      <c r="BS72" s="337">
        <f t="shared" si="32"/>
        <v>3800.55</v>
      </c>
      <c r="BW72" s="335">
        <f t="shared" si="18"/>
        <v>36419</v>
      </c>
      <c r="BX72" s="345">
        <v>36426</v>
      </c>
      <c r="BY72" s="317">
        <f t="shared" si="4"/>
        <v>7</v>
      </c>
      <c r="BZ72" s="347">
        <v>3.4700000000000002E-2</v>
      </c>
      <c r="CA72" s="337">
        <f t="shared" si="5"/>
        <v>33273.97</v>
      </c>
      <c r="CD72" s="335">
        <f t="shared" si="19"/>
        <v>36419</v>
      </c>
      <c r="CE72" s="345">
        <v>36426</v>
      </c>
      <c r="CF72" s="317">
        <f t="shared" si="6"/>
        <v>7</v>
      </c>
      <c r="CG72" s="347">
        <v>3.4700000000000002E-2</v>
      </c>
      <c r="CH72" s="337">
        <f t="shared" si="7"/>
        <v>33273.97</v>
      </c>
      <c r="CL72" s="335">
        <f t="shared" si="20"/>
        <v>37112</v>
      </c>
      <c r="CM72" s="345">
        <v>37119</v>
      </c>
      <c r="CN72" s="317">
        <f t="shared" si="8"/>
        <v>7</v>
      </c>
      <c r="CO72" s="347">
        <v>2.1899999999999999E-2</v>
      </c>
      <c r="CP72" s="347"/>
      <c r="CQ72" s="347"/>
      <c r="CR72" s="347"/>
      <c r="CS72" s="347"/>
      <c r="CT72" s="347"/>
      <c r="CU72" s="347"/>
      <c r="CV72" s="337">
        <f t="shared" si="30"/>
        <v>35000.699999999997</v>
      </c>
    </row>
    <row r="73" spans="1:101" hidden="1" x14ac:dyDescent="0.25">
      <c r="A73" s="335">
        <f t="shared" si="21"/>
        <v>34246</v>
      </c>
      <c r="B73" s="335">
        <v>34248</v>
      </c>
      <c r="C73" s="317">
        <f t="shared" si="9"/>
        <v>2</v>
      </c>
      <c r="D73" s="317"/>
      <c r="E73" s="336">
        <v>2.504E-2</v>
      </c>
      <c r="F73" s="339">
        <f>ROUND(((F72*SUM($C$10:C72))+(E73*C73))/SUM($C$10:C73),5)</f>
        <v>2.478E-2</v>
      </c>
      <c r="G73" s="340">
        <v>68.2</v>
      </c>
      <c r="I73" s="335">
        <f t="shared" si="22"/>
        <v>34248</v>
      </c>
      <c r="J73" s="335">
        <v>34249</v>
      </c>
      <c r="K73" s="317">
        <f t="shared" si="10"/>
        <v>1</v>
      </c>
      <c r="L73" s="317"/>
      <c r="M73" s="336">
        <v>2.3040000000000001E-2</v>
      </c>
      <c r="N73" s="339">
        <f>ROUND(((N72*SUM($K$10:K72))+(M73*K73))/SUM($K$10:K73),5)</f>
        <v>2.4899999999999999E-2</v>
      </c>
      <c r="O73" s="340">
        <v>87.8</v>
      </c>
      <c r="Q73" s="335">
        <f t="shared" si="23"/>
        <v>34656</v>
      </c>
      <c r="R73" s="353">
        <v>34667</v>
      </c>
      <c r="S73" s="317">
        <f t="shared" si="11"/>
        <v>11</v>
      </c>
      <c r="U73" s="336">
        <v>3.6819999999999999E-2</v>
      </c>
      <c r="V73" s="339">
        <f>ROUND(((V72*SUM($S$10:S72))+(U73*S73))/SUM($S$10:S73),5)</f>
        <v>2.811E-2</v>
      </c>
      <c r="W73" s="351">
        <v>89.9</v>
      </c>
      <c r="Y73" s="335">
        <f t="shared" si="24"/>
        <v>36315</v>
      </c>
      <c r="Z73" s="345">
        <v>36319</v>
      </c>
      <c r="AA73" s="317">
        <f t="shared" si="12"/>
        <v>4</v>
      </c>
      <c r="AC73" s="346">
        <v>3.0540000000000001E-2</v>
      </c>
      <c r="AD73" s="339">
        <f>ROUND(((AD72*SUM($AA$10:AA72))+(AC73*AA73))/SUM($AA$10:AA73),5)</f>
        <v>3.517E-2</v>
      </c>
      <c r="AE73" s="348">
        <v>117.2</v>
      </c>
      <c r="AG73" s="335">
        <f t="shared" si="25"/>
        <v>37015</v>
      </c>
      <c r="AH73" s="345">
        <v>37063</v>
      </c>
      <c r="AI73" s="317">
        <f t="shared" si="13"/>
        <v>48</v>
      </c>
      <c r="AK73" s="346">
        <v>4.4831000000000003E-2</v>
      </c>
      <c r="AL73" s="339">
        <f>ROUND(((AL72*SUM($AI$10:AI72))+(AK73*AI73))/SUM($AI$10:AI73),5)</f>
        <v>3.8300000000000001E-2</v>
      </c>
      <c r="AM73" s="348">
        <v>100.9</v>
      </c>
      <c r="AO73" s="335">
        <f t="shared" si="26"/>
        <v>36649</v>
      </c>
      <c r="AP73" s="345">
        <v>36651</v>
      </c>
      <c r="AQ73" s="317">
        <f t="shared" si="31"/>
        <v>2</v>
      </c>
      <c r="AS73" s="347">
        <v>4.7194E-2</v>
      </c>
      <c r="AT73" s="339">
        <f>ROUND(((AT72*SUM($AQ$10:AQ72))+(AS73*AQ73))/SUM($AQ$10:AQ73),5)</f>
        <v>3.5270000000000003E-2</v>
      </c>
      <c r="AU73" s="348">
        <v>27.77</v>
      </c>
      <c r="BB73" s="352"/>
      <c r="BC73" s="348"/>
      <c r="BE73" s="335">
        <f t="shared" si="16"/>
        <v>34243</v>
      </c>
      <c r="BF73" s="335">
        <v>34247</v>
      </c>
      <c r="BG73" s="317">
        <f t="shared" ref="BG73:BG136" si="33">BF73-BE73</f>
        <v>4</v>
      </c>
      <c r="BH73" s="336">
        <v>3.1E-2</v>
      </c>
      <c r="BI73" s="337">
        <f t="shared" si="29"/>
        <v>10191.780000000001</v>
      </c>
      <c r="BJ73" s="338"/>
      <c r="BK73" s="341"/>
      <c r="BL73" s="338"/>
      <c r="BM73" s="338"/>
      <c r="BO73" s="335">
        <f t="shared" si="17"/>
        <v>36195</v>
      </c>
      <c r="BP73" s="345">
        <v>36202</v>
      </c>
      <c r="BQ73" s="317">
        <f t="shared" ref="BQ73:BQ120" si="34">BP73-BO73</f>
        <v>7</v>
      </c>
      <c r="BR73" s="346">
        <v>2.23E-2</v>
      </c>
      <c r="BS73" s="337">
        <f t="shared" si="32"/>
        <v>7270.41</v>
      </c>
      <c r="BW73" s="335">
        <f t="shared" si="18"/>
        <v>36426</v>
      </c>
      <c r="BX73" s="345">
        <v>36433</v>
      </c>
      <c r="BY73" s="317">
        <f t="shared" ref="BY73:BY136" si="35">BX73-BW73</f>
        <v>7</v>
      </c>
      <c r="BZ73" s="347">
        <v>3.78E-2</v>
      </c>
      <c r="CA73" s="337">
        <f t="shared" ref="CA73:CA90" si="36">ROUND($CA$5*BZ73*BY73/365,2)</f>
        <v>36246.58</v>
      </c>
      <c r="CD73" s="335">
        <f t="shared" si="19"/>
        <v>36426</v>
      </c>
      <c r="CE73" s="345">
        <v>36433</v>
      </c>
      <c r="CF73" s="317">
        <f t="shared" ref="CF73:CF136" si="37">CE73-CD73</f>
        <v>7</v>
      </c>
      <c r="CG73" s="347">
        <v>3.78E-2</v>
      </c>
      <c r="CH73" s="337">
        <f t="shared" ref="CH73:CH90" si="38">ROUND($CA$5*CG73*CF73/365,2)</f>
        <v>36246.58</v>
      </c>
      <c r="CL73" s="335">
        <f t="shared" si="20"/>
        <v>37119</v>
      </c>
      <c r="CM73" s="345">
        <v>37126</v>
      </c>
      <c r="CN73" s="317">
        <f>CM73-CL73</f>
        <v>7</v>
      </c>
      <c r="CO73" s="346">
        <v>2.3199999999999998E-2</v>
      </c>
      <c r="CP73" s="346"/>
      <c r="CQ73" s="346"/>
      <c r="CR73" s="346"/>
      <c r="CS73" s="346"/>
      <c r="CT73" s="346"/>
      <c r="CU73" s="346"/>
      <c r="CV73" s="337">
        <f t="shared" si="30"/>
        <v>37078.370000000003</v>
      </c>
    </row>
    <row r="74" spans="1:101" hidden="1" x14ac:dyDescent="0.25">
      <c r="A74" s="335">
        <f t="shared" si="21"/>
        <v>34248</v>
      </c>
      <c r="B74" s="335">
        <v>34249</v>
      </c>
      <c r="C74" s="317">
        <f t="shared" ref="C74:C137" si="39">B74-A74</f>
        <v>1</v>
      </c>
      <c r="D74" s="317"/>
      <c r="E74" s="336">
        <v>2.5020000000000001E-2</v>
      </c>
      <c r="F74" s="339">
        <f>ROUND(((F73*SUM($C$10:C73))+(E74*C74))/SUM($C$10:C74),5)</f>
        <v>2.478E-2</v>
      </c>
      <c r="G74" s="340">
        <v>68.099999999999994</v>
      </c>
      <c r="I74" s="335">
        <f t="shared" si="22"/>
        <v>34249</v>
      </c>
      <c r="J74" s="335">
        <v>34255</v>
      </c>
      <c r="K74" s="317">
        <f t="shared" ref="K74:K137" si="40">J74-I74</f>
        <v>6</v>
      </c>
      <c r="L74" s="317"/>
      <c r="M74" s="336">
        <v>2.3259999999999999E-2</v>
      </c>
      <c r="N74" s="339">
        <f>ROUND(((N73*SUM($K$10:K73))+(M74*K74))/SUM($K$10:K74),5)</f>
        <v>2.487E-2</v>
      </c>
      <c r="O74" s="340">
        <v>89.2</v>
      </c>
      <c r="Q74" s="335">
        <f t="shared" si="23"/>
        <v>34667</v>
      </c>
      <c r="R74" s="353">
        <v>34669</v>
      </c>
      <c r="S74" s="317">
        <f t="shared" ref="S74:S137" si="41">R74-Q74</f>
        <v>2</v>
      </c>
      <c r="U74" s="339">
        <v>3.7080000000000002E-2</v>
      </c>
      <c r="V74" s="339">
        <f>ROUND(((V73*SUM($S$10:S73))+(U74*S74))/SUM($S$10:S74),5)</f>
        <v>2.8150000000000001E-2</v>
      </c>
      <c r="W74" s="351">
        <v>87.8</v>
      </c>
      <c r="Y74" s="335">
        <f t="shared" si="24"/>
        <v>36319</v>
      </c>
      <c r="Z74" s="345">
        <v>36325</v>
      </c>
      <c r="AA74" s="317">
        <f t="shared" ref="AA74:AA137" si="42">Z74-Y74</f>
        <v>6</v>
      </c>
      <c r="AC74" s="346">
        <v>3.1660000000000001E-2</v>
      </c>
      <c r="AD74" s="339">
        <f>ROUND(((AD73*SUM($AA$10:AA73))+(AC74*AA74))/SUM($AA$10:AA74),5)</f>
        <v>3.5150000000000001E-2</v>
      </c>
      <c r="AE74" s="348">
        <v>58.7</v>
      </c>
      <c r="AG74" s="335">
        <f t="shared" si="25"/>
        <v>37063</v>
      </c>
      <c r="AH74" s="345">
        <v>37084</v>
      </c>
      <c r="AI74" s="317">
        <f t="shared" ref="AI74:AI81" si="43">AH74-AG74</f>
        <v>21</v>
      </c>
      <c r="AK74" s="346">
        <v>4.4347999999999999E-2</v>
      </c>
      <c r="AL74" s="339">
        <f>ROUND(((AL73*SUM($AI$10:AI73))+(AK74*AI74))/SUM($AI$10:AI74),5)</f>
        <v>3.8370000000000001E-2</v>
      </c>
      <c r="AM74" s="348">
        <v>99.98</v>
      </c>
      <c r="AO74" s="335">
        <f t="shared" si="26"/>
        <v>36651</v>
      </c>
      <c r="AP74" s="345">
        <v>36654</v>
      </c>
      <c r="AQ74" s="317">
        <f t="shared" si="31"/>
        <v>3</v>
      </c>
      <c r="AS74" s="347">
        <v>4.9993000000000003E-2</v>
      </c>
      <c r="AT74" s="339">
        <f>ROUND(((AT73*SUM($AQ$10:AQ73))+(AS74*AQ74))/SUM($AQ$10:AQ74),5)</f>
        <v>3.5319999999999997E-2</v>
      </c>
      <c r="AU74" s="348">
        <v>30.57</v>
      </c>
      <c r="BB74" s="352"/>
      <c r="BC74" s="348"/>
      <c r="BE74" s="335">
        <f t="shared" ref="BE74:BE137" si="44">BF73</f>
        <v>34247</v>
      </c>
      <c r="BF74" s="335">
        <v>34254</v>
      </c>
      <c r="BG74" s="317">
        <f t="shared" si="33"/>
        <v>7</v>
      </c>
      <c r="BH74" s="336">
        <v>2.5500000000000002E-2</v>
      </c>
      <c r="BI74" s="337">
        <f t="shared" si="29"/>
        <v>14671.23</v>
      </c>
      <c r="BJ74" s="338"/>
      <c r="BK74" s="341"/>
      <c r="BL74" s="338"/>
      <c r="BM74" s="338"/>
      <c r="BO74" s="335">
        <f t="shared" ref="BO74:BO137" si="45">BP73</f>
        <v>36202</v>
      </c>
      <c r="BP74" s="345">
        <v>36209</v>
      </c>
      <c r="BQ74" s="317">
        <f t="shared" si="34"/>
        <v>7</v>
      </c>
      <c r="BR74" s="346">
        <v>2.1700000000000001E-2</v>
      </c>
      <c r="BS74" s="337">
        <f t="shared" si="32"/>
        <v>7074.79</v>
      </c>
      <c r="BW74" s="335">
        <f>BX73</f>
        <v>36433</v>
      </c>
      <c r="BX74" s="345">
        <v>36434</v>
      </c>
      <c r="BY74" s="317">
        <f t="shared" si="35"/>
        <v>1</v>
      </c>
      <c r="BZ74" s="347">
        <v>3.7699999999999997E-2</v>
      </c>
      <c r="CA74" s="337">
        <f t="shared" si="36"/>
        <v>5164.38</v>
      </c>
      <c r="CB74" s="341">
        <f>SUM(CA69:CA74)</f>
        <v>139630.14000000001</v>
      </c>
      <c r="CD74" s="335">
        <f>CE73</f>
        <v>36433</v>
      </c>
      <c r="CE74" s="345">
        <v>36434</v>
      </c>
      <c r="CF74" s="317">
        <f t="shared" si="37"/>
        <v>1</v>
      </c>
      <c r="CG74" s="347">
        <v>3.7699999999999997E-2</v>
      </c>
      <c r="CH74" s="337">
        <f t="shared" si="38"/>
        <v>5164.38</v>
      </c>
      <c r="CI74" s="341">
        <f>SUM(CH68:CH74)</f>
        <v>139630.14000000001</v>
      </c>
      <c r="CL74" s="335">
        <f t="shared" ref="CL74:CL137" si="46">CM73</f>
        <v>37126</v>
      </c>
      <c r="CM74" s="345">
        <v>37133</v>
      </c>
      <c r="CN74" s="317">
        <f>CM74-CL74</f>
        <v>7</v>
      </c>
      <c r="CO74" s="346">
        <v>2.1000000000000001E-2</v>
      </c>
      <c r="CP74" s="346"/>
      <c r="CQ74" s="346"/>
      <c r="CR74" s="346"/>
      <c r="CS74" s="346"/>
      <c r="CT74" s="346"/>
      <c r="CU74" s="346"/>
      <c r="CV74" s="337">
        <f t="shared" si="30"/>
        <v>33562.32</v>
      </c>
    </row>
    <row r="75" spans="1:101" hidden="1" x14ac:dyDescent="0.25">
      <c r="A75" s="335">
        <f t="shared" ref="A75:A138" si="47">B74</f>
        <v>34249</v>
      </c>
      <c r="B75" s="335">
        <v>34250</v>
      </c>
      <c r="C75" s="317">
        <f t="shared" si="39"/>
        <v>1</v>
      </c>
      <c r="D75" s="317"/>
      <c r="E75" s="336">
        <v>2.5010000000000001E-2</v>
      </c>
      <c r="F75" s="339">
        <f>ROUND(((F74*SUM($C$10:C74))+(E75*C75))/SUM($C$10:C75),5)</f>
        <v>2.478E-2</v>
      </c>
      <c r="G75" s="340">
        <v>63.9</v>
      </c>
      <c r="I75" s="335">
        <f t="shared" ref="I75:I138" si="48">J74</f>
        <v>34255</v>
      </c>
      <c r="J75" s="335">
        <v>34256</v>
      </c>
      <c r="K75" s="317">
        <f t="shared" si="40"/>
        <v>1</v>
      </c>
      <c r="L75" s="317"/>
      <c r="M75" s="336">
        <v>2.3550000000000001E-2</v>
      </c>
      <c r="N75" s="339">
        <f>ROUND(((N74*SUM($K$10:K74))+(M75*K75))/SUM($K$10:K75),5)</f>
        <v>2.487E-2</v>
      </c>
      <c r="O75" s="340">
        <v>93.5</v>
      </c>
      <c r="Q75" s="335">
        <f t="shared" ref="Q75:Q138" si="49">R74</f>
        <v>34669</v>
      </c>
      <c r="R75" s="353">
        <v>34670</v>
      </c>
      <c r="S75" s="317">
        <f t="shared" si="41"/>
        <v>1</v>
      </c>
      <c r="U75" s="339">
        <v>3.7019999999999997E-2</v>
      </c>
      <c r="V75" s="339">
        <f>ROUND(((V74*SUM($S$10:S74))+(U75*S75))/SUM($S$10:S75),5)</f>
        <v>2.8170000000000001E-2</v>
      </c>
      <c r="W75" s="351">
        <v>88.8</v>
      </c>
      <c r="Y75" s="335">
        <f t="shared" ref="Y75:Y138" si="50">Z74</f>
        <v>36325</v>
      </c>
      <c r="Z75" s="345">
        <v>36326</v>
      </c>
      <c r="AA75" s="317">
        <f t="shared" si="42"/>
        <v>1</v>
      </c>
      <c r="AC75" s="346">
        <v>3.2570000000000002E-2</v>
      </c>
      <c r="AD75" s="339">
        <f>ROUND(((AD74*SUM($AA$10:AA74))+(AC75*AA75))/SUM($AA$10:AA75),5)</f>
        <v>3.5150000000000001E-2</v>
      </c>
      <c r="AE75" s="348">
        <v>111.8</v>
      </c>
      <c r="AG75" s="335">
        <f t="shared" ref="AG75:AG81" si="51">AH74</f>
        <v>37084</v>
      </c>
      <c r="AH75" s="345">
        <v>37119</v>
      </c>
      <c r="AI75" s="317">
        <f t="shared" si="43"/>
        <v>35</v>
      </c>
      <c r="AK75" s="346">
        <v>3.6303000000000002E-2</v>
      </c>
      <c r="AL75" s="339">
        <f>ROUND(((AL74*SUM($AI$10:AI74))+(AK75*AI75))/SUM($AI$10:AI75),5)</f>
        <v>3.8330000000000003E-2</v>
      </c>
      <c r="AM75" s="348">
        <v>90.44</v>
      </c>
      <c r="AO75" s="335">
        <f t="shared" ref="AO75:AO117" si="52">AP74</f>
        <v>36654</v>
      </c>
      <c r="AP75" s="345">
        <v>36679</v>
      </c>
      <c r="AQ75" s="317">
        <f t="shared" si="31"/>
        <v>25</v>
      </c>
      <c r="AS75" s="347">
        <v>5.2469000000000002E-2</v>
      </c>
      <c r="AT75" s="339">
        <f>ROUND(((AT74*SUM($AQ$10:AQ74))+(AS75*AQ75))/SUM($AQ$10:AQ75),5)</f>
        <v>3.5779999999999999E-2</v>
      </c>
      <c r="AU75" s="348">
        <v>34.29</v>
      </c>
      <c r="BB75" s="352"/>
      <c r="BC75" s="348"/>
      <c r="BE75" s="335">
        <f t="shared" si="44"/>
        <v>34254</v>
      </c>
      <c r="BF75" s="335">
        <v>34261</v>
      </c>
      <c r="BG75" s="317">
        <f t="shared" si="33"/>
        <v>7</v>
      </c>
      <c r="BH75" s="336">
        <v>2.47E-2</v>
      </c>
      <c r="BI75" s="337">
        <f t="shared" si="29"/>
        <v>14210.96</v>
      </c>
      <c r="BJ75" s="338"/>
      <c r="BK75" s="341"/>
      <c r="BL75" s="338"/>
      <c r="BM75" s="338"/>
      <c r="BO75" s="335">
        <f t="shared" si="45"/>
        <v>36209</v>
      </c>
      <c r="BP75" s="345">
        <v>36216</v>
      </c>
      <c r="BQ75" s="317">
        <f t="shared" si="34"/>
        <v>7</v>
      </c>
      <c r="BR75" s="346">
        <v>2.7900000000000001E-2</v>
      </c>
      <c r="BS75" s="337">
        <f t="shared" si="32"/>
        <v>9096.16</v>
      </c>
      <c r="BW75" s="335">
        <f>BX74</f>
        <v>36434</v>
      </c>
      <c r="BX75" s="345">
        <v>36440</v>
      </c>
      <c r="BY75" s="317">
        <f t="shared" si="35"/>
        <v>6</v>
      </c>
      <c r="BZ75" s="347">
        <v>3.7699999999999997E-2</v>
      </c>
      <c r="CA75" s="337">
        <f t="shared" si="36"/>
        <v>30986.3</v>
      </c>
      <c r="CD75" s="335">
        <f t="shared" ref="CD75:CD138" si="53">CE74</f>
        <v>36434</v>
      </c>
      <c r="CE75" s="345">
        <v>36440</v>
      </c>
      <c r="CF75" s="317">
        <f t="shared" si="37"/>
        <v>6</v>
      </c>
      <c r="CG75" s="347">
        <v>3.7699999999999997E-2</v>
      </c>
      <c r="CH75" s="337">
        <f t="shared" si="38"/>
        <v>30986.3</v>
      </c>
      <c r="CL75" s="335">
        <f t="shared" si="46"/>
        <v>37133</v>
      </c>
      <c r="CM75" s="345">
        <v>37135</v>
      </c>
      <c r="CN75" s="317">
        <f>CM75-CL75</f>
        <v>2</v>
      </c>
      <c r="CO75" s="346">
        <v>2.01E-2</v>
      </c>
      <c r="CP75" s="346"/>
      <c r="CQ75" s="346"/>
      <c r="CR75" s="346"/>
      <c r="CS75" s="346"/>
      <c r="CT75" s="346"/>
      <c r="CU75" s="346"/>
      <c r="CV75" s="337">
        <f t="shared" si="30"/>
        <v>9178.27</v>
      </c>
      <c r="CW75" s="341">
        <f>SUM(CV70:CV75)</f>
        <v>159523.75</v>
      </c>
    </row>
    <row r="76" spans="1:101" hidden="1" x14ac:dyDescent="0.25">
      <c r="A76" s="335">
        <f t="shared" si="47"/>
        <v>34250</v>
      </c>
      <c r="B76" s="335">
        <v>34255</v>
      </c>
      <c r="C76" s="317">
        <f t="shared" si="39"/>
        <v>5</v>
      </c>
      <c r="D76" s="317"/>
      <c r="E76" s="336">
        <v>2.5010000000000001E-2</v>
      </c>
      <c r="F76" s="339">
        <f>ROUND(((F75*SUM($C$10:C75))+(E76*C76))/SUM($C$10:C76),5)</f>
        <v>2.478E-2</v>
      </c>
      <c r="G76" s="340">
        <v>63.6</v>
      </c>
      <c r="I76" s="335">
        <f t="shared" si="48"/>
        <v>34256</v>
      </c>
      <c r="J76" s="335">
        <v>34261</v>
      </c>
      <c r="K76" s="317">
        <f t="shared" si="40"/>
        <v>5</v>
      </c>
      <c r="L76" s="317"/>
      <c r="M76" s="336">
        <v>2.3519999999999999E-2</v>
      </c>
      <c r="N76" s="339">
        <f>ROUND(((N75*SUM($K$10:K75))+(M76*K76))/SUM($K$10:K76),5)</f>
        <v>2.4850000000000001E-2</v>
      </c>
      <c r="O76" s="340">
        <v>92.4</v>
      </c>
      <c r="Q76" s="335">
        <f t="shared" si="49"/>
        <v>34670</v>
      </c>
      <c r="R76" s="353">
        <v>34675</v>
      </c>
      <c r="S76" s="317">
        <f t="shared" si="41"/>
        <v>5</v>
      </c>
      <c r="U76" s="339">
        <v>3.7069999999999999E-2</v>
      </c>
      <c r="V76" s="339">
        <f>ROUND(((V75*SUM($S$10:S75))+(U76*S76))/SUM($S$10:S76),5)</f>
        <v>2.827E-2</v>
      </c>
      <c r="W76" s="351">
        <v>90.2</v>
      </c>
      <c r="Y76" s="335">
        <f t="shared" si="50"/>
        <v>36326</v>
      </c>
      <c r="Z76" s="345">
        <v>36327</v>
      </c>
      <c r="AA76" s="317">
        <f t="shared" si="42"/>
        <v>1</v>
      </c>
      <c r="AC76" s="346">
        <v>3.2617E-2</v>
      </c>
      <c r="AD76" s="339">
        <f>ROUND(((AD75*SUM($AA$10:AA75))+(AC76*AA76))/SUM($AA$10:AA76),5)</f>
        <v>3.5150000000000001E-2</v>
      </c>
      <c r="AE76" s="348">
        <v>117</v>
      </c>
      <c r="AG76" s="335">
        <f t="shared" si="51"/>
        <v>37119</v>
      </c>
      <c r="AH76" s="345">
        <v>37161</v>
      </c>
      <c r="AI76" s="317">
        <f t="shared" si="43"/>
        <v>42</v>
      </c>
      <c r="AK76" s="346">
        <v>2.9822000000000001E-2</v>
      </c>
      <c r="AL76" s="339">
        <f>ROUND(((AL75*SUM($AI$10:AI75))+(AK76*AI76))/SUM($AI$10:AI76),5)</f>
        <v>3.8129999999999997E-2</v>
      </c>
      <c r="AM76" s="348">
        <v>58.36</v>
      </c>
      <c r="AO76" s="335">
        <f t="shared" si="52"/>
        <v>36679</v>
      </c>
      <c r="AP76" s="345">
        <v>36685</v>
      </c>
      <c r="AQ76" s="317">
        <f t="shared" si="31"/>
        <v>6</v>
      </c>
      <c r="AS76" s="346">
        <v>5.0672000000000002E-2</v>
      </c>
      <c r="AT76" s="339">
        <f>ROUND(((AT75*SUM($AQ$10:AQ75))+(AS76*AQ76))/SUM($AQ$10:AQ76),5)</f>
        <v>3.5880000000000002E-2</v>
      </c>
      <c r="AU76" s="348">
        <v>36.14</v>
      </c>
      <c r="BB76" s="352"/>
      <c r="BC76" s="348"/>
      <c r="BE76" s="335">
        <f t="shared" si="44"/>
        <v>34261</v>
      </c>
      <c r="BF76" s="335">
        <v>34268</v>
      </c>
      <c r="BG76" s="317">
        <f t="shared" si="33"/>
        <v>7</v>
      </c>
      <c r="BH76" s="336">
        <v>2.3900000000000001E-2</v>
      </c>
      <c r="BI76" s="337">
        <f t="shared" si="29"/>
        <v>13750.68</v>
      </c>
      <c r="BJ76" s="338"/>
      <c r="BK76" s="341"/>
      <c r="BL76" s="338"/>
      <c r="BM76" s="338"/>
      <c r="BO76" s="335">
        <f t="shared" si="45"/>
        <v>36216</v>
      </c>
      <c r="BP76" s="345">
        <v>36220</v>
      </c>
      <c r="BQ76" s="317">
        <f t="shared" si="34"/>
        <v>4</v>
      </c>
      <c r="BR76" s="346">
        <v>2.92E-2</v>
      </c>
      <c r="BS76" s="337">
        <f t="shared" si="32"/>
        <v>5440</v>
      </c>
      <c r="BT76" s="341">
        <f>SUM(BS72:BS76)</f>
        <v>32681.91</v>
      </c>
      <c r="BW76" s="335">
        <f>BX75</f>
        <v>36440</v>
      </c>
      <c r="BX76" s="345">
        <v>36447</v>
      </c>
      <c r="BY76" s="317">
        <f t="shared" si="35"/>
        <v>7</v>
      </c>
      <c r="BZ76" s="346">
        <v>3.1800000000000002E-2</v>
      </c>
      <c r="CA76" s="337">
        <f t="shared" si="36"/>
        <v>30493.15</v>
      </c>
      <c r="CD76" s="335">
        <f t="shared" si="53"/>
        <v>36440</v>
      </c>
      <c r="CE76" s="345">
        <v>36447</v>
      </c>
      <c r="CF76" s="317">
        <f t="shared" si="37"/>
        <v>7</v>
      </c>
      <c r="CG76" s="347">
        <v>3.1800000000000002E-2</v>
      </c>
      <c r="CH76" s="337">
        <f t="shared" si="38"/>
        <v>30493.15</v>
      </c>
      <c r="CL76" s="335">
        <f t="shared" si="46"/>
        <v>37135</v>
      </c>
      <c r="CM76" s="345">
        <v>37140</v>
      </c>
      <c r="CN76" s="317">
        <f t="shared" ref="CN76:CN93" si="54">CM76-CL76</f>
        <v>5</v>
      </c>
      <c r="CO76" s="346">
        <v>2.01E-2</v>
      </c>
      <c r="CP76" s="346"/>
      <c r="CQ76" s="346"/>
      <c r="CR76" s="346"/>
      <c r="CS76" s="346"/>
      <c r="CT76" s="346"/>
      <c r="CU76" s="346"/>
      <c r="CV76" s="337">
        <f t="shared" si="30"/>
        <v>22945.66</v>
      </c>
    </row>
    <row r="77" spans="1:101" hidden="1" x14ac:dyDescent="0.25">
      <c r="A77" s="335">
        <f t="shared" si="47"/>
        <v>34255</v>
      </c>
      <c r="B77" s="335">
        <v>34256</v>
      </c>
      <c r="C77" s="317">
        <f t="shared" si="39"/>
        <v>1</v>
      </c>
      <c r="D77" s="317"/>
      <c r="E77" s="336">
        <v>2.5010000000000001E-2</v>
      </c>
      <c r="F77" s="339">
        <f>ROUND(((F76*SUM($C$10:C76))+(E77*C77))/SUM($C$10:C77),5)</f>
        <v>2.478E-2</v>
      </c>
      <c r="G77" s="340">
        <v>63.8</v>
      </c>
      <c r="I77" s="335">
        <f t="shared" si="48"/>
        <v>34261</v>
      </c>
      <c r="J77" s="335">
        <v>34263</v>
      </c>
      <c r="K77" s="317">
        <f t="shared" si="40"/>
        <v>2</v>
      </c>
      <c r="L77" s="317"/>
      <c r="M77" s="336">
        <v>2.3910000000000001E-2</v>
      </c>
      <c r="N77" s="339">
        <f>ROUND(((N76*SUM($K$10:K76))+(M77*K77))/SUM($K$10:K77),5)</f>
        <v>2.4850000000000001E-2</v>
      </c>
      <c r="O77" s="340">
        <v>87.3</v>
      </c>
      <c r="Q77" s="335">
        <f t="shared" si="49"/>
        <v>34675</v>
      </c>
      <c r="R77" s="353">
        <v>34688</v>
      </c>
      <c r="S77" s="317">
        <f t="shared" si="41"/>
        <v>13</v>
      </c>
      <c r="U77" s="339">
        <v>3.7100000000000001E-2</v>
      </c>
      <c r="V77" s="339">
        <f>ROUND(((V76*SUM($S$10:S76))+(U77*S77))/SUM($S$10:S77),5)</f>
        <v>2.8510000000000001E-2</v>
      </c>
      <c r="W77" s="351">
        <v>90.7</v>
      </c>
      <c r="Y77" s="335">
        <f t="shared" si="50"/>
        <v>36327</v>
      </c>
      <c r="Z77" s="345">
        <v>36339</v>
      </c>
      <c r="AA77" s="317">
        <f t="shared" si="42"/>
        <v>12</v>
      </c>
      <c r="AC77" s="346">
        <v>3.2606999999999997E-2</v>
      </c>
      <c r="AD77" s="339">
        <f>ROUND(((AD76*SUM($AA$10:AA76))+(AC77*AA77))/SUM($AA$10:AA77),5)</f>
        <v>3.5119999999999998E-2</v>
      </c>
      <c r="AE77" s="348">
        <v>127.7</v>
      </c>
      <c r="AG77" s="335">
        <f t="shared" si="51"/>
        <v>37161</v>
      </c>
      <c r="AH77" s="345"/>
      <c r="AI77" s="317">
        <f t="shared" si="43"/>
        <v>-37161</v>
      </c>
      <c r="AK77" s="346"/>
      <c r="AL77" s="339">
        <f>ROUND(((AL76*SUM($AI$10:AI76))+(AK77*AI77))/SUM($AI$10:AI77),5)</f>
        <v>-1.9599999999999999E-3</v>
      </c>
      <c r="AM77" s="348"/>
      <c r="AO77" s="335">
        <f t="shared" si="52"/>
        <v>36685</v>
      </c>
      <c r="AP77" s="345">
        <v>36686</v>
      </c>
      <c r="AQ77" s="317">
        <f t="shared" si="31"/>
        <v>1</v>
      </c>
      <c r="AS77" s="346">
        <v>4.7058000000000003E-2</v>
      </c>
      <c r="AT77" s="339">
        <f>ROUND(((AT76*SUM($AQ$10:AQ76))+(AS77*AQ77))/SUM($AQ$10:AQ77),5)</f>
        <v>3.5889999999999998E-2</v>
      </c>
      <c r="AU77" s="348">
        <v>37</v>
      </c>
      <c r="BB77" s="352"/>
      <c r="BC77" s="348"/>
      <c r="BE77" s="335">
        <f t="shared" si="44"/>
        <v>34268</v>
      </c>
      <c r="BF77" s="335">
        <v>34274</v>
      </c>
      <c r="BG77" s="317">
        <f t="shared" si="33"/>
        <v>6</v>
      </c>
      <c r="BH77" s="336">
        <v>2.5500000000000002E-2</v>
      </c>
      <c r="BI77" s="337">
        <f t="shared" si="29"/>
        <v>12575.34</v>
      </c>
      <c r="BJ77" s="341">
        <f>SUM(BI73:BI77)</f>
        <v>65399.990000000005</v>
      </c>
      <c r="BK77" s="341">
        <v>63502.97</v>
      </c>
      <c r="BL77" s="341">
        <f>BJ77-BK77</f>
        <v>1897.0200000000041</v>
      </c>
      <c r="BM77" s="341">
        <f>BM72+BL77</f>
        <v>4165.8600000000042</v>
      </c>
      <c r="BO77" s="335">
        <f t="shared" si="45"/>
        <v>36220</v>
      </c>
      <c r="BP77" s="345">
        <v>36223</v>
      </c>
      <c r="BQ77" s="317">
        <f t="shared" si="34"/>
        <v>3</v>
      </c>
      <c r="BR77" s="346">
        <v>2.92E-2</v>
      </c>
      <c r="BS77" s="337">
        <f t="shared" si="32"/>
        <v>4080</v>
      </c>
      <c r="BW77" s="335">
        <f>BX76</f>
        <v>36447</v>
      </c>
      <c r="BX77" s="345">
        <v>36454</v>
      </c>
      <c r="BY77" s="317">
        <f t="shared" si="35"/>
        <v>7</v>
      </c>
      <c r="BZ77" s="346">
        <v>3.39E-2</v>
      </c>
      <c r="CA77" s="337">
        <f t="shared" si="36"/>
        <v>32506.85</v>
      </c>
      <c r="CD77" s="335">
        <f t="shared" si="53"/>
        <v>36447</v>
      </c>
      <c r="CE77" s="345">
        <v>36454</v>
      </c>
      <c r="CF77" s="317">
        <f t="shared" si="37"/>
        <v>7</v>
      </c>
      <c r="CG77" s="347">
        <v>3.39E-2</v>
      </c>
      <c r="CH77" s="337">
        <f t="shared" si="38"/>
        <v>32506.85</v>
      </c>
      <c r="CL77" s="335">
        <f t="shared" si="46"/>
        <v>37140</v>
      </c>
      <c r="CM77" s="345">
        <v>37147</v>
      </c>
      <c r="CN77" s="317">
        <f t="shared" si="54"/>
        <v>7</v>
      </c>
      <c r="CO77" s="346">
        <v>2.1499999999999998E-2</v>
      </c>
      <c r="CP77" s="346"/>
      <c r="CQ77" s="346"/>
      <c r="CR77" s="346"/>
      <c r="CS77" s="346"/>
      <c r="CT77" s="346"/>
      <c r="CU77" s="346"/>
      <c r="CV77" s="337">
        <f t="shared" si="30"/>
        <v>34361.42</v>
      </c>
    </row>
    <row r="78" spans="1:101" hidden="1" x14ac:dyDescent="0.25">
      <c r="A78" s="335">
        <f t="shared" si="47"/>
        <v>34256</v>
      </c>
      <c r="B78" s="335">
        <v>34257</v>
      </c>
      <c r="C78" s="317">
        <f t="shared" si="39"/>
        <v>1</v>
      </c>
      <c r="D78" s="317"/>
      <c r="E78" s="336">
        <v>2.494E-2</v>
      </c>
      <c r="F78" s="339">
        <f>ROUND(((F77*SUM($C$10:C77))+(E78*C78))/SUM($C$10:C78),5)</f>
        <v>2.478E-2</v>
      </c>
      <c r="G78" s="340">
        <v>61.9</v>
      </c>
      <c r="I78" s="335">
        <f t="shared" si="48"/>
        <v>34263</v>
      </c>
      <c r="J78" s="335">
        <v>34264</v>
      </c>
      <c r="K78" s="317">
        <f t="shared" si="40"/>
        <v>1</v>
      </c>
      <c r="L78" s="317"/>
      <c r="M78" s="336">
        <v>2.4080000000000001E-2</v>
      </c>
      <c r="N78" s="339">
        <f>ROUND(((N77*SUM($K$10:K77))+(M78*K78))/SUM($K$10:K78),5)</f>
        <v>2.4850000000000001E-2</v>
      </c>
      <c r="O78" s="340">
        <v>79.2</v>
      </c>
      <c r="Q78" s="335">
        <f t="shared" si="49"/>
        <v>34688</v>
      </c>
      <c r="R78" s="353">
        <v>34702</v>
      </c>
      <c r="S78" s="317">
        <f t="shared" si="41"/>
        <v>14</v>
      </c>
      <c r="U78" s="339">
        <v>3.7400000000000003E-2</v>
      </c>
      <c r="V78" s="339">
        <f>ROUND(((V77*SUM($S$10:S77))+(U78*S78))/SUM($S$10:S78),5)</f>
        <v>2.8760000000000001E-2</v>
      </c>
      <c r="W78" s="351">
        <v>89.8</v>
      </c>
      <c r="Y78" s="335">
        <f t="shared" si="50"/>
        <v>36339</v>
      </c>
      <c r="Z78" s="345">
        <v>36342</v>
      </c>
      <c r="AA78" s="317">
        <f t="shared" si="42"/>
        <v>3</v>
      </c>
      <c r="AC78" s="346">
        <v>3.2785000000000002E-2</v>
      </c>
      <c r="AD78" s="339">
        <f>ROUND(((AD77*SUM($AA$10:AA77))+(AC78*AA78))/SUM($AA$10:AA78),5)</f>
        <v>3.5110000000000002E-2</v>
      </c>
      <c r="AE78" s="348">
        <v>126.4</v>
      </c>
      <c r="AG78" s="335">
        <f t="shared" si="51"/>
        <v>0</v>
      </c>
      <c r="AH78" s="345"/>
      <c r="AI78" s="317">
        <f t="shared" si="43"/>
        <v>0</v>
      </c>
      <c r="AK78" s="346"/>
      <c r="AL78" s="339">
        <f>ROUND(((AL77*SUM($AI$10:AI77))+(AK78*AI78))/SUM($AI$10:AI78),5)</f>
        <v>-1.9599999999999999E-3</v>
      </c>
      <c r="AM78" s="348"/>
      <c r="AO78" s="335">
        <f t="shared" si="52"/>
        <v>36686</v>
      </c>
      <c r="AP78" s="345">
        <v>36698</v>
      </c>
      <c r="AQ78" s="317">
        <f t="shared" si="31"/>
        <v>12</v>
      </c>
      <c r="AS78" s="346">
        <v>4.4687999999999999E-2</v>
      </c>
      <c r="AT78" s="339">
        <f>ROUND(((AT77*SUM($AQ$10:AQ77))+(AS78*AQ78))/SUM($AQ$10:AQ78),5)</f>
        <v>3.5999999999999997E-2</v>
      </c>
      <c r="AU78" s="348">
        <v>36.4</v>
      </c>
      <c r="BB78" s="352"/>
      <c r="BC78" s="348"/>
      <c r="BE78" s="335">
        <f t="shared" si="44"/>
        <v>34274</v>
      </c>
      <c r="BF78" s="335">
        <v>34275</v>
      </c>
      <c r="BG78" s="317">
        <f t="shared" si="33"/>
        <v>1</v>
      </c>
      <c r="BH78" s="336">
        <v>2.5500000000000002E-2</v>
      </c>
      <c r="BI78" s="337">
        <f t="shared" si="29"/>
        <v>2095.89</v>
      </c>
      <c r="BJ78" s="338"/>
      <c r="BK78" s="341"/>
      <c r="BL78" s="338"/>
      <c r="BM78" s="338"/>
      <c r="BO78" s="335">
        <f t="shared" si="45"/>
        <v>36223</v>
      </c>
      <c r="BP78" s="345">
        <v>36230</v>
      </c>
      <c r="BQ78" s="317">
        <f t="shared" si="34"/>
        <v>7</v>
      </c>
      <c r="BR78" s="346">
        <v>2.6800000000000001E-2</v>
      </c>
      <c r="BS78" s="337">
        <f t="shared" si="32"/>
        <v>8737.5300000000007</v>
      </c>
      <c r="BW78" s="335">
        <f t="shared" ref="BW78:BW141" si="55">BX77</f>
        <v>36454</v>
      </c>
      <c r="BX78" s="345">
        <v>36461</v>
      </c>
      <c r="BY78" s="317">
        <f t="shared" si="35"/>
        <v>7</v>
      </c>
      <c r="BZ78" s="346">
        <v>3.3799999999999997E-2</v>
      </c>
      <c r="CA78" s="337">
        <f t="shared" si="36"/>
        <v>32410.959999999999</v>
      </c>
      <c r="CD78" s="335">
        <f t="shared" si="53"/>
        <v>36454</v>
      </c>
      <c r="CE78" s="345">
        <v>36461</v>
      </c>
      <c r="CF78" s="317">
        <f t="shared" si="37"/>
        <v>7</v>
      </c>
      <c r="CG78" s="347">
        <v>3.3799999999999997E-2</v>
      </c>
      <c r="CH78" s="337">
        <f t="shared" si="38"/>
        <v>32410.959999999999</v>
      </c>
      <c r="CL78" s="335">
        <f t="shared" si="46"/>
        <v>37147</v>
      </c>
      <c r="CM78" s="345">
        <v>37154</v>
      </c>
      <c r="CN78" s="317">
        <f t="shared" si="54"/>
        <v>7</v>
      </c>
      <c r="CO78" s="346">
        <v>2.1999999999999999E-2</v>
      </c>
      <c r="CP78" s="346"/>
      <c r="CQ78" s="346"/>
      <c r="CR78" s="346"/>
      <c r="CS78" s="346"/>
      <c r="CT78" s="346"/>
      <c r="CU78" s="346"/>
      <c r="CV78" s="337">
        <f t="shared" si="30"/>
        <v>35160.519999999997</v>
      </c>
    </row>
    <row r="79" spans="1:101" hidden="1" x14ac:dyDescent="0.25">
      <c r="A79" s="335">
        <f t="shared" si="47"/>
        <v>34257</v>
      </c>
      <c r="B79" s="335">
        <v>34267</v>
      </c>
      <c r="C79" s="317">
        <f t="shared" si="39"/>
        <v>10</v>
      </c>
      <c r="D79" s="317"/>
      <c r="E79" s="336">
        <v>2.5170000000000001E-2</v>
      </c>
      <c r="F79" s="339">
        <f>ROUND(((F78*SUM($C$10:C78))+(E79*C79))/SUM($C$10:C79),5)</f>
        <v>2.479E-2</v>
      </c>
      <c r="G79" s="340">
        <v>69.7</v>
      </c>
      <c r="I79" s="335">
        <f t="shared" si="48"/>
        <v>34264</v>
      </c>
      <c r="J79" s="335">
        <v>34267</v>
      </c>
      <c r="K79" s="317">
        <f t="shared" si="40"/>
        <v>3</v>
      </c>
      <c r="L79" s="317"/>
      <c r="M79" s="336">
        <v>2.444E-2</v>
      </c>
      <c r="N79" s="339">
        <f>ROUND(((N78*SUM($K$10:K78))+(M79*K79))/SUM($K$10:K79),5)</f>
        <v>2.4850000000000001E-2</v>
      </c>
      <c r="O79" s="340">
        <v>70.3</v>
      </c>
      <c r="Q79" s="335">
        <f t="shared" si="49"/>
        <v>34702</v>
      </c>
      <c r="R79" s="353">
        <v>34708</v>
      </c>
      <c r="S79" s="317">
        <f t="shared" si="41"/>
        <v>6</v>
      </c>
      <c r="U79" s="339">
        <v>3.7359999999999997E-2</v>
      </c>
      <c r="V79" s="339">
        <f>ROUND(((V78*SUM($S$10:S78))+(U79*S79))/SUM($S$10:S79),5)</f>
        <v>2.886E-2</v>
      </c>
      <c r="W79" s="351">
        <v>95.9</v>
      </c>
      <c r="Y79" s="335">
        <f t="shared" si="50"/>
        <v>36342</v>
      </c>
      <c r="Z79" s="345">
        <v>36354</v>
      </c>
      <c r="AA79" s="317">
        <f t="shared" si="42"/>
        <v>12</v>
      </c>
      <c r="AC79" s="346">
        <v>3.2812000000000001E-2</v>
      </c>
      <c r="AD79" s="339">
        <f>ROUND(((AD78*SUM($AA$10:AA78))+(AC79*AA79))/SUM($AA$10:AA79),5)</f>
        <v>3.508E-2</v>
      </c>
      <c r="AE79" s="348">
        <v>128.4</v>
      </c>
      <c r="AG79" s="335">
        <f t="shared" si="51"/>
        <v>0</v>
      </c>
      <c r="AH79" s="345"/>
      <c r="AI79" s="317">
        <f t="shared" si="43"/>
        <v>0</v>
      </c>
      <c r="AK79" s="346"/>
      <c r="AL79" s="339">
        <f>ROUND(((AL78*SUM($AI$10:AI78))+(AK79*AI79))/SUM($AI$10:AI79),5)</f>
        <v>-1.9599999999999999E-3</v>
      </c>
      <c r="AM79" s="348"/>
      <c r="AO79" s="335">
        <f t="shared" si="52"/>
        <v>36698</v>
      </c>
      <c r="AP79" s="345">
        <v>36714</v>
      </c>
      <c r="AQ79" s="317">
        <f t="shared" si="31"/>
        <v>16</v>
      </c>
      <c r="AS79" s="346">
        <v>4.4852000000000003E-2</v>
      </c>
      <c r="AT79" s="339">
        <f>ROUND(((AT78*SUM($AQ$10:AQ78))+(AS79*AQ79))/SUM($AQ$10:AQ79),5)</f>
        <v>3.6150000000000002E-2</v>
      </c>
      <c r="AU79" s="348">
        <v>33.4</v>
      </c>
      <c r="BB79" s="352"/>
      <c r="BC79" s="348"/>
      <c r="BE79" s="335">
        <f t="shared" si="44"/>
        <v>34275</v>
      </c>
      <c r="BF79" s="335">
        <v>34282</v>
      </c>
      <c r="BG79" s="317">
        <f t="shared" si="33"/>
        <v>7</v>
      </c>
      <c r="BH79" s="336">
        <v>2.41E-2</v>
      </c>
      <c r="BI79" s="337">
        <f t="shared" si="29"/>
        <v>13865.75</v>
      </c>
      <c r="BJ79" s="338"/>
      <c r="BK79" s="341"/>
      <c r="BL79" s="338"/>
      <c r="BM79" s="338"/>
      <c r="BO79" s="335">
        <f t="shared" si="45"/>
        <v>36230</v>
      </c>
      <c r="BP79" s="345">
        <v>36237</v>
      </c>
      <c r="BQ79" s="317">
        <f t="shared" si="34"/>
        <v>7</v>
      </c>
      <c r="BR79" s="346">
        <v>3.0800000000000001E-2</v>
      </c>
      <c r="BS79" s="337">
        <f t="shared" si="32"/>
        <v>10041.64</v>
      </c>
      <c r="BW79" s="335">
        <f t="shared" si="55"/>
        <v>36461</v>
      </c>
      <c r="BX79" s="345">
        <v>36465</v>
      </c>
      <c r="BY79" s="317">
        <f t="shared" si="35"/>
        <v>4</v>
      </c>
      <c r="BZ79" s="346">
        <v>3.4700000000000002E-2</v>
      </c>
      <c r="CA79" s="337">
        <f t="shared" si="36"/>
        <v>19013.7</v>
      </c>
      <c r="CB79" s="341">
        <f>SUM(CA75:CA79)</f>
        <v>145410.96</v>
      </c>
      <c r="CD79" s="335">
        <f t="shared" si="53"/>
        <v>36461</v>
      </c>
      <c r="CE79" s="345">
        <v>36465</v>
      </c>
      <c r="CF79" s="317">
        <f t="shared" si="37"/>
        <v>4</v>
      </c>
      <c r="CG79" s="347">
        <v>3.4700000000000002E-2</v>
      </c>
      <c r="CH79" s="337">
        <f t="shared" si="38"/>
        <v>19013.7</v>
      </c>
      <c r="CI79" s="341">
        <f>SUM(CH75:CH79)</f>
        <v>145410.96</v>
      </c>
      <c r="CL79" s="335">
        <f t="shared" si="46"/>
        <v>37154</v>
      </c>
      <c r="CM79" s="345">
        <v>37161</v>
      </c>
      <c r="CN79" s="317">
        <f t="shared" si="54"/>
        <v>7</v>
      </c>
      <c r="CO79" s="346">
        <v>2.1100000000000001E-2</v>
      </c>
      <c r="CP79" s="346"/>
      <c r="CQ79" s="346"/>
      <c r="CR79" s="346"/>
      <c r="CS79" s="346"/>
      <c r="CT79" s="346"/>
      <c r="CU79" s="346"/>
      <c r="CV79" s="337">
        <f t="shared" si="30"/>
        <v>33722.14</v>
      </c>
    </row>
    <row r="80" spans="1:101" hidden="1" x14ac:dyDescent="0.25">
      <c r="A80" s="335">
        <f t="shared" si="47"/>
        <v>34267</v>
      </c>
      <c r="B80" s="335">
        <v>34269</v>
      </c>
      <c r="C80" s="317">
        <f t="shared" si="39"/>
        <v>2</v>
      </c>
      <c r="D80" s="317"/>
      <c r="E80" s="336">
        <v>2.5319999999999999E-2</v>
      </c>
      <c r="F80" s="339">
        <f>ROUND(((F79*SUM($C$10:C79))+(E80*C80))/SUM($C$10:C80),5)</f>
        <v>2.479E-2</v>
      </c>
      <c r="G80" s="340">
        <v>75.3</v>
      </c>
      <c r="I80" s="335">
        <f t="shared" si="48"/>
        <v>34267</v>
      </c>
      <c r="J80" s="335">
        <v>34268</v>
      </c>
      <c r="K80" s="317">
        <f t="shared" si="40"/>
        <v>1</v>
      </c>
      <c r="L80" s="317"/>
      <c r="M80" s="336">
        <v>2.4920000000000001E-2</v>
      </c>
      <c r="N80" s="339">
        <f>ROUND(((N79*SUM($K$10:K79))+(M80*K80))/SUM($K$10:K80),5)</f>
        <v>2.4850000000000001E-2</v>
      </c>
      <c r="O80" s="340">
        <v>62.6</v>
      </c>
      <c r="Q80" s="335">
        <f t="shared" si="49"/>
        <v>34708</v>
      </c>
      <c r="R80" s="353">
        <v>34719</v>
      </c>
      <c r="S80" s="317">
        <f t="shared" si="41"/>
        <v>11</v>
      </c>
      <c r="U80" s="339">
        <v>3.7330000000000002E-2</v>
      </c>
      <c r="V80" s="339">
        <f>ROUND(((V79*SUM($S$10:S79))+(U80*S80))/SUM($S$10:S80),5)</f>
        <v>2.904E-2</v>
      </c>
      <c r="W80" s="351">
        <v>95.7</v>
      </c>
      <c r="Y80" s="335">
        <f t="shared" si="50"/>
        <v>36354</v>
      </c>
      <c r="Z80" s="345">
        <v>36382</v>
      </c>
      <c r="AA80" s="317">
        <f t="shared" si="42"/>
        <v>28</v>
      </c>
      <c r="AC80" s="346">
        <v>3.2929E-2</v>
      </c>
      <c r="AD80" s="339">
        <f>ROUND(((AD79*SUM($AA$10:AA79))+(AC80*AA80))/SUM($AA$10:AA80),5)</f>
        <v>3.5020000000000003E-2</v>
      </c>
      <c r="AE80" s="348">
        <v>139.9</v>
      </c>
      <c r="AG80" s="335">
        <f t="shared" si="51"/>
        <v>0</v>
      </c>
      <c r="AH80" s="345"/>
      <c r="AI80" s="317">
        <f t="shared" si="43"/>
        <v>0</v>
      </c>
      <c r="AK80" s="346"/>
      <c r="AL80" s="339">
        <f>ROUND(((AL79*SUM($AI$10:AI79))+(AK80*AI80))/SUM($AI$10:AI80),5)</f>
        <v>-1.9599999999999999E-3</v>
      </c>
      <c r="AM80" s="348"/>
      <c r="AO80" s="335">
        <f t="shared" si="52"/>
        <v>36714</v>
      </c>
      <c r="AP80" s="345">
        <v>36718</v>
      </c>
      <c r="AQ80" s="317">
        <f t="shared" si="31"/>
        <v>4</v>
      </c>
      <c r="AS80" s="346">
        <v>4.3425999999999999E-2</v>
      </c>
      <c r="AT80" s="339">
        <f>ROUND(((AT79*SUM($AQ$10:AQ79))+(AS80*AQ80))/SUM($AQ$10:AQ80),5)</f>
        <v>3.6179999999999997E-2</v>
      </c>
      <c r="AU80" s="348">
        <v>31.91</v>
      </c>
      <c r="BB80" s="352"/>
      <c r="BC80" s="348"/>
      <c r="BE80" s="335">
        <f t="shared" si="44"/>
        <v>34282</v>
      </c>
      <c r="BF80" s="335">
        <v>34289</v>
      </c>
      <c r="BG80" s="317">
        <f t="shared" si="33"/>
        <v>7</v>
      </c>
      <c r="BH80" s="336">
        <v>2.4200000000000003E-2</v>
      </c>
      <c r="BI80" s="337">
        <f t="shared" si="29"/>
        <v>13923.29</v>
      </c>
      <c r="BJ80" s="338"/>
      <c r="BK80" s="341"/>
      <c r="BL80" s="338"/>
      <c r="BM80" s="338"/>
      <c r="BO80" s="335">
        <f t="shared" si="45"/>
        <v>36237</v>
      </c>
      <c r="BP80" s="345">
        <v>36244</v>
      </c>
      <c r="BQ80" s="317">
        <f t="shared" si="34"/>
        <v>7</v>
      </c>
      <c r="BR80" s="346">
        <v>3.09E-2</v>
      </c>
      <c r="BS80" s="337">
        <f t="shared" si="32"/>
        <v>10074.25</v>
      </c>
      <c r="BW80" s="335">
        <f t="shared" si="55"/>
        <v>36465</v>
      </c>
      <c r="BX80" s="345">
        <v>36468</v>
      </c>
      <c r="BY80" s="317">
        <f t="shared" si="35"/>
        <v>3</v>
      </c>
      <c r="BZ80" s="346">
        <v>3.4700000000000002E-2</v>
      </c>
      <c r="CA80" s="337">
        <f t="shared" si="36"/>
        <v>14260.27</v>
      </c>
      <c r="CD80" s="335">
        <f t="shared" si="53"/>
        <v>36465</v>
      </c>
      <c r="CE80" s="345">
        <v>36468</v>
      </c>
      <c r="CF80" s="317">
        <f t="shared" si="37"/>
        <v>3</v>
      </c>
      <c r="CG80" s="347">
        <v>3.4700000000000002E-2</v>
      </c>
      <c r="CH80" s="337">
        <f t="shared" si="38"/>
        <v>14260.27</v>
      </c>
      <c r="CL80" s="335">
        <f t="shared" si="46"/>
        <v>37161</v>
      </c>
      <c r="CM80" s="345">
        <v>37165</v>
      </c>
      <c r="CN80" s="317">
        <f t="shared" si="54"/>
        <v>4</v>
      </c>
      <c r="CO80" s="346">
        <v>2.2800000000000001E-2</v>
      </c>
      <c r="CP80" s="346"/>
      <c r="CQ80" s="346"/>
      <c r="CR80" s="346"/>
      <c r="CS80" s="346"/>
      <c r="CT80" s="346"/>
      <c r="CU80" s="346"/>
      <c r="CV80" s="337">
        <f t="shared" si="30"/>
        <v>20822.330000000002</v>
      </c>
      <c r="CW80" s="341">
        <f>SUM(CV76:CV80)</f>
        <v>147012.07</v>
      </c>
    </row>
    <row r="81" spans="1:101" hidden="1" x14ac:dyDescent="0.25">
      <c r="A81" s="335">
        <f t="shared" si="47"/>
        <v>34269</v>
      </c>
      <c r="B81" s="335">
        <v>34276</v>
      </c>
      <c r="C81" s="317">
        <f t="shared" si="39"/>
        <v>7</v>
      </c>
      <c r="D81" s="317"/>
      <c r="E81" s="336">
        <v>2.5270000000000001E-2</v>
      </c>
      <c r="F81" s="339">
        <f>ROUND(((F80*SUM($C$10:C80))+(E81*C81))/SUM($C$10:C81),5)</f>
        <v>2.4799999999999999E-2</v>
      </c>
      <c r="G81" s="340">
        <v>71.8</v>
      </c>
      <c r="I81" s="335">
        <f t="shared" si="48"/>
        <v>34268</v>
      </c>
      <c r="J81" s="335">
        <v>34275</v>
      </c>
      <c r="K81" s="317">
        <f t="shared" si="40"/>
        <v>7</v>
      </c>
      <c r="L81" s="317"/>
      <c r="M81" s="336">
        <v>2.4889999999999999E-2</v>
      </c>
      <c r="N81" s="339">
        <f>ROUND(((N80*SUM($K$10:K80))+(M81*K81))/SUM($K$10:K81),5)</f>
        <v>2.4850000000000001E-2</v>
      </c>
      <c r="O81" s="340">
        <v>64.3</v>
      </c>
      <c r="Q81" s="335">
        <f t="shared" si="49"/>
        <v>34719</v>
      </c>
      <c r="R81" s="353">
        <v>34723</v>
      </c>
      <c r="S81" s="317">
        <f t="shared" si="41"/>
        <v>4</v>
      </c>
      <c r="U81" s="339">
        <v>3.7269999999999998E-2</v>
      </c>
      <c r="V81" s="339">
        <f>ROUND(((V80*SUM($S$10:S80))+(U81*S81))/SUM($S$10:S81),5)</f>
        <v>2.9100000000000001E-2</v>
      </c>
      <c r="W81" s="351">
        <v>95</v>
      </c>
      <c r="Y81" s="335">
        <f t="shared" si="50"/>
        <v>36382</v>
      </c>
      <c r="Z81" s="345">
        <v>36413</v>
      </c>
      <c r="AA81" s="317">
        <f t="shared" si="42"/>
        <v>31</v>
      </c>
      <c r="AC81" s="346">
        <v>3.3527000000000001E-2</v>
      </c>
      <c r="AD81" s="339">
        <f>ROUND(((AD80*SUM($AA$10:AA80))+(AC81*AA81))/SUM($AA$10:AA81),5)</f>
        <v>3.4979999999999997E-2</v>
      </c>
      <c r="AE81" s="348">
        <v>143.1</v>
      </c>
      <c r="AG81" s="335">
        <f t="shared" si="51"/>
        <v>0</v>
      </c>
      <c r="AH81" s="345"/>
      <c r="AI81" s="317">
        <f t="shared" si="43"/>
        <v>0</v>
      </c>
      <c r="AK81" s="346"/>
      <c r="AL81" s="339">
        <f>ROUND(((AL80*SUM($AI$10:AI80))+(AK81*AI81))/SUM($AI$10:AI81),5)</f>
        <v>-1.9599999999999999E-3</v>
      </c>
      <c r="AM81" s="348"/>
      <c r="AO81" s="335">
        <f t="shared" si="52"/>
        <v>36718</v>
      </c>
      <c r="AP81" s="345">
        <v>36719</v>
      </c>
      <c r="AQ81" s="317">
        <f t="shared" si="31"/>
        <v>1</v>
      </c>
      <c r="AS81" s="346">
        <v>4.2937999999999997E-2</v>
      </c>
      <c r="AT81" s="339">
        <f>ROUND(((AT80*SUM($AQ$10:AQ80))+(AS81*AQ81))/SUM($AQ$10:AQ81),5)</f>
        <v>3.619E-2</v>
      </c>
      <c r="AU81" s="348">
        <v>30.91</v>
      </c>
      <c r="BB81" s="352"/>
      <c r="BC81" s="348"/>
      <c r="BE81" s="335">
        <f t="shared" si="44"/>
        <v>34289</v>
      </c>
      <c r="BF81" s="335">
        <v>34296</v>
      </c>
      <c r="BG81" s="317">
        <f t="shared" si="33"/>
        <v>7</v>
      </c>
      <c r="BH81" s="336">
        <v>2.4500000000000001E-2</v>
      </c>
      <c r="BI81" s="337">
        <f t="shared" si="29"/>
        <v>14095.89</v>
      </c>
      <c r="BJ81" s="338"/>
      <c r="BK81" s="341"/>
      <c r="BL81" s="338"/>
      <c r="BM81" s="338"/>
      <c r="BO81" s="335">
        <f t="shared" si="45"/>
        <v>36244</v>
      </c>
      <c r="BP81" s="345">
        <v>36251</v>
      </c>
      <c r="BQ81" s="317">
        <f t="shared" si="34"/>
        <v>7</v>
      </c>
      <c r="BR81" s="346">
        <v>3.0099999999999998E-2</v>
      </c>
      <c r="BS81" s="337">
        <f t="shared" si="32"/>
        <v>9813.42</v>
      </c>
      <c r="BT81" s="341">
        <f>SUM(BS77:BS81)</f>
        <v>42746.84</v>
      </c>
      <c r="BW81" s="335">
        <f t="shared" si="55"/>
        <v>36468</v>
      </c>
      <c r="BX81" s="345">
        <v>36476</v>
      </c>
      <c r="BY81" s="317">
        <f t="shared" si="35"/>
        <v>8</v>
      </c>
      <c r="BZ81" s="346">
        <v>3.3399999999999999E-2</v>
      </c>
      <c r="CA81" s="337">
        <f t="shared" si="36"/>
        <v>36602.74</v>
      </c>
      <c r="CD81" s="335">
        <f t="shared" si="53"/>
        <v>36468</v>
      </c>
      <c r="CE81" s="345">
        <v>36476</v>
      </c>
      <c r="CF81" s="317">
        <f t="shared" si="37"/>
        <v>8</v>
      </c>
      <c r="CG81" s="347">
        <v>3.3399999999999999E-2</v>
      </c>
      <c r="CH81" s="337">
        <f t="shared" si="38"/>
        <v>36602.74</v>
      </c>
      <c r="CL81" s="335">
        <f t="shared" si="46"/>
        <v>37165</v>
      </c>
      <c r="CM81" s="345">
        <v>37168</v>
      </c>
      <c r="CN81" s="317">
        <f t="shared" si="54"/>
        <v>3</v>
      </c>
      <c r="CO81" s="346">
        <v>2.2800000000000001E-2</v>
      </c>
      <c r="CP81" s="346"/>
      <c r="CQ81" s="346"/>
      <c r="CR81" s="346"/>
      <c r="CS81" s="346"/>
      <c r="CT81" s="346"/>
      <c r="CU81" s="346"/>
      <c r="CV81" s="337">
        <f t="shared" si="30"/>
        <v>15616.75</v>
      </c>
    </row>
    <row r="82" spans="1:101" hidden="1" x14ac:dyDescent="0.25">
      <c r="A82" s="335">
        <f t="shared" si="47"/>
        <v>34276</v>
      </c>
      <c r="B82" s="335">
        <v>34277</v>
      </c>
      <c r="C82" s="317">
        <f t="shared" si="39"/>
        <v>1</v>
      </c>
      <c r="D82" s="317"/>
      <c r="E82" s="336">
        <v>2.5319999999999999E-2</v>
      </c>
      <c r="F82" s="339">
        <f>ROUND(((F81*SUM($C$10:C81))+(E82*C82))/SUM($C$10:C82),5)</f>
        <v>2.4799999999999999E-2</v>
      </c>
      <c r="G82" s="340">
        <v>77</v>
      </c>
      <c r="I82" s="335">
        <f t="shared" si="48"/>
        <v>34275</v>
      </c>
      <c r="J82" s="335">
        <v>34276</v>
      </c>
      <c r="K82" s="317">
        <f t="shared" si="40"/>
        <v>1</v>
      </c>
      <c r="L82" s="317"/>
      <c r="M82" s="336">
        <v>2.4840000000000001E-2</v>
      </c>
      <c r="N82" s="339">
        <f>ROUND(((N81*SUM($K$10:K81))+(M82*K82))/SUM($K$10:K82),5)</f>
        <v>2.4850000000000001E-2</v>
      </c>
      <c r="O82" s="340">
        <v>68.5</v>
      </c>
      <c r="Q82" s="335">
        <f t="shared" si="49"/>
        <v>34723</v>
      </c>
      <c r="R82" s="353">
        <v>34724</v>
      </c>
      <c r="S82" s="317">
        <f t="shared" si="41"/>
        <v>1</v>
      </c>
      <c r="U82" s="339">
        <v>3.7679999999999998E-2</v>
      </c>
      <c r="V82" s="339">
        <f>ROUND(((V81*SUM($S$10:S81))+(U82*S82))/SUM($S$10:S82),5)</f>
        <v>2.912E-2</v>
      </c>
      <c r="W82" s="351">
        <v>85.1</v>
      </c>
      <c r="Y82" s="335">
        <f t="shared" si="50"/>
        <v>36413</v>
      </c>
      <c r="Z82" s="345">
        <v>36434</v>
      </c>
      <c r="AA82" s="317">
        <f t="shared" si="42"/>
        <v>21</v>
      </c>
      <c r="AC82" s="346">
        <v>3.4158000000000001E-2</v>
      </c>
      <c r="AD82" s="339">
        <f>ROUND(((AD81*SUM($AA$10:AA81))+(AC82*AA82))/SUM($AA$10:AA82),5)</f>
        <v>3.4959999999999998E-2</v>
      </c>
      <c r="AE82" s="348">
        <v>144.5</v>
      </c>
      <c r="AH82" s="345"/>
      <c r="AK82" s="346"/>
      <c r="AL82" s="339">
        <f>ROUND(((AL81*SUM($AI$10:AI81))+(AK82*AI82))/SUM($AI$10:AI82),5)</f>
        <v>-1.9599999999999999E-3</v>
      </c>
      <c r="AM82" s="348"/>
      <c r="AO82" s="335">
        <f t="shared" si="52"/>
        <v>36719</v>
      </c>
      <c r="AP82" s="345">
        <v>36728</v>
      </c>
      <c r="AQ82" s="317">
        <f t="shared" si="31"/>
        <v>9</v>
      </c>
      <c r="AS82" s="346">
        <v>4.2554000000000002E-2</v>
      </c>
      <c r="AT82" s="339">
        <f>ROUND(((AT81*SUM($AQ$10:AQ81))+(AS82*AQ82))/SUM($AQ$10:AQ82),5)</f>
        <v>3.6249999999999998E-2</v>
      </c>
      <c r="AU82" s="348">
        <v>28.63</v>
      </c>
      <c r="BB82" s="352"/>
      <c r="BC82" s="348"/>
      <c r="BE82" s="335">
        <f t="shared" si="44"/>
        <v>34296</v>
      </c>
      <c r="BF82" s="335">
        <v>34303</v>
      </c>
      <c r="BG82" s="317">
        <f t="shared" si="33"/>
        <v>7</v>
      </c>
      <c r="BH82" s="336">
        <v>2.4E-2</v>
      </c>
      <c r="BI82" s="337">
        <f t="shared" si="29"/>
        <v>13808.22</v>
      </c>
      <c r="BJ82" s="338"/>
      <c r="BK82" s="341"/>
      <c r="BL82" s="338"/>
      <c r="BM82" s="338"/>
      <c r="BO82" s="335">
        <f t="shared" si="45"/>
        <v>36251</v>
      </c>
      <c r="BP82" s="345">
        <v>36258</v>
      </c>
      <c r="BQ82" s="317">
        <f t="shared" si="34"/>
        <v>7</v>
      </c>
      <c r="BR82" s="346">
        <v>2.98E-2</v>
      </c>
      <c r="BS82" s="337">
        <f t="shared" si="32"/>
        <v>9715.6200000000008</v>
      </c>
      <c r="BW82" s="335">
        <f t="shared" si="55"/>
        <v>36476</v>
      </c>
      <c r="BX82" s="345">
        <v>36482</v>
      </c>
      <c r="BY82" s="317">
        <f t="shared" si="35"/>
        <v>6</v>
      </c>
      <c r="BZ82" s="346">
        <v>3.6799999999999999E-2</v>
      </c>
      <c r="CA82" s="337">
        <f t="shared" si="36"/>
        <v>30246.58</v>
      </c>
      <c r="CD82" s="335">
        <f t="shared" si="53"/>
        <v>36476</v>
      </c>
      <c r="CE82" s="345">
        <v>36482</v>
      </c>
      <c r="CF82" s="317">
        <f t="shared" si="37"/>
        <v>6</v>
      </c>
      <c r="CG82" s="347">
        <v>3.6799999999999999E-2</v>
      </c>
      <c r="CH82" s="337">
        <f t="shared" si="38"/>
        <v>30246.58</v>
      </c>
      <c r="CL82" s="335">
        <f t="shared" si="46"/>
        <v>37168</v>
      </c>
      <c r="CM82" s="345">
        <v>37175</v>
      </c>
      <c r="CN82" s="317">
        <f t="shared" si="54"/>
        <v>7</v>
      </c>
      <c r="CO82" s="346">
        <v>2.23E-2</v>
      </c>
      <c r="CP82" s="346"/>
      <c r="CQ82" s="346"/>
      <c r="CR82" s="346"/>
      <c r="CS82" s="346"/>
      <c r="CT82" s="346"/>
      <c r="CU82" s="346"/>
      <c r="CV82" s="337">
        <f t="shared" si="30"/>
        <v>35639.980000000003</v>
      </c>
    </row>
    <row r="83" spans="1:101" hidden="1" x14ac:dyDescent="0.25">
      <c r="A83" s="335">
        <f t="shared" si="47"/>
        <v>34277</v>
      </c>
      <c r="B83" s="335">
        <v>34281</v>
      </c>
      <c r="C83" s="317">
        <f t="shared" si="39"/>
        <v>4</v>
      </c>
      <c r="D83" s="317"/>
      <c r="E83" s="336">
        <v>2.5309999999999999E-2</v>
      </c>
      <c r="F83" s="339">
        <f>ROUND(((F82*SUM($C$10:C82))+(E83*C83))/SUM($C$10:C83),5)</f>
        <v>2.4799999999999999E-2</v>
      </c>
      <c r="G83" s="340">
        <v>78.5</v>
      </c>
      <c r="I83" s="335">
        <f t="shared" si="48"/>
        <v>34276</v>
      </c>
      <c r="J83" s="335">
        <v>34282</v>
      </c>
      <c r="K83" s="317">
        <f t="shared" si="40"/>
        <v>6</v>
      </c>
      <c r="L83" s="317"/>
      <c r="M83" s="336">
        <v>2.486E-2</v>
      </c>
      <c r="N83" s="339">
        <f>ROUND(((N82*SUM($K$10:K82))+(M83*K83))/SUM($K$10:K83),5)</f>
        <v>2.4850000000000001E-2</v>
      </c>
      <c r="O83" s="340">
        <v>70.099999999999994</v>
      </c>
      <c r="Q83" s="335">
        <f t="shared" si="49"/>
        <v>34724</v>
      </c>
      <c r="R83" s="353">
        <v>34725</v>
      </c>
      <c r="S83" s="317">
        <f t="shared" si="41"/>
        <v>1</v>
      </c>
      <c r="U83" s="339">
        <v>3.7690000000000001E-2</v>
      </c>
      <c r="V83" s="339">
        <f>ROUND(((V82*SUM($S$10:S82))+(U83*S83))/SUM($S$10:S83),5)</f>
        <v>2.9139999999999999E-2</v>
      </c>
      <c r="W83" s="316">
        <v>85.1</v>
      </c>
      <c r="Y83" s="335">
        <f t="shared" si="50"/>
        <v>36434</v>
      </c>
      <c r="Z83" s="345">
        <v>36441</v>
      </c>
      <c r="AA83" s="317">
        <f t="shared" si="42"/>
        <v>7</v>
      </c>
      <c r="AC83" s="346">
        <v>3.4356999999999999E-2</v>
      </c>
      <c r="AD83" s="339">
        <f>ROUND(((AD82*SUM($AA$10:AA82))+(AC83*AA83))/SUM($AA$10:AA83),5)</f>
        <v>3.4959999999999998E-2</v>
      </c>
      <c r="AE83" s="348">
        <v>150.6</v>
      </c>
      <c r="AH83" s="345"/>
      <c r="AK83" s="346"/>
      <c r="AL83" s="339">
        <f>ROUND(((AL82*SUM($AI$10:AI82))+(AK83*AI83))/SUM($AI$10:AI83),5)</f>
        <v>-1.9599999999999999E-3</v>
      </c>
      <c r="AM83" s="348"/>
      <c r="AO83" s="335">
        <f t="shared" si="52"/>
        <v>36728</v>
      </c>
      <c r="AP83" s="345">
        <v>36745</v>
      </c>
      <c r="AQ83" s="317">
        <f t="shared" si="31"/>
        <v>17</v>
      </c>
      <c r="AS83" s="346">
        <v>4.2220000000000001E-2</v>
      </c>
      <c r="AT83" s="339">
        <f>ROUND(((AT82*SUM($AQ$10:AQ82))+(AS83*AQ83))/SUM($AQ$10:AQ83),5)</f>
        <v>3.635E-2</v>
      </c>
      <c r="AU83" s="348">
        <v>28.2</v>
      </c>
      <c r="BB83" s="352"/>
      <c r="BC83" s="348"/>
      <c r="BE83" s="335">
        <f t="shared" si="44"/>
        <v>34303</v>
      </c>
      <c r="BF83" s="335">
        <v>34304</v>
      </c>
      <c r="BG83" s="317">
        <f t="shared" si="33"/>
        <v>1</v>
      </c>
      <c r="BH83" s="336">
        <v>2.2200000000000001E-2</v>
      </c>
      <c r="BI83" s="337">
        <f t="shared" si="29"/>
        <v>1824.66</v>
      </c>
      <c r="BJ83" s="341">
        <f>SUM(BI78:BI83)</f>
        <v>59613.700000000004</v>
      </c>
      <c r="BK83" s="341">
        <v>61999.25</v>
      </c>
      <c r="BL83" s="341">
        <f>BJ83-BK83</f>
        <v>-2385.5499999999956</v>
      </c>
      <c r="BM83" s="341">
        <f>BM77+BL83</f>
        <v>1780.3100000000086</v>
      </c>
      <c r="BO83" s="335">
        <f t="shared" si="45"/>
        <v>36258</v>
      </c>
      <c r="BP83" s="345">
        <v>36265</v>
      </c>
      <c r="BQ83" s="317">
        <f t="shared" si="34"/>
        <v>7</v>
      </c>
      <c r="BR83" s="346">
        <v>2.8400000000000002E-2</v>
      </c>
      <c r="BS83" s="337">
        <f t="shared" si="32"/>
        <v>9259.18</v>
      </c>
      <c r="BW83" s="335">
        <f t="shared" si="55"/>
        <v>36482</v>
      </c>
      <c r="BX83" s="345">
        <v>36490</v>
      </c>
      <c r="BY83" s="317">
        <f t="shared" si="35"/>
        <v>8</v>
      </c>
      <c r="BZ83" s="346">
        <v>3.8399999999999997E-2</v>
      </c>
      <c r="CA83" s="337">
        <f t="shared" si="36"/>
        <v>42082.19</v>
      </c>
      <c r="CD83" s="335">
        <f t="shared" si="53"/>
        <v>36482</v>
      </c>
      <c r="CE83" s="345">
        <v>36490</v>
      </c>
      <c r="CF83" s="317">
        <f t="shared" si="37"/>
        <v>8</v>
      </c>
      <c r="CG83" s="347">
        <v>3.8399999999999997E-2</v>
      </c>
      <c r="CH83" s="337">
        <f t="shared" si="38"/>
        <v>42082.19</v>
      </c>
      <c r="CL83" s="335">
        <f t="shared" si="46"/>
        <v>37175</v>
      </c>
      <c r="CM83" s="345">
        <v>37182</v>
      </c>
      <c r="CN83" s="317">
        <f t="shared" si="54"/>
        <v>7</v>
      </c>
      <c r="CO83" s="346">
        <v>0.02</v>
      </c>
      <c r="CP83" s="346"/>
      <c r="CQ83" s="346"/>
      <c r="CR83" s="346"/>
      <c r="CS83" s="346"/>
      <c r="CT83" s="346"/>
      <c r="CU83" s="346"/>
      <c r="CV83" s="337">
        <f t="shared" si="30"/>
        <v>31964.11</v>
      </c>
    </row>
    <row r="84" spans="1:101" hidden="1" x14ac:dyDescent="0.25">
      <c r="A84" s="335">
        <f t="shared" si="47"/>
        <v>34281</v>
      </c>
      <c r="B84" s="335">
        <v>34291</v>
      </c>
      <c r="C84" s="317">
        <f t="shared" si="39"/>
        <v>10</v>
      </c>
      <c r="D84" s="317"/>
      <c r="E84" s="336">
        <v>2.5409999999999999E-2</v>
      </c>
      <c r="F84" s="339">
        <f>ROUND(((F83*SUM($C$10:C83))+(E84*C84))/SUM($C$10:C84),5)</f>
        <v>2.4809999999999999E-2</v>
      </c>
      <c r="G84" s="340">
        <v>82.6</v>
      </c>
      <c r="I84" s="335">
        <f t="shared" si="48"/>
        <v>34282</v>
      </c>
      <c r="J84" s="335">
        <v>34288</v>
      </c>
      <c r="K84" s="317">
        <f t="shared" si="40"/>
        <v>6</v>
      </c>
      <c r="L84" s="317"/>
      <c r="M84" s="336">
        <v>2.4920000000000001E-2</v>
      </c>
      <c r="N84" s="339">
        <f>ROUND(((N83*SUM($K$10:K83))+(M84*K84))/SUM($K$10:K84),5)</f>
        <v>2.4850000000000001E-2</v>
      </c>
      <c r="O84" s="340">
        <v>73</v>
      </c>
      <c r="Q84" s="335">
        <f t="shared" si="49"/>
        <v>34725</v>
      </c>
      <c r="R84" s="353">
        <v>34726</v>
      </c>
      <c r="S84" s="317">
        <f t="shared" si="41"/>
        <v>1</v>
      </c>
      <c r="U84" s="339">
        <v>3.7690000000000001E-2</v>
      </c>
      <c r="V84" s="339">
        <f>ROUND(((V83*SUM($S$10:S83))+(U84*S84))/SUM($S$10:S84),5)</f>
        <v>2.9159999999999998E-2</v>
      </c>
      <c r="W84" s="316">
        <v>85.1</v>
      </c>
      <c r="Y84" s="335">
        <f t="shared" si="50"/>
        <v>36441</v>
      </c>
      <c r="Z84" s="345">
        <v>36445</v>
      </c>
      <c r="AA84" s="317">
        <f t="shared" si="42"/>
        <v>4</v>
      </c>
      <c r="AC84" s="346">
        <v>3.4882000000000003E-2</v>
      </c>
      <c r="AD84" s="339">
        <f>ROUND(((AD83*SUM($AA$10:AA83))+(AC84*AA84))/SUM($AA$10:AA84),5)</f>
        <v>3.4959999999999998E-2</v>
      </c>
      <c r="AE84" s="348">
        <v>158</v>
      </c>
      <c r="AH84" s="345"/>
      <c r="AK84" s="346"/>
      <c r="AL84" s="339">
        <f>ROUND(((AL83*SUM($AI$10:AI83))+(AK84*AI84))/SUM($AI$10:AI84),5)</f>
        <v>-1.9599999999999999E-3</v>
      </c>
      <c r="AM84" s="348"/>
      <c r="AO84" s="335">
        <f t="shared" si="52"/>
        <v>36745</v>
      </c>
      <c r="AP84" s="345">
        <v>36755</v>
      </c>
      <c r="AQ84" s="317">
        <f t="shared" si="31"/>
        <v>10</v>
      </c>
      <c r="AS84" s="346">
        <v>4.4054000000000003E-2</v>
      </c>
      <c r="AT84" s="339">
        <f>ROUND(((AT83*SUM($AQ$10:AQ83))+(AS84*AQ84))/SUM($AQ$10:AQ84),5)</f>
        <v>3.6429999999999997E-2</v>
      </c>
      <c r="AU84" s="348">
        <v>35.57</v>
      </c>
      <c r="BB84" s="352"/>
      <c r="BC84" s="348"/>
      <c r="BE84" s="335">
        <f t="shared" si="44"/>
        <v>34304</v>
      </c>
      <c r="BF84" s="335">
        <v>34310</v>
      </c>
      <c r="BG84" s="317">
        <f t="shared" si="33"/>
        <v>6</v>
      </c>
      <c r="BH84" s="336">
        <v>2.2200000000000001E-2</v>
      </c>
      <c r="BI84" s="337">
        <f t="shared" si="29"/>
        <v>10947.95</v>
      </c>
      <c r="BJ84" s="338"/>
      <c r="BK84" s="341"/>
      <c r="BL84" s="338"/>
      <c r="BM84" s="338"/>
      <c r="BO84" s="335">
        <f t="shared" si="45"/>
        <v>36265</v>
      </c>
      <c r="BP84" s="345">
        <v>36272</v>
      </c>
      <c r="BQ84" s="317">
        <f t="shared" si="34"/>
        <v>7</v>
      </c>
      <c r="BR84" s="346">
        <v>3.15E-2</v>
      </c>
      <c r="BS84" s="337">
        <f t="shared" si="32"/>
        <v>10269.86</v>
      </c>
      <c r="BW84" s="335">
        <f t="shared" si="55"/>
        <v>36490</v>
      </c>
      <c r="BX84" s="345">
        <v>36495</v>
      </c>
      <c r="BY84" s="317">
        <f t="shared" si="35"/>
        <v>5</v>
      </c>
      <c r="BZ84" s="346">
        <v>3.8699999999999998E-2</v>
      </c>
      <c r="CA84" s="337">
        <f t="shared" si="36"/>
        <v>26506.85</v>
      </c>
      <c r="CB84" s="341">
        <f>SUM(CA80:CA84)</f>
        <v>149698.63</v>
      </c>
      <c r="CD84" s="335">
        <f t="shared" si="53"/>
        <v>36490</v>
      </c>
      <c r="CE84" s="345">
        <v>36495</v>
      </c>
      <c r="CF84" s="317">
        <f t="shared" si="37"/>
        <v>5</v>
      </c>
      <c r="CG84" s="347">
        <v>3.8699999999999998E-2</v>
      </c>
      <c r="CH84" s="337">
        <f t="shared" si="38"/>
        <v>26506.85</v>
      </c>
      <c r="CI84" s="341">
        <f>SUM(CH80:CH84)</f>
        <v>149698.63</v>
      </c>
      <c r="CL84" s="335">
        <f t="shared" si="46"/>
        <v>37182</v>
      </c>
      <c r="CM84" s="345">
        <v>37189</v>
      </c>
      <c r="CN84" s="317">
        <f t="shared" si="54"/>
        <v>7</v>
      </c>
      <c r="CO84" s="346">
        <v>1.95E-2</v>
      </c>
      <c r="CP84" s="346"/>
      <c r="CQ84" s="346"/>
      <c r="CR84" s="346"/>
      <c r="CS84" s="346"/>
      <c r="CT84" s="346"/>
      <c r="CU84" s="346"/>
      <c r="CV84" s="337">
        <f t="shared" si="30"/>
        <v>31165.01</v>
      </c>
    </row>
    <row r="85" spans="1:101" hidden="1" x14ac:dyDescent="0.25">
      <c r="A85" s="335">
        <f t="shared" si="47"/>
        <v>34291</v>
      </c>
      <c r="B85" s="335">
        <v>34297</v>
      </c>
      <c r="C85" s="317">
        <f t="shared" si="39"/>
        <v>6</v>
      </c>
      <c r="D85" s="317"/>
      <c r="E85" s="336">
        <v>2.5329999999999998E-2</v>
      </c>
      <c r="F85" s="339">
        <f>ROUND(((F84*SUM($C$10:C84))+(E85*C85))/SUM($C$10:C85),5)</f>
        <v>2.4819999999999998E-2</v>
      </c>
      <c r="G85" s="340">
        <v>86.2</v>
      </c>
      <c r="I85" s="335">
        <f t="shared" si="48"/>
        <v>34288</v>
      </c>
      <c r="J85" s="335">
        <v>34289</v>
      </c>
      <c r="K85" s="317">
        <f t="shared" si="40"/>
        <v>1</v>
      </c>
      <c r="L85" s="317"/>
      <c r="M85" s="336">
        <v>2.503E-2</v>
      </c>
      <c r="N85" s="339">
        <f>ROUND(((N84*SUM($K$10:K84))+(M85*K85))/SUM($K$10:K85),5)</f>
        <v>2.4850000000000001E-2</v>
      </c>
      <c r="O85" s="340">
        <v>73.5</v>
      </c>
      <c r="Q85" s="335">
        <f t="shared" si="49"/>
        <v>34726</v>
      </c>
      <c r="R85" s="353">
        <v>34729</v>
      </c>
      <c r="S85" s="317">
        <f t="shared" si="41"/>
        <v>3</v>
      </c>
      <c r="U85" s="339">
        <v>3.7690000000000001E-2</v>
      </c>
      <c r="V85" s="339">
        <f>ROUND(((V84*SUM($S$10:S84))+(U85*S85))/SUM($S$10:S85),5)</f>
        <v>2.921E-2</v>
      </c>
      <c r="W85" s="316">
        <v>85.1</v>
      </c>
      <c r="Y85" s="335">
        <f t="shared" si="50"/>
        <v>36445</v>
      </c>
      <c r="Z85" s="345">
        <v>36550</v>
      </c>
      <c r="AA85" s="317">
        <f t="shared" si="42"/>
        <v>105</v>
      </c>
      <c r="AC85" s="346">
        <v>3.5493999999999998E-2</v>
      </c>
      <c r="AD85" s="339">
        <f>ROUND(((AD84*SUM($AA$10:AA84))+(AC85*AA85))/SUM($AA$10:AA85),5)</f>
        <v>3.5009999999999999E-2</v>
      </c>
      <c r="AE85" s="348">
        <v>159.6</v>
      </c>
      <c r="AH85" s="345"/>
      <c r="AK85" s="346"/>
      <c r="AL85" s="339">
        <f>ROUND(((AL84*SUM($AI$10:AI84))+(AK85*AI85))/SUM($AI$10:AI85),5)</f>
        <v>-1.9599999999999999E-3</v>
      </c>
      <c r="AM85" s="348"/>
      <c r="AO85" s="335">
        <f t="shared" si="52"/>
        <v>36755</v>
      </c>
      <c r="AP85" s="345">
        <v>36782</v>
      </c>
      <c r="AQ85" s="317">
        <f t="shared" si="31"/>
        <v>27</v>
      </c>
      <c r="AS85" s="346">
        <v>4.4068000000000003E-2</v>
      </c>
      <c r="AT85" s="339">
        <f>ROUND(((AT84*SUM($AQ$10:AQ84))+(AS85*AQ85))/SUM($AQ$10:AQ85),5)</f>
        <v>3.6630000000000003E-2</v>
      </c>
      <c r="AU85" s="348">
        <v>36.71</v>
      </c>
      <c r="BB85" s="352"/>
      <c r="BC85" s="348"/>
      <c r="BE85" s="335">
        <f t="shared" si="44"/>
        <v>34310</v>
      </c>
      <c r="BF85" s="335">
        <v>34317</v>
      </c>
      <c r="BG85" s="317">
        <f t="shared" si="33"/>
        <v>7</v>
      </c>
      <c r="BH85" s="336">
        <v>1.7600000000000001E-2</v>
      </c>
      <c r="BI85" s="337">
        <f t="shared" si="29"/>
        <v>10126.030000000001</v>
      </c>
      <c r="BJ85" s="341" t="s">
        <v>35</v>
      </c>
      <c r="BK85" s="341"/>
      <c r="BL85" s="338"/>
      <c r="BM85" s="338"/>
      <c r="BO85" s="335">
        <f t="shared" si="45"/>
        <v>36272</v>
      </c>
      <c r="BP85" s="345">
        <v>36279</v>
      </c>
      <c r="BQ85" s="317">
        <f t="shared" si="34"/>
        <v>7</v>
      </c>
      <c r="BR85" s="346">
        <v>3.5000000000000003E-2</v>
      </c>
      <c r="BS85" s="337">
        <f t="shared" si="32"/>
        <v>11410.96</v>
      </c>
      <c r="BW85" s="335">
        <f t="shared" si="55"/>
        <v>36495</v>
      </c>
      <c r="BX85" s="345">
        <v>36496</v>
      </c>
      <c r="BY85" s="317">
        <f t="shared" si="35"/>
        <v>1</v>
      </c>
      <c r="BZ85" s="346">
        <v>3.8699999999999998E-2</v>
      </c>
      <c r="CA85" s="337">
        <f t="shared" si="36"/>
        <v>5301.37</v>
      </c>
      <c r="CD85" s="335">
        <f t="shared" si="53"/>
        <v>36495</v>
      </c>
      <c r="CE85" s="345">
        <v>36496</v>
      </c>
      <c r="CF85" s="317">
        <f t="shared" si="37"/>
        <v>1</v>
      </c>
      <c r="CG85" s="347">
        <v>3.8699999999999998E-2</v>
      </c>
      <c r="CH85" s="337">
        <f t="shared" si="38"/>
        <v>5301.37</v>
      </c>
      <c r="CL85" s="335">
        <f t="shared" si="46"/>
        <v>37189</v>
      </c>
      <c r="CM85" s="345">
        <v>37196</v>
      </c>
      <c r="CN85" s="317">
        <f t="shared" si="54"/>
        <v>7</v>
      </c>
      <c r="CO85" s="346">
        <v>2.0799999999999999E-2</v>
      </c>
      <c r="CP85" s="346"/>
      <c r="CQ85" s="346"/>
      <c r="CR85" s="346"/>
      <c r="CS85" s="346"/>
      <c r="CT85" s="346"/>
      <c r="CU85" s="346"/>
      <c r="CV85" s="337">
        <f t="shared" si="30"/>
        <v>33242.67</v>
      </c>
      <c r="CW85" s="341">
        <f>SUM(CV81:CV85)</f>
        <v>147628.51999999999</v>
      </c>
    </row>
    <row r="86" spans="1:101" hidden="1" x14ac:dyDescent="0.25">
      <c r="A86" s="335">
        <f t="shared" si="47"/>
        <v>34297</v>
      </c>
      <c r="B86" s="335">
        <v>34339</v>
      </c>
      <c r="C86" s="317">
        <f t="shared" si="39"/>
        <v>42</v>
      </c>
      <c r="D86" s="317"/>
      <c r="E86" s="336">
        <v>2.5420000000000002E-2</v>
      </c>
      <c r="F86" s="339">
        <f>ROUND(((F85*SUM($C$10:C85))+(E86*C86))/SUM($C$10:C86),5)</f>
        <v>2.487E-2</v>
      </c>
      <c r="G86" s="340">
        <v>88</v>
      </c>
      <c r="I86" s="335">
        <f t="shared" si="48"/>
        <v>34289</v>
      </c>
      <c r="J86" s="335">
        <v>34290</v>
      </c>
      <c r="K86" s="317">
        <f t="shared" si="40"/>
        <v>1</v>
      </c>
      <c r="L86" s="317"/>
      <c r="M86" s="336">
        <v>2.504E-2</v>
      </c>
      <c r="N86" s="339">
        <f>ROUND(((N85*SUM($K$10:K85))+(M86*K86))/SUM($K$10:K86),5)</f>
        <v>2.4850000000000001E-2</v>
      </c>
      <c r="O86" s="340">
        <v>74.3</v>
      </c>
      <c r="Q86" s="335">
        <f t="shared" si="49"/>
        <v>34729</v>
      </c>
      <c r="R86" s="353">
        <v>34731</v>
      </c>
      <c r="S86" s="317">
        <f t="shared" si="41"/>
        <v>2</v>
      </c>
      <c r="U86" s="339">
        <v>3.7749999999999999E-2</v>
      </c>
      <c r="V86" s="339">
        <f>ROUND(((V85*SUM($S$10:S85))+(U86*S86))/SUM($S$10:S86),5)</f>
        <v>2.9239999999999999E-2</v>
      </c>
      <c r="W86" s="316">
        <v>84.5</v>
      </c>
      <c r="Y86" s="335">
        <f t="shared" si="50"/>
        <v>36550</v>
      </c>
      <c r="Z86" s="345">
        <v>36551</v>
      </c>
      <c r="AA86" s="317">
        <f t="shared" si="42"/>
        <v>1</v>
      </c>
      <c r="AC86" s="346">
        <v>3.5435000000000001E-2</v>
      </c>
      <c r="AD86" s="339">
        <f>ROUND(((AD85*SUM($AA$10:AA85))+(AC86*AA86))/SUM($AA$10:AA86),5)</f>
        <v>3.5009999999999999E-2</v>
      </c>
      <c r="AE86" s="348">
        <v>146</v>
      </c>
      <c r="AH86" s="345"/>
      <c r="AK86" s="346"/>
      <c r="AL86" s="339">
        <f>ROUND(((AL85*SUM($AI$10:AI85))+(AK86*AI86))/SUM($AI$10:AI86),5)</f>
        <v>-1.9599999999999999E-3</v>
      </c>
      <c r="AM86" s="348"/>
      <c r="AO86" s="335">
        <f t="shared" si="52"/>
        <v>36782</v>
      </c>
      <c r="AP86" s="345">
        <v>36790</v>
      </c>
      <c r="AQ86" s="317">
        <f t="shared" si="31"/>
        <v>8</v>
      </c>
      <c r="AS86" s="346">
        <v>4.5839999999999999E-2</v>
      </c>
      <c r="AT86" s="339">
        <f>ROUND(((AT85*SUM($AQ$10:AQ85))+(AS86*AQ86))/SUM($AQ$10:AQ86),5)</f>
        <v>3.6700000000000003E-2</v>
      </c>
      <c r="AU86" s="348">
        <v>47</v>
      </c>
      <c r="BB86" s="352"/>
      <c r="BC86" s="348"/>
      <c r="BE86" s="335">
        <f t="shared" si="44"/>
        <v>34317</v>
      </c>
      <c r="BF86" s="335">
        <v>34324</v>
      </c>
      <c r="BG86" s="317">
        <f t="shared" si="33"/>
        <v>7</v>
      </c>
      <c r="BH86" s="336">
        <v>2.1500000000000002E-2</v>
      </c>
      <c r="BI86" s="337">
        <f t="shared" si="29"/>
        <v>12369.86</v>
      </c>
      <c r="BJ86" s="338"/>
      <c r="BK86" s="341"/>
      <c r="BL86" s="338"/>
      <c r="BM86" s="338"/>
      <c r="BO86" s="335">
        <f t="shared" si="45"/>
        <v>36279</v>
      </c>
      <c r="BP86" s="345">
        <v>36281</v>
      </c>
      <c r="BQ86" s="317">
        <f t="shared" si="34"/>
        <v>2</v>
      </c>
      <c r="BR86" s="346">
        <v>3.9600000000000003E-2</v>
      </c>
      <c r="BS86" s="337">
        <f t="shared" si="32"/>
        <v>3688.77</v>
      </c>
      <c r="BT86" s="341">
        <f>SUM(BS82:BS86)</f>
        <v>44344.39</v>
      </c>
      <c r="BW86" s="335">
        <f t="shared" si="55"/>
        <v>36496</v>
      </c>
      <c r="BX86" s="345">
        <v>36503</v>
      </c>
      <c r="BY86" s="317">
        <f t="shared" si="35"/>
        <v>7</v>
      </c>
      <c r="BZ86" s="346">
        <v>3.6700000000000003E-2</v>
      </c>
      <c r="CA86" s="337">
        <f t="shared" si="36"/>
        <v>35191.78</v>
      </c>
      <c r="CB86" s="341" t="s">
        <v>35</v>
      </c>
      <c r="CD86" s="335">
        <f t="shared" si="53"/>
        <v>36496</v>
      </c>
      <c r="CE86" s="345">
        <v>36503</v>
      </c>
      <c r="CF86" s="317">
        <f t="shared" si="37"/>
        <v>7</v>
      </c>
      <c r="CG86" s="347">
        <v>3.6700000000000003E-2</v>
      </c>
      <c r="CH86" s="337">
        <f t="shared" si="38"/>
        <v>35191.78</v>
      </c>
      <c r="CL86" s="335">
        <f t="shared" si="46"/>
        <v>37196</v>
      </c>
      <c r="CM86" s="345">
        <v>37203</v>
      </c>
      <c r="CN86" s="317">
        <f t="shared" si="54"/>
        <v>7</v>
      </c>
      <c r="CO86" s="346">
        <v>1.9699999999999999E-2</v>
      </c>
      <c r="CP86" s="346"/>
      <c r="CQ86" s="346"/>
      <c r="CR86" s="346"/>
      <c r="CS86" s="346"/>
      <c r="CT86" s="346"/>
      <c r="CU86" s="346"/>
      <c r="CV86" s="337">
        <f t="shared" si="30"/>
        <v>31484.65</v>
      </c>
    </row>
    <row r="87" spans="1:101" hidden="1" x14ac:dyDescent="0.25">
      <c r="A87" s="335">
        <f t="shared" si="47"/>
        <v>34339</v>
      </c>
      <c r="B87" s="335">
        <v>34345</v>
      </c>
      <c r="C87" s="317">
        <f t="shared" si="39"/>
        <v>6</v>
      </c>
      <c r="D87" s="317"/>
      <c r="E87" s="336">
        <v>2.5400000000000002E-2</v>
      </c>
      <c r="F87" s="339">
        <f>ROUND(((F86*SUM($C$10:C86))+(E87*C87))/SUM($C$10:C87),5)</f>
        <v>2.4879999999999999E-2</v>
      </c>
      <c r="G87" s="340">
        <v>87</v>
      </c>
      <c r="I87" s="335">
        <f t="shared" si="48"/>
        <v>34290</v>
      </c>
      <c r="J87" s="335">
        <v>34291</v>
      </c>
      <c r="K87" s="317">
        <f t="shared" si="40"/>
        <v>1</v>
      </c>
      <c r="L87" s="317"/>
      <c r="M87" s="336">
        <v>2.5069999999999999E-2</v>
      </c>
      <c r="N87" s="339">
        <f>ROUND(((N86*SUM($K$10:K86))+(M87*K87))/SUM($K$10:K87),5)</f>
        <v>2.4850000000000001E-2</v>
      </c>
      <c r="O87" s="340">
        <v>74.5</v>
      </c>
      <c r="Q87" s="335">
        <f t="shared" si="49"/>
        <v>34731</v>
      </c>
      <c r="R87" s="353">
        <v>34746</v>
      </c>
      <c r="S87" s="317">
        <f t="shared" si="41"/>
        <v>15</v>
      </c>
      <c r="U87" s="339">
        <v>3.7990000000000003E-2</v>
      </c>
      <c r="V87" s="339">
        <f>ROUND(((V86*SUM($S$10:S86))+(U87*S87))/SUM($S$10:S87),5)</f>
        <v>2.9489999999999999E-2</v>
      </c>
      <c r="W87" s="316">
        <v>86.5</v>
      </c>
      <c r="Y87" s="335">
        <f t="shared" si="50"/>
        <v>36551</v>
      </c>
      <c r="Z87" s="345">
        <v>36553</v>
      </c>
      <c r="AA87" s="317">
        <f t="shared" si="42"/>
        <v>2</v>
      </c>
      <c r="AC87" s="346">
        <v>3.5505000000000002E-2</v>
      </c>
      <c r="AD87" s="339">
        <f>ROUND(((AD86*SUM($AA$10:AA86))+(AC87*AA87))/SUM($AA$10:AA87),5)</f>
        <v>3.5009999999999999E-2</v>
      </c>
      <c r="AE87" s="348">
        <v>133.69999999999999</v>
      </c>
      <c r="AH87" s="345"/>
      <c r="AK87" s="346"/>
      <c r="AL87" s="339">
        <f>ROUND(((AL86*SUM($AI$10:AI86))+(AK87*AI87))/SUM($AI$10:AI87),5)</f>
        <v>-1.9599999999999999E-3</v>
      </c>
      <c r="AM87" s="348"/>
      <c r="AO87" s="335">
        <f t="shared" si="52"/>
        <v>36790</v>
      </c>
      <c r="AP87" s="345">
        <v>36831</v>
      </c>
      <c r="AQ87" s="317">
        <f t="shared" si="31"/>
        <v>41</v>
      </c>
      <c r="AS87" s="346">
        <v>4.5999999999999999E-2</v>
      </c>
      <c r="AT87" s="339">
        <f>ROUND(((AT86*SUM($AQ$10:AQ86))+(AS87*AQ87))/SUM($AQ$10:AQ87),5)</f>
        <v>3.705E-2</v>
      </c>
      <c r="AU87" s="348">
        <v>53.57</v>
      </c>
      <c r="BB87" s="352"/>
      <c r="BC87" s="348"/>
      <c r="BE87" s="335">
        <f t="shared" si="44"/>
        <v>34324</v>
      </c>
      <c r="BF87" s="335">
        <v>34331</v>
      </c>
      <c r="BG87" s="317">
        <f t="shared" si="33"/>
        <v>7</v>
      </c>
      <c r="BH87" s="336">
        <v>2.9900000000000003E-2</v>
      </c>
      <c r="BI87" s="337">
        <f t="shared" si="29"/>
        <v>17202.740000000002</v>
      </c>
      <c r="BJ87" s="338"/>
      <c r="BK87" s="341"/>
      <c r="BL87" s="338"/>
      <c r="BM87" s="338"/>
      <c r="BO87" s="335">
        <f t="shared" si="45"/>
        <v>36281</v>
      </c>
      <c r="BP87" s="345">
        <v>36286</v>
      </c>
      <c r="BQ87" s="317">
        <f t="shared" si="34"/>
        <v>5</v>
      </c>
      <c r="BR87" s="346">
        <v>3.9600000000000003E-2</v>
      </c>
      <c r="BS87" s="337">
        <f t="shared" si="32"/>
        <v>9221.92</v>
      </c>
      <c r="BT87" s="341" t="s">
        <v>35</v>
      </c>
      <c r="BW87" s="335">
        <f t="shared" si="55"/>
        <v>36503</v>
      </c>
      <c r="BX87" s="345">
        <v>36510</v>
      </c>
      <c r="BY87" s="317">
        <f t="shared" si="35"/>
        <v>7</v>
      </c>
      <c r="BZ87" s="346">
        <v>3.2899999999999999E-2</v>
      </c>
      <c r="CA87" s="337">
        <f t="shared" si="36"/>
        <v>31547.95</v>
      </c>
      <c r="CD87" s="335">
        <f t="shared" si="53"/>
        <v>36503</v>
      </c>
      <c r="CE87" s="345">
        <v>36510</v>
      </c>
      <c r="CF87" s="317">
        <f t="shared" si="37"/>
        <v>7</v>
      </c>
      <c r="CG87" s="347">
        <v>3.2899999999999999E-2</v>
      </c>
      <c r="CH87" s="337">
        <f t="shared" si="38"/>
        <v>31547.95</v>
      </c>
      <c r="CI87" s="341" t="s">
        <v>35</v>
      </c>
      <c r="CL87" s="335">
        <f t="shared" si="46"/>
        <v>37203</v>
      </c>
      <c r="CM87" s="345">
        <v>37210</v>
      </c>
      <c r="CN87" s="317">
        <f t="shared" si="54"/>
        <v>7</v>
      </c>
      <c r="CO87" s="346">
        <v>1.67E-2</v>
      </c>
      <c r="CP87" s="346"/>
      <c r="CQ87" s="346"/>
      <c r="CR87" s="346"/>
      <c r="CS87" s="346"/>
      <c r="CT87" s="346"/>
      <c r="CU87" s="346"/>
      <c r="CV87" s="337">
        <f t="shared" si="30"/>
        <v>26690.03</v>
      </c>
    </row>
    <row r="88" spans="1:101" hidden="1" x14ac:dyDescent="0.25">
      <c r="A88" s="335">
        <f t="shared" si="47"/>
        <v>34345</v>
      </c>
      <c r="B88" s="335">
        <v>34354</v>
      </c>
      <c r="C88" s="317">
        <f t="shared" si="39"/>
        <v>9</v>
      </c>
      <c r="D88" s="317"/>
      <c r="E88" s="336">
        <v>2.4729999999999999E-2</v>
      </c>
      <c r="F88" s="339">
        <f>ROUND(((F87*SUM($C$10:C87))+(E88*C88))/SUM($C$10:C88),5)</f>
        <v>2.4879999999999999E-2</v>
      </c>
      <c r="G88" s="340">
        <v>88.8</v>
      </c>
      <c r="I88" s="335">
        <f t="shared" si="48"/>
        <v>34291</v>
      </c>
      <c r="J88" s="335">
        <v>34292</v>
      </c>
      <c r="K88" s="317">
        <f t="shared" si="40"/>
        <v>1</v>
      </c>
      <c r="L88" s="317"/>
      <c r="M88" s="336">
        <v>2.5329999999999998E-2</v>
      </c>
      <c r="N88" s="339">
        <f>ROUND(((N87*SUM($K$10:K87))+(M88*K88))/SUM($K$10:K88),5)</f>
        <v>2.4850000000000001E-2</v>
      </c>
      <c r="O88" s="340">
        <v>71.2</v>
      </c>
      <c r="Q88" s="335">
        <f t="shared" si="49"/>
        <v>34746</v>
      </c>
      <c r="R88" s="353">
        <v>34747</v>
      </c>
      <c r="S88" s="317">
        <f t="shared" si="41"/>
        <v>1</v>
      </c>
      <c r="U88" s="339">
        <v>3.805E-2</v>
      </c>
      <c r="V88" s="339">
        <f>ROUND(((V87*SUM($S$10:S87))+(U88*S88))/SUM($S$10:S88),5)</f>
        <v>2.9510000000000002E-2</v>
      </c>
      <c r="W88" s="316">
        <v>86.7</v>
      </c>
      <c r="Y88" s="335">
        <f t="shared" si="50"/>
        <v>36553</v>
      </c>
      <c r="Z88" s="345">
        <v>36564</v>
      </c>
      <c r="AA88" s="317">
        <f t="shared" si="42"/>
        <v>11</v>
      </c>
      <c r="AC88" s="346">
        <v>3.5431999999999998E-2</v>
      </c>
      <c r="AD88" s="339">
        <f>ROUND(((AD87*SUM($AA$10:AA87))+(AC88*AA88))/SUM($AA$10:AA88),5)</f>
        <v>3.5009999999999999E-2</v>
      </c>
      <c r="AE88" s="348">
        <v>124.5</v>
      </c>
      <c r="AH88" s="345"/>
      <c r="AK88" s="346"/>
      <c r="AL88" s="339">
        <f>ROUND(((AL87*SUM($AI$10:AI87))+(AK88*AI88))/SUM($AI$10:AI88),5)</f>
        <v>-1.9599999999999999E-3</v>
      </c>
      <c r="AM88" s="348"/>
      <c r="AO88" s="335">
        <f t="shared" si="52"/>
        <v>36831</v>
      </c>
      <c r="AP88" s="345">
        <v>36866</v>
      </c>
      <c r="AQ88" s="317">
        <f t="shared" si="31"/>
        <v>35</v>
      </c>
      <c r="AS88" s="346">
        <v>4.7442999999999999E-2</v>
      </c>
      <c r="AT88" s="339">
        <f>ROUND(((AT87*SUM($AQ$10:AQ87))+(AS88*AQ88))/SUM($AQ$10:AQ88),5)</f>
        <v>3.7379999999999997E-2</v>
      </c>
      <c r="AU88" s="348">
        <v>41.57</v>
      </c>
      <c r="BB88" s="352"/>
      <c r="BC88" s="348"/>
      <c r="BE88" s="335">
        <f t="shared" si="44"/>
        <v>34331</v>
      </c>
      <c r="BF88" s="335">
        <v>34335</v>
      </c>
      <c r="BG88" s="317">
        <f t="shared" si="33"/>
        <v>4</v>
      </c>
      <c r="BH88" s="336">
        <v>3.2500000000000001E-2</v>
      </c>
      <c r="BI88" s="337">
        <f t="shared" si="29"/>
        <v>10684.93</v>
      </c>
      <c r="BJ88" s="341">
        <f>SUM(BI84:BI88)</f>
        <v>61331.51</v>
      </c>
      <c r="BK88" s="341">
        <v>64516.43</v>
      </c>
      <c r="BL88" s="341">
        <f>BJ88-BK88</f>
        <v>-3184.9199999999983</v>
      </c>
      <c r="BM88" s="341">
        <f>BM83+BL88</f>
        <v>-1404.6099999999897</v>
      </c>
      <c r="BO88" s="335">
        <f t="shared" si="45"/>
        <v>36286</v>
      </c>
      <c r="BP88" s="345">
        <v>36293</v>
      </c>
      <c r="BQ88" s="317">
        <f t="shared" si="34"/>
        <v>7</v>
      </c>
      <c r="BR88" s="346">
        <v>3.6499999999999998E-2</v>
      </c>
      <c r="BS88" s="337">
        <f t="shared" si="32"/>
        <v>11900</v>
      </c>
      <c r="BW88" s="335">
        <f t="shared" si="55"/>
        <v>36510</v>
      </c>
      <c r="BX88" s="345">
        <v>36517</v>
      </c>
      <c r="BY88" s="317">
        <f t="shared" si="35"/>
        <v>7</v>
      </c>
      <c r="BZ88" s="346">
        <v>3.8899999999999997E-2</v>
      </c>
      <c r="CA88" s="337">
        <f t="shared" si="36"/>
        <v>37301.370000000003</v>
      </c>
      <c r="CD88" s="335">
        <f t="shared" si="53"/>
        <v>36510</v>
      </c>
      <c r="CE88" s="345">
        <v>36517</v>
      </c>
      <c r="CF88" s="317">
        <f t="shared" si="37"/>
        <v>7</v>
      </c>
      <c r="CG88" s="347">
        <v>3.8899999999999997E-2</v>
      </c>
      <c r="CH88" s="337">
        <f t="shared" si="38"/>
        <v>37301.370000000003</v>
      </c>
      <c r="CL88" s="335">
        <f t="shared" si="46"/>
        <v>37210</v>
      </c>
      <c r="CM88" s="345">
        <v>37218</v>
      </c>
      <c r="CN88" s="317">
        <f t="shared" si="54"/>
        <v>8</v>
      </c>
      <c r="CO88" s="346">
        <v>1.7100000000000001E-2</v>
      </c>
      <c r="CP88" s="346"/>
      <c r="CQ88" s="346"/>
      <c r="CR88" s="346"/>
      <c r="CS88" s="346"/>
      <c r="CT88" s="346"/>
      <c r="CU88" s="346"/>
      <c r="CV88" s="337">
        <f t="shared" si="30"/>
        <v>31233.5</v>
      </c>
    </row>
    <row r="89" spans="1:101" hidden="1" x14ac:dyDescent="0.25">
      <c r="A89" s="335">
        <f t="shared" si="47"/>
        <v>34354</v>
      </c>
      <c r="B89" s="335">
        <v>34361</v>
      </c>
      <c r="C89" s="317">
        <f t="shared" si="39"/>
        <v>7</v>
      </c>
      <c r="D89" s="317"/>
      <c r="E89" s="336">
        <v>2.4629999999999999E-2</v>
      </c>
      <c r="F89" s="339">
        <f>ROUND(((F88*SUM($C$10:C88))+(E89*C89))/SUM($C$10:C89),5)</f>
        <v>2.4879999999999999E-2</v>
      </c>
      <c r="G89" s="340">
        <v>90</v>
      </c>
      <c r="I89" s="335">
        <f t="shared" si="48"/>
        <v>34292</v>
      </c>
      <c r="J89" s="335">
        <v>34297</v>
      </c>
      <c r="K89" s="317">
        <f t="shared" si="40"/>
        <v>5</v>
      </c>
      <c r="L89" s="317"/>
      <c r="M89" s="336">
        <v>2.5329999999999998E-2</v>
      </c>
      <c r="N89" s="339">
        <f>ROUND(((N88*SUM($K$10:K88))+(M89*K89))/SUM($K$10:K89),5)</f>
        <v>2.486E-2</v>
      </c>
      <c r="O89" s="340">
        <v>70.7</v>
      </c>
      <c r="Q89" s="335">
        <f t="shared" si="49"/>
        <v>34747</v>
      </c>
      <c r="R89" s="353">
        <v>34754</v>
      </c>
      <c r="S89" s="317">
        <f t="shared" si="41"/>
        <v>7</v>
      </c>
      <c r="U89" s="339">
        <v>3.7999999999999999E-2</v>
      </c>
      <c r="V89" s="339">
        <f>ROUND(((V88*SUM($S$10:S88))+(U89*S89))/SUM($S$10:S89),5)</f>
        <v>2.962E-2</v>
      </c>
      <c r="W89" s="316">
        <v>80.099999999999994</v>
      </c>
      <c r="Y89" s="335">
        <f t="shared" si="50"/>
        <v>36564</v>
      </c>
      <c r="Z89" s="345">
        <v>36566</v>
      </c>
      <c r="AA89" s="317">
        <f t="shared" si="42"/>
        <v>2</v>
      </c>
      <c r="AC89" s="346">
        <v>3.5409000000000003E-2</v>
      </c>
      <c r="AD89" s="339">
        <f>ROUND(((AD88*SUM($AA$10:AA88))+(AC89*AA89))/SUM($AA$10:AA89),5)</f>
        <v>3.5009999999999999E-2</v>
      </c>
      <c r="AE89" s="348">
        <v>126.6</v>
      </c>
      <c r="AH89" s="345"/>
      <c r="AK89" s="346"/>
      <c r="AL89" s="339">
        <f>ROUND(((AL88*SUM($AI$10:AI88))+(AK89*AI89))/SUM($AI$10:AI89),5)</f>
        <v>-1.9599999999999999E-3</v>
      </c>
      <c r="AM89" s="348"/>
      <c r="AO89" s="335">
        <f t="shared" si="52"/>
        <v>36866</v>
      </c>
      <c r="AP89" s="345">
        <v>36871</v>
      </c>
      <c r="AQ89" s="317">
        <f t="shared" si="31"/>
        <v>5</v>
      </c>
      <c r="AS89" s="346">
        <v>4.7432000000000002E-2</v>
      </c>
      <c r="AT89" s="339">
        <f>ROUND(((AT88*SUM($AQ$10:AQ88))+(AS89*AQ89))/SUM($AQ$10:AQ89),5)</f>
        <v>3.7420000000000002E-2</v>
      </c>
      <c r="AU89" s="348">
        <v>40.71</v>
      </c>
      <c r="BB89" s="352"/>
      <c r="BC89" s="348"/>
      <c r="BE89" s="335">
        <f t="shared" si="44"/>
        <v>34335</v>
      </c>
      <c r="BF89" s="335">
        <v>34338</v>
      </c>
      <c r="BG89" s="317">
        <f t="shared" si="33"/>
        <v>3</v>
      </c>
      <c r="BH89" s="336">
        <v>3.2500000000000001E-2</v>
      </c>
      <c r="BI89" s="337">
        <f t="shared" si="29"/>
        <v>8013.7</v>
      </c>
      <c r="BJ89" s="338"/>
      <c r="BK89" s="341"/>
      <c r="BL89" s="338"/>
      <c r="BM89" s="338"/>
      <c r="BO89" s="335">
        <f t="shared" si="45"/>
        <v>36293</v>
      </c>
      <c r="BP89" s="345">
        <v>36300</v>
      </c>
      <c r="BQ89" s="317">
        <f t="shared" si="34"/>
        <v>7</v>
      </c>
      <c r="BR89" s="346">
        <v>3.5400000000000001E-2</v>
      </c>
      <c r="BS89" s="337">
        <f t="shared" si="32"/>
        <v>11541.37</v>
      </c>
      <c r="BW89" s="335">
        <f t="shared" si="55"/>
        <v>36517</v>
      </c>
      <c r="BX89" s="345">
        <v>36524</v>
      </c>
      <c r="BY89" s="317">
        <f t="shared" si="35"/>
        <v>7</v>
      </c>
      <c r="BZ89" s="346">
        <v>4.6600000000000003E-2</v>
      </c>
      <c r="CA89" s="337">
        <f t="shared" si="36"/>
        <v>44684.93</v>
      </c>
      <c r="CD89" s="335">
        <f t="shared" si="53"/>
        <v>36517</v>
      </c>
      <c r="CE89" s="345">
        <v>36524</v>
      </c>
      <c r="CF89" s="317">
        <f t="shared" si="37"/>
        <v>7</v>
      </c>
      <c r="CG89" s="347">
        <v>4.6600000000000003E-2</v>
      </c>
      <c r="CH89" s="337">
        <f t="shared" si="38"/>
        <v>44684.93</v>
      </c>
      <c r="CL89" s="335">
        <f t="shared" si="46"/>
        <v>37218</v>
      </c>
      <c r="CM89" s="345">
        <v>37224</v>
      </c>
      <c r="CN89" s="317">
        <f t="shared" si="54"/>
        <v>6</v>
      </c>
      <c r="CO89" s="346">
        <v>1.66E-2</v>
      </c>
      <c r="CP89" s="346"/>
      <c r="CQ89" s="346"/>
      <c r="CR89" s="346"/>
      <c r="CS89" s="346"/>
      <c r="CT89" s="346"/>
      <c r="CU89" s="346"/>
      <c r="CV89" s="337">
        <f t="shared" si="30"/>
        <v>22740.18</v>
      </c>
    </row>
    <row r="90" spans="1:101" hidden="1" x14ac:dyDescent="0.25">
      <c r="A90" s="335">
        <f t="shared" si="47"/>
        <v>34361</v>
      </c>
      <c r="B90" s="335">
        <v>34367</v>
      </c>
      <c r="C90" s="317">
        <f t="shared" si="39"/>
        <v>6</v>
      </c>
      <c r="D90" s="317"/>
      <c r="E90" s="336">
        <v>2.462E-2</v>
      </c>
      <c r="F90" s="339">
        <f>ROUND(((F89*SUM($C$10:C89))+(E90*C90))/SUM($C$10:C90),5)</f>
        <v>2.4879999999999999E-2</v>
      </c>
      <c r="G90" s="340">
        <v>90.3</v>
      </c>
      <c r="I90" s="335">
        <f t="shared" si="48"/>
        <v>34297</v>
      </c>
      <c r="J90" s="335">
        <v>34302</v>
      </c>
      <c r="K90" s="317">
        <f t="shared" si="40"/>
        <v>5</v>
      </c>
      <c r="L90" s="317"/>
      <c r="M90" s="336">
        <v>2.547E-2</v>
      </c>
      <c r="N90" s="339">
        <f>ROUND(((N89*SUM($K$10:K89))+(M90*K90))/SUM($K$10:K90),5)</f>
        <v>2.487E-2</v>
      </c>
      <c r="O90" s="340">
        <v>69.8</v>
      </c>
      <c r="Q90" s="335">
        <f t="shared" si="49"/>
        <v>34754</v>
      </c>
      <c r="R90" s="353">
        <v>34759</v>
      </c>
      <c r="S90" s="317">
        <f t="shared" si="41"/>
        <v>5</v>
      </c>
      <c r="U90" s="339">
        <v>3.9699999999999999E-2</v>
      </c>
      <c r="V90" s="339">
        <f>ROUND(((V89*SUM($S$10:S89))+(U90*S90))/SUM($S$10:S90),5)</f>
        <v>2.971E-2</v>
      </c>
      <c r="W90" s="316">
        <v>73.8</v>
      </c>
      <c r="Y90" s="335">
        <f t="shared" si="50"/>
        <v>36566</v>
      </c>
      <c r="Z90" s="345">
        <v>36572</v>
      </c>
      <c r="AA90" s="317">
        <f t="shared" si="42"/>
        <v>6</v>
      </c>
      <c r="AC90" s="346">
        <v>3.4983E-2</v>
      </c>
      <c r="AD90" s="339">
        <f>ROUND(((AD89*SUM($AA$10:AA89))+(AC90*AA90))/SUM($AA$10:AA90),5)</f>
        <v>3.5009999999999999E-2</v>
      </c>
      <c r="AE90" s="348">
        <v>109.8</v>
      </c>
      <c r="AH90" s="345"/>
      <c r="AK90" s="346"/>
      <c r="AL90" s="339">
        <f>ROUND(((AL89*SUM($AI$10:AI89))+(AK90*AI90))/SUM($AI$10:AI90),5)</f>
        <v>-1.9599999999999999E-3</v>
      </c>
      <c r="AM90" s="348"/>
      <c r="AO90" s="335">
        <f t="shared" si="52"/>
        <v>36871</v>
      </c>
      <c r="AP90" s="345">
        <v>36879</v>
      </c>
      <c r="AQ90" s="317">
        <f t="shared" si="31"/>
        <v>8</v>
      </c>
      <c r="AS90" s="346">
        <v>4.7697999999999997E-2</v>
      </c>
      <c r="AT90" s="339">
        <f>ROUND(((AT89*SUM($AQ$10:AQ89))+(AS90*AQ90))/SUM($AQ$10:AQ90),5)</f>
        <v>3.7490000000000002E-2</v>
      </c>
      <c r="AU90" s="348">
        <v>30.29</v>
      </c>
      <c r="BB90" s="352"/>
      <c r="BC90" s="348"/>
      <c r="BE90" s="335">
        <f t="shared" si="44"/>
        <v>34338</v>
      </c>
      <c r="BF90" s="335">
        <v>34345</v>
      </c>
      <c r="BG90" s="317">
        <f t="shared" si="33"/>
        <v>7</v>
      </c>
      <c r="BH90" s="336">
        <v>1.7899999999999999E-2</v>
      </c>
      <c r="BI90" s="337">
        <f t="shared" ref="BI90:BI153" si="56">ROUND($BI$5*BH90*BG90/365,2)</f>
        <v>10298.629999999999</v>
      </c>
      <c r="BJ90" s="338"/>
      <c r="BK90" s="341"/>
      <c r="BL90" s="338"/>
      <c r="BM90" s="338"/>
      <c r="BO90" s="335">
        <f t="shared" si="45"/>
        <v>36300</v>
      </c>
      <c r="BP90" s="345">
        <v>36307</v>
      </c>
      <c r="BQ90" s="317">
        <f t="shared" si="34"/>
        <v>7</v>
      </c>
      <c r="BR90" s="346">
        <v>3.3500000000000002E-2</v>
      </c>
      <c r="BS90" s="337">
        <f t="shared" si="32"/>
        <v>10921.92</v>
      </c>
      <c r="BW90" s="335">
        <f t="shared" si="55"/>
        <v>36524</v>
      </c>
      <c r="BX90" s="345">
        <v>36526</v>
      </c>
      <c r="BY90" s="317">
        <f t="shared" si="35"/>
        <v>2</v>
      </c>
      <c r="BZ90" s="346">
        <v>5.4600000000000003E-2</v>
      </c>
      <c r="CA90" s="337">
        <f t="shared" si="36"/>
        <v>14958.9</v>
      </c>
      <c r="CB90" s="341">
        <f>SUM(CA85:CA90)</f>
        <v>168986.3</v>
      </c>
      <c r="CD90" s="335">
        <f t="shared" si="53"/>
        <v>36524</v>
      </c>
      <c r="CE90" s="345">
        <v>36526</v>
      </c>
      <c r="CF90" s="317">
        <f t="shared" si="37"/>
        <v>2</v>
      </c>
      <c r="CG90" s="347">
        <v>5.4600000000000003E-2</v>
      </c>
      <c r="CH90" s="337">
        <f t="shared" si="38"/>
        <v>14958.9</v>
      </c>
      <c r="CI90" s="341">
        <f>SUM(CH85:CH90)</f>
        <v>168986.3</v>
      </c>
      <c r="CL90" s="335">
        <f t="shared" si="46"/>
        <v>37224</v>
      </c>
      <c r="CM90" s="345">
        <v>37226</v>
      </c>
      <c r="CN90" s="317">
        <f t="shared" si="54"/>
        <v>2</v>
      </c>
      <c r="CO90" s="346">
        <v>1.49E-2</v>
      </c>
      <c r="CP90" s="346"/>
      <c r="CQ90" s="346"/>
      <c r="CR90" s="346"/>
      <c r="CS90" s="346"/>
      <c r="CT90" s="346"/>
      <c r="CU90" s="346"/>
      <c r="CV90" s="337">
        <f t="shared" si="30"/>
        <v>6803.79</v>
      </c>
      <c r="CW90" s="341">
        <f>SUM(CV86:CV90)</f>
        <v>118952.14999999998</v>
      </c>
    </row>
    <row r="91" spans="1:101" hidden="1" x14ac:dyDescent="0.25">
      <c r="A91" s="335">
        <f t="shared" si="47"/>
        <v>34367</v>
      </c>
      <c r="B91" s="335">
        <v>34368</v>
      </c>
      <c r="C91" s="317">
        <f t="shared" si="39"/>
        <v>1</v>
      </c>
      <c r="D91" s="317"/>
      <c r="E91" s="336">
        <v>2.4479999999999998E-2</v>
      </c>
      <c r="F91" s="339">
        <f>ROUND(((F90*SUM($C$10:C90))+(E91*C91))/SUM($C$10:C91),5)</f>
        <v>2.4879999999999999E-2</v>
      </c>
      <c r="G91" s="340">
        <v>84.9</v>
      </c>
      <c r="I91" s="335">
        <f t="shared" si="48"/>
        <v>34302</v>
      </c>
      <c r="J91" s="335">
        <v>34304</v>
      </c>
      <c r="K91" s="317">
        <f t="shared" si="40"/>
        <v>2</v>
      </c>
      <c r="L91" s="317"/>
      <c r="M91" s="336">
        <v>2.5440000000000001E-2</v>
      </c>
      <c r="N91" s="339">
        <f>ROUND(((N90*SUM($K$10:K90))+(M91*K91))/SUM($K$10:K91),5)</f>
        <v>2.487E-2</v>
      </c>
      <c r="O91" s="340">
        <v>73.599999999999994</v>
      </c>
      <c r="Q91" s="335">
        <f t="shared" si="49"/>
        <v>34759</v>
      </c>
      <c r="R91" s="353">
        <v>34760</v>
      </c>
      <c r="S91" s="317">
        <f t="shared" si="41"/>
        <v>1</v>
      </c>
      <c r="U91" s="339">
        <v>4.0140000000000002E-2</v>
      </c>
      <c r="V91" s="339">
        <f>ROUND(((V90*SUM($S$10:S90))+(U91*S91))/SUM($S$10:S91),5)</f>
        <v>2.9729999999999999E-2</v>
      </c>
      <c r="W91" s="316">
        <v>92.7</v>
      </c>
      <c r="Y91" s="335">
        <f t="shared" si="50"/>
        <v>36572</v>
      </c>
      <c r="Z91" s="345">
        <v>36574</v>
      </c>
      <c r="AA91" s="317">
        <f t="shared" si="42"/>
        <v>2</v>
      </c>
      <c r="AC91" s="346">
        <v>3.5046000000000001E-2</v>
      </c>
      <c r="AD91" s="339">
        <f>ROUND(((AD90*SUM($AA$10:AA90))+(AC91*AA91))/SUM($AA$10:AA91),5)</f>
        <v>3.5009999999999999E-2</v>
      </c>
      <c r="AE91" s="348">
        <v>97.57</v>
      </c>
      <c r="AH91" s="345"/>
      <c r="AK91" s="346"/>
      <c r="AM91" s="348"/>
      <c r="AO91" s="335">
        <f t="shared" si="52"/>
        <v>36879</v>
      </c>
      <c r="AP91" s="345">
        <v>36900</v>
      </c>
      <c r="AQ91" s="317">
        <f t="shared" si="31"/>
        <v>21</v>
      </c>
      <c r="AS91" s="346">
        <v>4.7881E-2</v>
      </c>
      <c r="AT91" s="339">
        <f>ROUND(((AT90*SUM($AQ$10:AQ90))+(AS91*AQ91))/SUM($AQ$10:AQ91),5)</f>
        <v>3.7679999999999998E-2</v>
      </c>
      <c r="AU91" s="348">
        <v>38.29</v>
      </c>
      <c r="BB91" s="352"/>
      <c r="BC91" s="348"/>
      <c r="BE91" s="335">
        <f t="shared" si="44"/>
        <v>34345</v>
      </c>
      <c r="BF91" s="335">
        <v>34352</v>
      </c>
      <c r="BG91" s="317">
        <f t="shared" si="33"/>
        <v>7</v>
      </c>
      <c r="BH91" s="336">
        <v>1.89E-2</v>
      </c>
      <c r="BI91" s="337">
        <f t="shared" si="56"/>
        <v>10873.97</v>
      </c>
      <c r="BJ91" s="338"/>
      <c r="BK91" s="341"/>
      <c r="BL91" s="338"/>
      <c r="BM91" s="338"/>
      <c r="BO91" s="335">
        <f t="shared" si="45"/>
        <v>36307</v>
      </c>
      <c r="BP91" s="345">
        <v>36312</v>
      </c>
      <c r="BQ91" s="317">
        <f t="shared" si="34"/>
        <v>5</v>
      </c>
      <c r="BR91" s="346">
        <v>3.27E-2</v>
      </c>
      <c r="BS91" s="337">
        <f t="shared" si="32"/>
        <v>7615.07</v>
      </c>
      <c r="BT91" s="341">
        <f>SUM(BS87:BS91)</f>
        <v>51200.28</v>
      </c>
      <c r="BW91" s="335">
        <f t="shared" si="55"/>
        <v>36526</v>
      </c>
      <c r="BX91" s="345">
        <v>36531</v>
      </c>
      <c r="BY91" s="317">
        <f t="shared" si="35"/>
        <v>5</v>
      </c>
      <c r="BZ91" s="346">
        <v>5.4600000000000003E-2</v>
      </c>
      <c r="CA91" s="337">
        <f t="shared" ref="CA91:CA105" si="57">ROUND($CA$5*BZ91*BY91/366,6)</f>
        <v>37295.081966999998</v>
      </c>
      <c r="CD91" s="335">
        <f t="shared" si="53"/>
        <v>36526</v>
      </c>
      <c r="CE91" s="345">
        <v>36531</v>
      </c>
      <c r="CF91" s="317">
        <f t="shared" si="37"/>
        <v>5</v>
      </c>
      <c r="CG91" s="347">
        <v>5.4600000000000003E-2</v>
      </c>
      <c r="CH91" s="337">
        <f>ROUND($CA$5*CG91*CF91/366,6)</f>
        <v>37295.081966999998</v>
      </c>
      <c r="CL91" s="335">
        <f t="shared" si="46"/>
        <v>37226</v>
      </c>
      <c r="CM91" s="345">
        <v>37231</v>
      </c>
      <c r="CN91" s="317">
        <f t="shared" si="54"/>
        <v>5</v>
      </c>
      <c r="CO91" s="346">
        <v>1.49E-2</v>
      </c>
      <c r="CP91" s="346"/>
      <c r="CQ91" s="346"/>
      <c r="CR91" s="346"/>
      <c r="CS91" s="346"/>
      <c r="CT91" s="346"/>
      <c r="CU91" s="346"/>
      <c r="CV91" s="337">
        <f t="shared" si="30"/>
        <v>17009.47</v>
      </c>
    </row>
    <row r="92" spans="1:101" hidden="1" x14ac:dyDescent="0.25">
      <c r="A92" s="335">
        <f t="shared" si="47"/>
        <v>34368</v>
      </c>
      <c r="B92" s="335">
        <v>34374</v>
      </c>
      <c r="C92" s="317">
        <f t="shared" si="39"/>
        <v>6</v>
      </c>
      <c r="D92" s="317"/>
      <c r="E92" s="336">
        <v>2.41E-2</v>
      </c>
      <c r="F92" s="339">
        <f>ROUND(((F91*SUM($C$10:C91))+(E92*C92))/SUM($C$10:C92),5)</f>
        <v>2.487E-2</v>
      </c>
      <c r="G92" s="340">
        <v>82.6</v>
      </c>
      <c r="I92" s="335">
        <f t="shared" si="48"/>
        <v>34304</v>
      </c>
      <c r="J92" s="335">
        <v>34312</v>
      </c>
      <c r="K92" s="317">
        <f t="shared" si="40"/>
        <v>8</v>
      </c>
      <c r="L92" s="317"/>
      <c r="M92" s="336">
        <v>2.547E-2</v>
      </c>
      <c r="N92" s="339">
        <f>ROUND(((N91*SUM($K$10:K91))+(M92*K92))/SUM($K$10:K92),5)</f>
        <v>2.4879999999999999E-2</v>
      </c>
      <c r="O92" s="340">
        <v>73.8</v>
      </c>
      <c r="Q92" s="335">
        <f t="shared" si="49"/>
        <v>34760</v>
      </c>
      <c r="R92" s="353">
        <v>34761</v>
      </c>
      <c r="S92" s="317">
        <f t="shared" si="41"/>
        <v>1</v>
      </c>
      <c r="U92" s="339">
        <v>4.0219999999999999E-2</v>
      </c>
      <c r="V92" s="339">
        <f>ROUND(((V91*SUM($S$10:S91))+(U92*S92))/SUM($S$10:S92),5)</f>
        <v>2.9749999999999999E-2</v>
      </c>
      <c r="W92" s="316">
        <v>93.7</v>
      </c>
      <c r="Y92" s="335">
        <f t="shared" si="50"/>
        <v>36574</v>
      </c>
      <c r="Z92" s="345">
        <v>36588</v>
      </c>
      <c r="AA92" s="317">
        <f t="shared" si="42"/>
        <v>14</v>
      </c>
      <c r="AC92" s="346">
        <v>3.7204000000000001E-2</v>
      </c>
      <c r="AD92" s="339">
        <f>ROUND(((AD91*SUM($AA$10:AA91))+(AC92*AA92))/SUM($AA$10:AA92),5)</f>
        <v>3.5029999999999999E-2</v>
      </c>
      <c r="AE92" s="348">
        <v>45.35</v>
      </c>
      <c r="AH92" s="345"/>
      <c r="AK92" s="346"/>
      <c r="AM92" s="348"/>
      <c r="AO92" s="335">
        <f t="shared" si="52"/>
        <v>36900</v>
      </c>
      <c r="AP92" s="345">
        <v>36908</v>
      </c>
      <c r="AQ92" s="317">
        <f t="shared" si="31"/>
        <v>8</v>
      </c>
      <c r="AS92" s="346">
        <v>4.8571000000000003E-2</v>
      </c>
      <c r="AT92" s="339">
        <f>ROUND(((AT91*SUM($AQ$10:AQ91))+(AS92*AQ92))/SUM($AQ$10:AQ92),5)</f>
        <v>3.7760000000000002E-2</v>
      </c>
      <c r="AU92" s="348">
        <v>16</v>
      </c>
      <c r="BB92" s="352"/>
      <c r="BC92" s="348"/>
      <c r="BE92" s="335">
        <f t="shared" si="44"/>
        <v>34352</v>
      </c>
      <c r="BF92" s="335">
        <v>34359</v>
      </c>
      <c r="BG92" s="317">
        <f t="shared" si="33"/>
        <v>7</v>
      </c>
      <c r="BH92" s="336">
        <v>2.0500000000000001E-2</v>
      </c>
      <c r="BI92" s="337">
        <f t="shared" si="56"/>
        <v>11794.52</v>
      </c>
      <c r="BJ92" s="338"/>
      <c r="BK92" s="341"/>
      <c r="BL92" s="338"/>
      <c r="BM92" s="338"/>
      <c r="BO92" s="335">
        <f t="shared" si="45"/>
        <v>36312</v>
      </c>
      <c r="BP92" s="345">
        <v>36314</v>
      </c>
      <c r="BQ92" s="317">
        <f t="shared" si="34"/>
        <v>2</v>
      </c>
      <c r="BR92" s="346">
        <v>3.27E-2</v>
      </c>
      <c r="BS92" s="337">
        <f t="shared" si="32"/>
        <v>3046.03</v>
      </c>
      <c r="BW92" s="335">
        <f t="shared" si="55"/>
        <v>36531</v>
      </c>
      <c r="BX92" s="345">
        <v>36538</v>
      </c>
      <c r="BY92" s="317">
        <f t="shared" si="35"/>
        <v>7</v>
      </c>
      <c r="BZ92" s="346">
        <v>2.93E-2</v>
      </c>
      <c r="CA92" s="337">
        <f t="shared" si="57"/>
        <v>28019.125682999998</v>
      </c>
      <c r="CD92" s="335">
        <f t="shared" si="53"/>
        <v>36531</v>
      </c>
      <c r="CE92" s="345">
        <v>36538</v>
      </c>
      <c r="CF92" s="317">
        <f t="shared" si="37"/>
        <v>7</v>
      </c>
      <c r="CG92" s="347">
        <v>2.93E-2</v>
      </c>
      <c r="CH92" s="337">
        <f t="shared" ref="CH92:CH153" si="58">ROUND($CA$5*CG92*CF92/366,6)</f>
        <v>28019.125682999998</v>
      </c>
      <c r="CL92" s="335">
        <f t="shared" si="46"/>
        <v>37231</v>
      </c>
      <c r="CM92" s="345">
        <v>37238</v>
      </c>
      <c r="CN92" s="317">
        <f t="shared" si="54"/>
        <v>7</v>
      </c>
      <c r="CO92" s="346">
        <v>1.0999999999999999E-2</v>
      </c>
      <c r="CP92" s="346"/>
      <c r="CQ92" s="346"/>
      <c r="CR92" s="346"/>
      <c r="CS92" s="346"/>
      <c r="CT92" s="346"/>
      <c r="CU92" s="346"/>
      <c r="CV92" s="337">
        <f t="shared" si="30"/>
        <v>17580.259999999998</v>
      </c>
    </row>
    <row r="93" spans="1:101" hidden="1" x14ac:dyDescent="0.25">
      <c r="A93" s="335">
        <f t="shared" si="47"/>
        <v>34374</v>
      </c>
      <c r="B93" s="335">
        <v>34375</v>
      </c>
      <c r="C93" s="317">
        <f t="shared" si="39"/>
        <v>1</v>
      </c>
      <c r="D93" s="317"/>
      <c r="E93" s="336">
        <v>2.4240000000000001E-2</v>
      </c>
      <c r="F93" s="339">
        <f>ROUND(((F92*SUM($C$10:C92))+(E93*C93))/SUM($C$10:C93),5)</f>
        <v>2.487E-2</v>
      </c>
      <c r="G93" s="340">
        <v>85.6</v>
      </c>
      <c r="I93" s="335">
        <f t="shared" si="48"/>
        <v>34312</v>
      </c>
      <c r="J93" s="335">
        <v>34320</v>
      </c>
      <c r="K93" s="317">
        <f t="shared" si="40"/>
        <v>8</v>
      </c>
      <c r="L93" s="317"/>
      <c r="M93" s="336">
        <v>2.546E-2</v>
      </c>
      <c r="N93" s="339">
        <f>ROUND(((N92*SUM($K$10:K92))+(M93*K93))/SUM($K$10:K93),5)</f>
        <v>2.4889999999999999E-2</v>
      </c>
      <c r="O93" s="340">
        <v>73.900000000000006</v>
      </c>
      <c r="Q93" s="335">
        <f t="shared" si="49"/>
        <v>34761</v>
      </c>
      <c r="R93" s="353">
        <v>34766</v>
      </c>
      <c r="S93" s="317">
        <f t="shared" si="41"/>
        <v>5</v>
      </c>
      <c r="U93" s="339">
        <v>4.0280000000000003E-2</v>
      </c>
      <c r="V93" s="339">
        <f>ROUND(((V92*SUM($S$10:S92))+(U93*S93))/SUM($S$10:S93),5)</f>
        <v>2.9850000000000002E-2</v>
      </c>
      <c r="W93" s="316">
        <v>96.4</v>
      </c>
      <c r="Y93" s="335">
        <f t="shared" si="50"/>
        <v>36588</v>
      </c>
      <c r="Z93" s="345">
        <v>36594</v>
      </c>
      <c r="AA93" s="317">
        <f t="shared" si="42"/>
        <v>6</v>
      </c>
      <c r="AC93" s="346">
        <v>3.7683000000000001E-2</v>
      </c>
      <c r="AD93" s="339">
        <f>ROUND(((AD92*SUM($AA$10:AA92))+(AC93*AA93))/SUM($AA$10:AA93),5)</f>
        <v>3.5040000000000002E-2</v>
      </c>
      <c r="AE93" s="348">
        <v>50.01</v>
      </c>
      <c r="AH93" s="345"/>
      <c r="AK93" s="346"/>
      <c r="AM93" s="348"/>
      <c r="AO93" s="335">
        <f t="shared" si="52"/>
        <v>36908</v>
      </c>
      <c r="AP93" s="345">
        <v>36915</v>
      </c>
      <c r="AQ93" s="317">
        <f t="shared" si="31"/>
        <v>7</v>
      </c>
      <c r="AS93" s="346">
        <v>4.7800000000000002E-2</v>
      </c>
      <c r="AT93" s="339">
        <f>ROUND(((AT92*SUM($AQ$10:AQ92))+(AS93*AQ93))/SUM($AQ$10:AQ93),5)</f>
        <v>3.7819999999999999E-2</v>
      </c>
      <c r="AU93" s="348">
        <v>15.14</v>
      </c>
      <c r="BB93" s="352"/>
      <c r="BC93" s="348"/>
      <c r="BE93" s="335">
        <f t="shared" si="44"/>
        <v>34359</v>
      </c>
      <c r="BF93" s="335">
        <v>34366</v>
      </c>
      <c r="BG93" s="317">
        <f t="shared" si="33"/>
        <v>7</v>
      </c>
      <c r="BH93" s="336">
        <v>2.2200000000000001E-2</v>
      </c>
      <c r="BI93" s="337">
        <f t="shared" si="56"/>
        <v>12772.6</v>
      </c>
      <c r="BJ93" s="341">
        <f>SUM(BI89:BI93)</f>
        <v>53753.419999999991</v>
      </c>
      <c r="BK93" s="341">
        <v>62482.06</v>
      </c>
      <c r="BL93" s="341">
        <f>BJ93-BK93</f>
        <v>-8728.6400000000067</v>
      </c>
      <c r="BM93" s="341">
        <f>BM88+BL93</f>
        <v>-10133.249999999996</v>
      </c>
      <c r="BO93" s="335">
        <f t="shared" si="45"/>
        <v>36314</v>
      </c>
      <c r="BP93" s="345">
        <v>36321</v>
      </c>
      <c r="BQ93" s="317">
        <f t="shared" si="34"/>
        <v>7</v>
      </c>
      <c r="BR93" s="346">
        <v>2.9600000000000001E-2</v>
      </c>
      <c r="BS93" s="337">
        <f t="shared" si="32"/>
        <v>9650.41</v>
      </c>
      <c r="BW93" s="335">
        <f t="shared" si="55"/>
        <v>36538</v>
      </c>
      <c r="BX93" s="345">
        <v>36545</v>
      </c>
      <c r="BY93" s="317">
        <f t="shared" si="35"/>
        <v>7</v>
      </c>
      <c r="BZ93" s="346">
        <v>2.9700000000000001E-2</v>
      </c>
      <c r="CA93" s="337">
        <f t="shared" si="57"/>
        <v>28401.639343999999</v>
      </c>
      <c r="CD93" s="335">
        <f t="shared" si="53"/>
        <v>36538</v>
      </c>
      <c r="CE93" s="345">
        <v>36545</v>
      </c>
      <c r="CF93" s="317">
        <f t="shared" si="37"/>
        <v>7</v>
      </c>
      <c r="CG93" s="347">
        <v>2.9700000000000001E-2</v>
      </c>
      <c r="CH93" s="337">
        <f t="shared" si="58"/>
        <v>28401.639343999999</v>
      </c>
      <c r="CL93" s="335">
        <f t="shared" si="46"/>
        <v>37238</v>
      </c>
      <c r="CM93" s="345">
        <v>37245</v>
      </c>
      <c r="CN93" s="317">
        <f t="shared" si="54"/>
        <v>7</v>
      </c>
      <c r="CO93" s="346">
        <v>1.1900000000000001E-2</v>
      </c>
      <c r="CP93" s="346"/>
      <c r="CQ93" s="346"/>
      <c r="CR93" s="346"/>
      <c r="CS93" s="346"/>
      <c r="CT93" s="346"/>
      <c r="CU93" s="346"/>
      <c r="CV93" s="337">
        <f t="shared" si="30"/>
        <v>19018.650000000001</v>
      </c>
    </row>
    <row r="94" spans="1:101" hidden="1" x14ac:dyDescent="0.25">
      <c r="A94" s="335">
        <f t="shared" si="47"/>
        <v>34375</v>
      </c>
      <c r="B94" s="335">
        <v>34379</v>
      </c>
      <c r="C94" s="317">
        <f t="shared" si="39"/>
        <v>4</v>
      </c>
      <c r="D94" s="317"/>
      <c r="E94" s="336">
        <v>2.4160000000000001E-2</v>
      </c>
      <c r="F94" s="339">
        <f>ROUND(((F93*SUM($C$10:C93))+(E94*C94))/SUM($C$10:C94),5)</f>
        <v>2.486E-2</v>
      </c>
      <c r="G94" s="340">
        <v>81.900000000000006</v>
      </c>
      <c r="I94" s="335">
        <f t="shared" si="48"/>
        <v>34320</v>
      </c>
      <c r="J94" s="335">
        <v>34323</v>
      </c>
      <c r="K94" s="317">
        <f t="shared" si="40"/>
        <v>3</v>
      </c>
      <c r="L94" s="317"/>
      <c r="M94" s="336">
        <v>2.555E-2</v>
      </c>
      <c r="N94" s="339">
        <f>ROUND(((N93*SUM($K$10:K93))+(M94*K94))/SUM($K$10:K94),5)</f>
        <v>2.4889999999999999E-2</v>
      </c>
      <c r="O94" s="340">
        <v>72.099999999999994</v>
      </c>
      <c r="Q94" s="335">
        <f t="shared" si="49"/>
        <v>34766</v>
      </c>
      <c r="R94" s="353">
        <v>34773</v>
      </c>
      <c r="S94" s="317">
        <f t="shared" si="41"/>
        <v>7</v>
      </c>
      <c r="U94" s="339">
        <v>4.0340000000000001E-2</v>
      </c>
      <c r="V94" s="339">
        <f>ROUND(((V93*SUM($S$10:S93))+(U94*S94))/SUM($S$10:S94),5)</f>
        <v>2.998E-2</v>
      </c>
      <c r="W94" s="316">
        <v>102.3</v>
      </c>
      <c r="Y94" s="335">
        <f t="shared" si="50"/>
        <v>36594</v>
      </c>
      <c r="Z94" s="345">
        <v>36595</v>
      </c>
      <c r="AA94" s="317">
        <f t="shared" si="42"/>
        <v>1</v>
      </c>
      <c r="AC94" s="346">
        <v>3.7954000000000002E-2</v>
      </c>
      <c r="AD94" s="339">
        <f>ROUND(((AD93*SUM($AA$10:AA93))+(AC94*AA94))/SUM($AA$10:AA94),5)</f>
        <v>3.5040000000000002E-2</v>
      </c>
      <c r="AE94" s="348">
        <v>46.15</v>
      </c>
      <c r="AH94" s="345"/>
      <c r="AK94" s="346"/>
      <c r="AO94" s="335">
        <f t="shared" si="52"/>
        <v>36915</v>
      </c>
      <c r="AP94" s="345">
        <v>36923</v>
      </c>
      <c r="AQ94" s="317">
        <f t="shared" si="31"/>
        <v>8</v>
      </c>
      <c r="AS94" s="346">
        <v>5.1249999999999997E-2</v>
      </c>
      <c r="AT94" s="339">
        <f>ROUND(((AT93*SUM($AQ$10:AQ93))+(AS94*AQ94))/SUM($AQ$10:AQ94),5)</f>
        <v>3.7909999999999999E-2</v>
      </c>
      <c r="AU94" s="348">
        <v>16</v>
      </c>
      <c r="BB94" s="352"/>
      <c r="BC94" s="348"/>
      <c r="BE94" s="335">
        <f t="shared" si="44"/>
        <v>34366</v>
      </c>
      <c r="BF94" s="335">
        <v>34373</v>
      </c>
      <c r="BG94" s="317">
        <f t="shared" si="33"/>
        <v>7</v>
      </c>
      <c r="BH94" s="336">
        <v>2.1000000000000001E-2</v>
      </c>
      <c r="BI94" s="337">
        <f t="shared" si="56"/>
        <v>12082.19</v>
      </c>
      <c r="BJ94" s="338"/>
      <c r="BK94" s="341"/>
      <c r="BL94" s="338"/>
      <c r="BM94" s="338"/>
      <c r="BO94" s="335">
        <f t="shared" si="45"/>
        <v>36321</v>
      </c>
      <c r="BP94" s="345">
        <v>36328</v>
      </c>
      <c r="BQ94" s="317">
        <f t="shared" si="34"/>
        <v>7</v>
      </c>
      <c r="BR94" s="346">
        <v>3.1699999999999999E-2</v>
      </c>
      <c r="BS94" s="337">
        <f t="shared" si="32"/>
        <v>10335.07</v>
      </c>
      <c r="BW94" s="335">
        <f t="shared" si="55"/>
        <v>36545</v>
      </c>
      <c r="BX94" s="345">
        <v>36552</v>
      </c>
      <c r="BY94" s="317">
        <f t="shared" si="35"/>
        <v>7</v>
      </c>
      <c r="BZ94" s="346">
        <v>3.1699999999999999E-2</v>
      </c>
      <c r="CA94" s="337">
        <f t="shared" si="57"/>
        <v>30314.20765</v>
      </c>
      <c r="CD94" s="335">
        <f t="shared" si="53"/>
        <v>36545</v>
      </c>
      <c r="CE94" s="345">
        <v>36552</v>
      </c>
      <c r="CF94" s="317">
        <f t="shared" si="37"/>
        <v>7</v>
      </c>
      <c r="CG94" s="347">
        <v>3.1699999999999999E-2</v>
      </c>
      <c r="CH94" s="337">
        <f t="shared" si="58"/>
        <v>30314.20765</v>
      </c>
      <c r="CL94" s="335">
        <f t="shared" si="46"/>
        <v>37245</v>
      </c>
      <c r="CM94" s="345">
        <v>37252</v>
      </c>
      <c r="CN94" s="317">
        <f>CM94-CL94</f>
        <v>7</v>
      </c>
      <c r="CO94" s="346">
        <v>1.5599999999999999E-2</v>
      </c>
      <c r="CP94" s="346"/>
      <c r="CQ94" s="346"/>
      <c r="CR94" s="346"/>
      <c r="CS94" s="346"/>
      <c r="CT94" s="346"/>
      <c r="CU94" s="346"/>
      <c r="CV94" s="337">
        <f t="shared" si="30"/>
        <v>24932.01</v>
      </c>
    </row>
    <row r="95" spans="1:101" hidden="1" x14ac:dyDescent="0.25">
      <c r="A95" s="335">
        <f t="shared" si="47"/>
        <v>34379</v>
      </c>
      <c r="B95" s="335">
        <v>34380</v>
      </c>
      <c r="C95" s="317">
        <f t="shared" si="39"/>
        <v>1</v>
      </c>
      <c r="D95" s="317"/>
      <c r="E95" s="336">
        <v>2.4109999999999999E-2</v>
      </c>
      <c r="F95" s="339">
        <f>ROUND(((F94*SUM($C$10:C94))+(E95*C95))/SUM($C$10:C95),5)</f>
        <v>2.486E-2</v>
      </c>
      <c r="G95" s="340">
        <v>81.2</v>
      </c>
      <c r="I95" s="335">
        <f t="shared" si="48"/>
        <v>34323</v>
      </c>
      <c r="J95" s="335">
        <v>34338</v>
      </c>
      <c r="K95" s="317">
        <f t="shared" si="40"/>
        <v>15</v>
      </c>
      <c r="L95" s="317"/>
      <c r="M95" s="336">
        <v>2.5510000000000001E-2</v>
      </c>
      <c r="N95" s="339">
        <f>ROUND(((N94*SUM($K$10:K94))+(M95*K95))/SUM($K$10:K95),5)</f>
        <v>2.4910000000000002E-2</v>
      </c>
      <c r="O95" s="340">
        <v>74</v>
      </c>
      <c r="Q95" s="335">
        <f t="shared" si="49"/>
        <v>34773</v>
      </c>
      <c r="R95" s="353">
        <v>34781</v>
      </c>
      <c r="S95" s="317">
        <f t="shared" si="41"/>
        <v>8</v>
      </c>
      <c r="U95" s="339">
        <v>4.0350000000000004E-2</v>
      </c>
      <c r="V95" s="339">
        <f>ROUND(((V94*SUM($S$10:S94))+(U95*S95))/SUM($S$10:S95),5)</f>
        <v>3.0130000000000001E-2</v>
      </c>
      <c r="W95" s="316">
        <v>103.9</v>
      </c>
      <c r="Y95" s="335">
        <f t="shared" si="50"/>
        <v>36595</v>
      </c>
      <c r="Z95" s="345">
        <v>36622</v>
      </c>
      <c r="AA95" s="317">
        <f t="shared" si="42"/>
        <v>27</v>
      </c>
      <c r="AC95" s="346">
        <v>3.8854E-2</v>
      </c>
      <c r="AD95" s="339">
        <f>ROUND(((AD94*SUM($AA$10:AA94))+(AC95*AA95))/SUM($AA$10:AA95),5)</f>
        <v>3.5119999999999998E-2</v>
      </c>
      <c r="AE95" s="348">
        <v>49.35</v>
      </c>
      <c r="AH95" s="345"/>
      <c r="AK95" s="346"/>
      <c r="AO95" s="335">
        <f t="shared" si="52"/>
        <v>36923</v>
      </c>
      <c r="AP95" s="345">
        <v>36943</v>
      </c>
      <c r="AQ95" s="317">
        <f t="shared" si="31"/>
        <v>20</v>
      </c>
      <c r="AS95" s="346">
        <v>4.7500000000000001E-2</v>
      </c>
      <c r="AT95" s="339">
        <f>ROUND(((AT94*SUM($AQ$10:AQ94))+(AS95*AQ95))/SUM($AQ$10:AQ95),5)</f>
        <v>3.807E-2</v>
      </c>
      <c r="AU95" s="348">
        <v>30.57</v>
      </c>
      <c r="BB95" s="352"/>
      <c r="BC95" s="348"/>
      <c r="BE95" s="335">
        <f t="shared" si="44"/>
        <v>34373</v>
      </c>
      <c r="BF95" s="335">
        <v>34380</v>
      </c>
      <c r="BG95" s="317">
        <f t="shared" si="33"/>
        <v>7</v>
      </c>
      <c r="BH95" s="336">
        <v>2.35E-2</v>
      </c>
      <c r="BI95" s="337">
        <f t="shared" si="56"/>
        <v>13520.55</v>
      </c>
      <c r="BJ95" s="338"/>
      <c r="BK95" s="341"/>
      <c r="BL95" s="338"/>
      <c r="BM95" s="338"/>
      <c r="BO95" s="335">
        <f t="shared" si="45"/>
        <v>36328</v>
      </c>
      <c r="BP95" s="345">
        <v>36335</v>
      </c>
      <c r="BQ95" s="317">
        <f t="shared" si="34"/>
        <v>7</v>
      </c>
      <c r="BR95" s="346">
        <v>3.3700000000000001E-2</v>
      </c>
      <c r="BS95" s="337">
        <f t="shared" si="32"/>
        <v>10987.12</v>
      </c>
      <c r="BW95" s="335">
        <f t="shared" si="55"/>
        <v>36552</v>
      </c>
      <c r="BX95" s="345">
        <v>36557</v>
      </c>
      <c r="BY95" s="317">
        <f t="shared" si="35"/>
        <v>5</v>
      </c>
      <c r="BZ95" s="346">
        <v>3.2000000000000001E-2</v>
      </c>
      <c r="CA95" s="337">
        <f t="shared" si="57"/>
        <v>21857.923497</v>
      </c>
      <c r="CB95" s="341">
        <f>SUM(CA91:CA95)</f>
        <v>145887.978141</v>
      </c>
      <c r="CD95" s="335">
        <f t="shared" si="53"/>
        <v>36552</v>
      </c>
      <c r="CE95" s="345">
        <v>36557</v>
      </c>
      <c r="CF95" s="317">
        <f t="shared" si="37"/>
        <v>5</v>
      </c>
      <c r="CG95" s="347">
        <v>3.2000000000000001E-2</v>
      </c>
      <c r="CH95" s="337">
        <f t="shared" si="58"/>
        <v>21857.923497</v>
      </c>
      <c r="CI95" s="341">
        <f>SUM(CH91:CH95)</f>
        <v>145887.978141</v>
      </c>
      <c r="CL95" s="335">
        <f t="shared" si="46"/>
        <v>37252</v>
      </c>
      <c r="CM95" s="345">
        <v>37257</v>
      </c>
      <c r="CN95" s="317">
        <f>CM95-CL95</f>
        <v>5</v>
      </c>
      <c r="CO95" s="346">
        <v>1.61E-2</v>
      </c>
      <c r="CP95" s="346"/>
      <c r="CQ95" s="346"/>
      <c r="CR95" s="346"/>
      <c r="CS95" s="346"/>
      <c r="CT95" s="346"/>
      <c r="CU95" s="346"/>
      <c r="CV95" s="337">
        <f t="shared" si="30"/>
        <v>18379.36</v>
      </c>
      <c r="CW95" s="341">
        <f>SUM(CV91:CV95)</f>
        <v>96919.75</v>
      </c>
    </row>
    <row r="96" spans="1:101" hidden="1" x14ac:dyDescent="0.25">
      <c r="A96" s="335">
        <f t="shared" si="47"/>
        <v>34380</v>
      </c>
      <c r="B96" s="335">
        <v>34382</v>
      </c>
      <c r="C96" s="317">
        <f t="shared" si="39"/>
        <v>2</v>
      </c>
      <c r="D96" s="317"/>
      <c r="E96" s="336">
        <v>2.4119999999999999E-2</v>
      </c>
      <c r="F96" s="339">
        <f>ROUND(((F95*SUM($C$10:C95))+(E96*C96))/SUM($C$10:C96),5)</f>
        <v>2.486E-2</v>
      </c>
      <c r="G96" s="340">
        <v>79.5</v>
      </c>
      <c r="I96" s="335">
        <f t="shared" si="48"/>
        <v>34338</v>
      </c>
      <c r="J96" s="335">
        <v>34344</v>
      </c>
      <c r="K96" s="317">
        <f t="shared" si="40"/>
        <v>6</v>
      </c>
      <c r="L96" s="317"/>
      <c r="M96" s="336">
        <v>2.5319999999999999E-2</v>
      </c>
      <c r="N96" s="339">
        <f>ROUND(((N95*SUM($K$10:K95))+(M96*K96))/SUM($K$10:K96),5)</f>
        <v>2.4920000000000001E-2</v>
      </c>
      <c r="O96" s="340">
        <v>75.099999999999994</v>
      </c>
      <c r="Q96" s="335">
        <f t="shared" si="49"/>
        <v>34781</v>
      </c>
      <c r="R96" s="353">
        <v>34786</v>
      </c>
      <c r="S96" s="317">
        <f t="shared" si="41"/>
        <v>5</v>
      </c>
      <c r="U96" s="339">
        <v>4.0779999999999997E-2</v>
      </c>
      <c r="V96" s="339">
        <f>ROUND(((V95*SUM($S$10:S95))+(U96*S96))/SUM($S$10:S96),5)</f>
        <v>3.022E-2</v>
      </c>
      <c r="W96" s="351">
        <v>72</v>
      </c>
      <c r="Y96" s="335">
        <f t="shared" si="50"/>
        <v>36622</v>
      </c>
      <c r="Z96" s="345">
        <v>36623</v>
      </c>
      <c r="AA96" s="317">
        <f t="shared" si="42"/>
        <v>1</v>
      </c>
      <c r="AC96" s="346">
        <v>3.8171999999999998E-2</v>
      </c>
      <c r="AD96" s="339">
        <f>ROUND(((AD95*SUM($AA$10:AA95))+(AC96*AA96))/SUM($AA$10:AA96),5)</f>
        <v>3.5119999999999998E-2</v>
      </c>
      <c r="AE96" s="348">
        <v>45.88</v>
      </c>
      <c r="AH96" s="345"/>
      <c r="AK96" s="346"/>
      <c r="AO96" s="335">
        <f t="shared" si="52"/>
        <v>36943</v>
      </c>
      <c r="AP96" s="345">
        <v>36948</v>
      </c>
      <c r="AQ96" s="317">
        <f t="shared" si="31"/>
        <v>5</v>
      </c>
      <c r="AS96" s="346">
        <v>4.6820000000000001E-2</v>
      </c>
      <c r="AT96" s="339">
        <f>ROUND(((AT95*SUM($AQ$10:AQ95))+(AS96*AQ96))/SUM($AQ$10:AQ96),5)</f>
        <v>3.8109999999999998E-2</v>
      </c>
      <c r="AU96" s="348">
        <v>29.43</v>
      </c>
      <c r="BB96" s="352"/>
      <c r="BC96" s="348"/>
      <c r="BE96" s="335">
        <f t="shared" si="44"/>
        <v>34380</v>
      </c>
      <c r="BF96" s="335">
        <v>34387</v>
      </c>
      <c r="BG96" s="317">
        <f t="shared" si="33"/>
        <v>7</v>
      </c>
      <c r="BH96" s="336">
        <v>2.4500000000000001E-2</v>
      </c>
      <c r="BI96" s="337">
        <f t="shared" si="56"/>
        <v>14095.89</v>
      </c>
      <c r="BJ96" s="338"/>
      <c r="BK96" s="341"/>
      <c r="BL96" s="338"/>
      <c r="BM96" s="338"/>
      <c r="BO96" s="335">
        <f t="shared" si="45"/>
        <v>36335</v>
      </c>
      <c r="BP96" s="345">
        <v>36342</v>
      </c>
      <c r="BQ96" s="317">
        <f t="shared" si="34"/>
        <v>7</v>
      </c>
      <c r="BR96" s="346">
        <v>3.6200000000000003E-2</v>
      </c>
      <c r="BS96" s="337">
        <f t="shared" si="32"/>
        <v>11802.19</v>
      </c>
      <c r="BT96" s="341">
        <f>SUM(BS92:BS96)</f>
        <v>45820.820000000007</v>
      </c>
      <c r="BW96" s="335">
        <f t="shared" si="55"/>
        <v>36557</v>
      </c>
      <c r="BX96" s="345">
        <v>36559</v>
      </c>
      <c r="BY96" s="317">
        <f t="shared" si="35"/>
        <v>2</v>
      </c>
      <c r="BZ96" s="346">
        <v>3.2000000000000001E-2</v>
      </c>
      <c r="CA96" s="337">
        <f t="shared" si="57"/>
        <v>8743.1693990000003</v>
      </c>
      <c r="CD96" s="335">
        <f t="shared" si="53"/>
        <v>36557</v>
      </c>
      <c r="CE96" s="345">
        <v>36559</v>
      </c>
      <c r="CF96" s="317">
        <f t="shared" si="37"/>
        <v>2</v>
      </c>
      <c r="CG96" s="347">
        <v>3.2000000000000001E-2</v>
      </c>
      <c r="CH96" s="337">
        <f t="shared" si="58"/>
        <v>8743.1693990000003</v>
      </c>
      <c r="CL96" s="335">
        <f t="shared" si="46"/>
        <v>37257</v>
      </c>
      <c r="CM96" s="345">
        <v>37259</v>
      </c>
      <c r="CN96" s="317">
        <f t="shared" ref="CN96:CN159" si="59">CM96-CL96</f>
        <v>2</v>
      </c>
      <c r="CO96" s="346">
        <v>1.61E-2</v>
      </c>
      <c r="CP96" s="346"/>
      <c r="CQ96" s="346"/>
      <c r="CR96" s="346"/>
      <c r="CS96" s="346"/>
      <c r="CT96" s="346"/>
      <c r="CU96" s="346"/>
      <c r="CV96" s="337">
        <f t="shared" si="30"/>
        <v>7351.75</v>
      </c>
    </row>
    <row r="97" spans="1:101" hidden="1" x14ac:dyDescent="0.25">
      <c r="A97" s="335">
        <f t="shared" si="47"/>
        <v>34382</v>
      </c>
      <c r="B97" s="335">
        <v>34394</v>
      </c>
      <c r="C97" s="317">
        <f t="shared" si="39"/>
        <v>12</v>
      </c>
      <c r="D97" s="317"/>
      <c r="E97" s="336">
        <v>2.393E-2</v>
      </c>
      <c r="F97" s="339">
        <f>ROUND(((F96*SUM($C$10:C96))+(E97*C97))/SUM($C$10:C97),5)</f>
        <v>2.4840000000000001E-2</v>
      </c>
      <c r="G97" s="340">
        <v>75.5</v>
      </c>
      <c r="I97" s="335">
        <f t="shared" si="48"/>
        <v>34344</v>
      </c>
      <c r="J97" s="335">
        <v>34345</v>
      </c>
      <c r="K97" s="317">
        <f t="shared" si="40"/>
        <v>1</v>
      </c>
      <c r="L97" s="317"/>
      <c r="M97" s="336">
        <v>2.5190000000000001E-2</v>
      </c>
      <c r="N97" s="339">
        <f>ROUND(((N96*SUM($K$10:K96))+(M97*K97))/SUM($K$10:K97),5)</f>
        <v>2.4920000000000001E-2</v>
      </c>
      <c r="O97" s="340">
        <v>73.3</v>
      </c>
      <c r="Q97" s="335">
        <f t="shared" si="49"/>
        <v>34786</v>
      </c>
      <c r="R97" s="353">
        <v>34795</v>
      </c>
      <c r="S97" s="317">
        <f t="shared" si="41"/>
        <v>9</v>
      </c>
      <c r="U97" s="339">
        <v>4.0989999999999999E-2</v>
      </c>
      <c r="V97" s="339">
        <f>ROUND(((V96*SUM($S$10:S96))+(U97*S97))/SUM($S$10:S97),5)</f>
        <v>3.039E-2</v>
      </c>
      <c r="W97" s="351">
        <v>101.8</v>
      </c>
      <c r="Y97" s="335">
        <f t="shared" si="50"/>
        <v>36623</v>
      </c>
      <c r="Z97" s="345">
        <v>36626</v>
      </c>
      <c r="AA97" s="317">
        <f t="shared" si="42"/>
        <v>3</v>
      </c>
      <c r="AC97" s="346">
        <v>3.8002000000000001E-2</v>
      </c>
      <c r="AD97" s="339">
        <f>ROUND(((AD96*SUM($AA$10:AA96))+(AC97*AA97))/SUM($AA$10:AA97),5)</f>
        <v>3.5130000000000002E-2</v>
      </c>
      <c r="AE97" s="348">
        <v>44.32</v>
      </c>
      <c r="AH97" s="345"/>
      <c r="AK97" s="346"/>
      <c r="AO97" s="335">
        <f t="shared" si="52"/>
        <v>36948</v>
      </c>
      <c r="AP97" s="345">
        <v>36983</v>
      </c>
      <c r="AQ97" s="317">
        <f t="shared" si="31"/>
        <v>35</v>
      </c>
      <c r="AS97" s="346">
        <v>4.8946999999999997E-2</v>
      </c>
      <c r="AT97" s="339">
        <f>ROUND(((AT96*SUM($AQ$10:AQ96))+(AS97*AQ97))/SUM($AQ$10:AQ97),5)</f>
        <v>3.8420000000000003E-2</v>
      </c>
      <c r="AU97" s="348">
        <v>38</v>
      </c>
      <c r="BB97" s="352"/>
      <c r="BC97" s="348"/>
      <c r="BE97" s="335">
        <f t="shared" si="44"/>
        <v>34387</v>
      </c>
      <c r="BF97" s="335">
        <v>34394</v>
      </c>
      <c r="BG97" s="317">
        <f t="shared" si="33"/>
        <v>7</v>
      </c>
      <c r="BH97" s="336">
        <v>2.46E-2</v>
      </c>
      <c r="BI97" s="337">
        <f t="shared" si="56"/>
        <v>14153.42</v>
      </c>
      <c r="BJ97" s="341">
        <f>SUM(BI94:BI97)</f>
        <v>53852.049999999996</v>
      </c>
      <c r="BK97" s="341">
        <v>54127.93</v>
      </c>
      <c r="BL97" s="341">
        <f>BJ97-BK97</f>
        <v>-275.88000000000466</v>
      </c>
      <c r="BM97" s="341">
        <f>BM93+BL97</f>
        <v>-10409.130000000001</v>
      </c>
      <c r="BN97" s="317"/>
      <c r="BO97" s="335">
        <f t="shared" si="45"/>
        <v>36342</v>
      </c>
      <c r="BP97" s="345">
        <v>36349</v>
      </c>
      <c r="BQ97" s="317">
        <f t="shared" si="34"/>
        <v>7</v>
      </c>
      <c r="BR97" s="346">
        <v>3.4200000000000001E-2</v>
      </c>
      <c r="BS97" s="337">
        <f t="shared" si="32"/>
        <v>11150.14</v>
      </c>
      <c r="BW97" s="335">
        <f t="shared" si="55"/>
        <v>36559</v>
      </c>
      <c r="BX97" s="345">
        <v>36566</v>
      </c>
      <c r="BY97" s="317">
        <f t="shared" si="35"/>
        <v>7</v>
      </c>
      <c r="BZ97" s="346">
        <v>2.9700000000000001E-2</v>
      </c>
      <c r="CA97" s="337">
        <f t="shared" si="57"/>
        <v>28401.639343999999</v>
      </c>
      <c r="CD97" s="335">
        <f t="shared" si="53"/>
        <v>36559</v>
      </c>
      <c r="CE97" s="345">
        <v>36566</v>
      </c>
      <c r="CF97" s="317">
        <f t="shared" si="37"/>
        <v>7</v>
      </c>
      <c r="CG97" s="346">
        <v>2.9700000000000001E-2</v>
      </c>
      <c r="CH97" s="337">
        <f t="shared" si="58"/>
        <v>28401.639343999999</v>
      </c>
      <c r="CL97" s="335">
        <f t="shared" si="46"/>
        <v>37259</v>
      </c>
      <c r="CM97" s="345">
        <v>37266</v>
      </c>
      <c r="CN97" s="317">
        <f t="shared" si="59"/>
        <v>7</v>
      </c>
      <c r="CO97" s="346">
        <v>1.0800000000000001E-2</v>
      </c>
      <c r="CP97" s="346"/>
      <c r="CQ97" s="346"/>
      <c r="CR97" s="346"/>
      <c r="CS97" s="346"/>
      <c r="CT97" s="346"/>
      <c r="CU97" s="346"/>
      <c r="CV97" s="337">
        <f t="shared" si="30"/>
        <v>17260.62</v>
      </c>
    </row>
    <row r="98" spans="1:101" hidden="1" x14ac:dyDescent="0.25">
      <c r="A98" s="335">
        <f t="shared" si="47"/>
        <v>34394</v>
      </c>
      <c r="B98" s="335">
        <v>34395</v>
      </c>
      <c r="C98" s="317">
        <f t="shared" si="39"/>
        <v>1</v>
      </c>
      <c r="D98" s="317"/>
      <c r="E98" s="336">
        <v>2.393E-2</v>
      </c>
      <c r="F98" s="339">
        <f>ROUND(((F97*SUM($C$10:C97))+(E98*C98))/SUM($C$10:C98),5)</f>
        <v>2.4840000000000001E-2</v>
      </c>
      <c r="G98" s="340">
        <v>75.2</v>
      </c>
      <c r="I98" s="335">
        <f t="shared" si="48"/>
        <v>34345</v>
      </c>
      <c r="J98" s="335">
        <v>34347</v>
      </c>
      <c r="K98" s="317">
        <f t="shared" si="40"/>
        <v>2</v>
      </c>
      <c r="L98" s="317"/>
      <c r="M98" s="336">
        <v>2.4840000000000001E-2</v>
      </c>
      <c r="N98" s="339">
        <f>ROUND(((N97*SUM($K$10:K97))+(M98*K98))/SUM($K$10:K98),5)</f>
        <v>2.4920000000000001E-2</v>
      </c>
      <c r="O98" s="340">
        <v>78.900000000000006</v>
      </c>
      <c r="Q98" s="335">
        <f t="shared" si="49"/>
        <v>34795</v>
      </c>
      <c r="R98" s="353">
        <v>34820</v>
      </c>
      <c r="S98" s="317">
        <f t="shared" si="41"/>
        <v>25</v>
      </c>
      <c r="U98" s="339">
        <v>4.1029999999999997E-2</v>
      </c>
      <c r="V98" s="339">
        <f>ROUND(((V97*SUM($S$10:S97))+(U98*S98))/SUM($S$10:S98),5)</f>
        <v>3.083E-2</v>
      </c>
      <c r="W98" s="351">
        <v>104</v>
      </c>
      <c r="Y98" s="335">
        <f t="shared" si="50"/>
        <v>36626</v>
      </c>
      <c r="Z98" s="345">
        <v>36628</v>
      </c>
      <c r="AA98" s="317">
        <f t="shared" si="42"/>
        <v>2</v>
      </c>
      <c r="AC98" s="346">
        <v>3.8847E-2</v>
      </c>
      <c r="AD98" s="339">
        <f>ROUND(((AD97*SUM($AA$10:AA97))+(AC98*AA98))/SUM($AA$10:AA98),5)</f>
        <v>3.5139999999999998E-2</v>
      </c>
      <c r="AE98" s="348">
        <v>34.729999999999997</v>
      </c>
      <c r="AH98" s="345"/>
      <c r="AK98" s="346"/>
      <c r="AO98" s="335">
        <f t="shared" si="52"/>
        <v>36983</v>
      </c>
      <c r="AP98" s="345">
        <v>36999</v>
      </c>
      <c r="AQ98" s="317">
        <f t="shared" si="31"/>
        <v>16</v>
      </c>
      <c r="AS98" s="346">
        <v>4.8993000000000002E-2</v>
      </c>
      <c r="AT98" s="339">
        <f>ROUND(((AT97*SUM($AQ$10:AQ97))+(AS98*AQ98))/SUM($AQ$10:AQ98),5)</f>
        <v>3.8559999999999997E-2</v>
      </c>
      <c r="AU98" s="348">
        <v>39.71</v>
      </c>
      <c r="BB98" s="352"/>
      <c r="BC98" s="348"/>
      <c r="BE98" s="335">
        <f t="shared" si="44"/>
        <v>34394</v>
      </c>
      <c r="BF98" s="335">
        <v>34401</v>
      </c>
      <c r="BG98" s="317">
        <f t="shared" si="33"/>
        <v>7</v>
      </c>
      <c r="BH98" s="336">
        <v>2.3100000000000002E-2</v>
      </c>
      <c r="BI98" s="337">
        <f t="shared" si="56"/>
        <v>13290.41</v>
      </c>
      <c r="BJ98" s="338"/>
      <c r="BK98" s="341"/>
      <c r="BL98" s="338"/>
      <c r="BM98" s="338"/>
      <c r="BN98" s="317"/>
      <c r="BO98" s="335">
        <f t="shared" si="45"/>
        <v>36349</v>
      </c>
      <c r="BP98" s="345">
        <v>36356</v>
      </c>
      <c r="BQ98" s="317">
        <f t="shared" si="34"/>
        <v>7</v>
      </c>
      <c r="BR98" s="346">
        <v>2.8199999999999999E-2</v>
      </c>
      <c r="BS98" s="337">
        <f t="shared" si="32"/>
        <v>9193.9699999999993</v>
      </c>
      <c r="BW98" s="335">
        <f t="shared" si="55"/>
        <v>36566</v>
      </c>
      <c r="BX98" s="345">
        <v>36573</v>
      </c>
      <c r="BY98" s="317">
        <f t="shared" si="35"/>
        <v>7</v>
      </c>
      <c r="BZ98" s="346">
        <v>3.5299999999999998E-2</v>
      </c>
      <c r="CA98" s="337">
        <f t="shared" si="57"/>
        <v>33756.830601000001</v>
      </c>
      <c r="CD98" s="335">
        <f t="shared" si="53"/>
        <v>36566</v>
      </c>
      <c r="CE98" s="345">
        <v>36573</v>
      </c>
      <c r="CF98" s="317">
        <f t="shared" si="37"/>
        <v>7</v>
      </c>
      <c r="CG98" s="346">
        <v>3.5299999999999998E-2</v>
      </c>
      <c r="CH98" s="337">
        <f t="shared" si="58"/>
        <v>33756.830601000001</v>
      </c>
      <c r="CL98" s="335">
        <f t="shared" si="46"/>
        <v>37266</v>
      </c>
      <c r="CM98" s="345">
        <v>37273</v>
      </c>
      <c r="CN98" s="317">
        <f t="shared" si="59"/>
        <v>7</v>
      </c>
      <c r="CO98" s="346">
        <v>1.2699999999999999E-2</v>
      </c>
      <c r="CP98" s="346"/>
      <c r="CQ98" s="346"/>
      <c r="CR98" s="346"/>
      <c r="CS98" s="346"/>
      <c r="CT98" s="346"/>
      <c r="CU98" s="346"/>
      <c r="CV98" s="337">
        <f t="shared" si="30"/>
        <v>20297.21</v>
      </c>
    </row>
    <row r="99" spans="1:101" hidden="1" x14ac:dyDescent="0.25">
      <c r="A99" s="335">
        <f t="shared" si="47"/>
        <v>34395</v>
      </c>
      <c r="B99" s="335">
        <v>34397</v>
      </c>
      <c r="C99" s="317">
        <f t="shared" si="39"/>
        <v>2</v>
      </c>
      <c r="D99" s="317"/>
      <c r="E99" s="336">
        <v>2.4050000000000002E-2</v>
      </c>
      <c r="F99" s="339">
        <f>ROUND(((F98*SUM($C$10:C98))+(E99*C99))/SUM($C$10:C99),5)</f>
        <v>2.4840000000000001E-2</v>
      </c>
      <c r="G99" s="340">
        <v>75.900000000000006</v>
      </c>
      <c r="I99" s="335">
        <f t="shared" si="48"/>
        <v>34347</v>
      </c>
      <c r="J99" s="335">
        <v>34353</v>
      </c>
      <c r="K99" s="317">
        <f t="shared" si="40"/>
        <v>6</v>
      </c>
      <c r="L99" s="317"/>
      <c r="M99" s="336">
        <v>2.477E-2</v>
      </c>
      <c r="N99" s="339">
        <f>ROUND(((N98*SUM($K$10:K98))+(M99*K99))/SUM($K$10:K99),5)</f>
        <v>2.4920000000000001E-2</v>
      </c>
      <c r="O99" s="340">
        <v>82.3</v>
      </c>
      <c r="Q99" s="335">
        <f t="shared" si="49"/>
        <v>34820</v>
      </c>
      <c r="R99" s="353">
        <v>34821</v>
      </c>
      <c r="S99" s="317">
        <f t="shared" si="41"/>
        <v>1</v>
      </c>
      <c r="U99" s="339">
        <v>4.1090000000000002E-2</v>
      </c>
      <c r="V99" s="339">
        <f>ROUND(((V98*SUM($S$10:S98))+(U99*S99))/SUM($S$10:S99),5)</f>
        <v>3.0849999999999999E-2</v>
      </c>
      <c r="W99" s="351">
        <v>102.4</v>
      </c>
      <c r="Y99" s="335">
        <f t="shared" si="50"/>
        <v>36628</v>
      </c>
      <c r="Z99" s="345">
        <v>36630</v>
      </c>
      <c r="AA99" s="317">
        <f t="shared" si="42"/>
        <v>2</v>
      </c>
      <c r="AC99" s="346">
        <v>4.0156999999999998E-2</v>
      </c>
      <c r="AD99" s="339">
        <f>ROUND(((AD98*SUM($AA$10:AA98))+(AC99*AA99))/SUM($AA$10:AA99),5)</f>
        <v>3.5150000000000001E-2</v>
      </c>
      <c r="AE99" s="348">
        <v>27.27</v>
      </c>
      <c r="AH99" s="345"/>
      <c r="AK99" s="346"/>
      <c r="AO99" s="335">
        <f t="shared" si="52"/>
        <v>36999</v>
      </c>
      <c r="AP99" s="345">
        <v>37020</v>
      </c>
      <c r="AQ99" s="317">
        <f t="shared" si="31"/>
        <v>21</v>
      </c>
      <c r="AS99" s="346">
        <v>4.8785000000000002E-2</v>
      </c>
      <c r="AT99" s="339">
        <f>ROUND(((AT98*SUM($AQ$10:AQ98))+(AS99*AQ99))/SUM($AQ$10:AQ99),5)</f>
        <v>3.8730000000000001E-2</v>
      </c>
      <c r="AU99" s="348">
        <v>48.57</v>
      </c>
      <c r="BB99" s="352"/>
      <c r="BC99" s="348"/>
      <c r="BE99" s="335">
        <f t="shared" si="44"/>
        <v>34401</v>
      </c>
      <c r="BF99" s="335">
        <v>34408</v>
      </c>
      <c r="BG99" s="317">
        <f t="shared" si="33"/>
        <v>7</v>
      </c>
      <c r="BH99" s="336">
        <v>2.29E-2</v>
      </c>
      <c r="BI99" s="337">
        <f t="shared" si="56"/>
        <v>13175.34</v>
      </c>
      <c r="BJ99" s="338"/>
      <c r="BK99" s="341"/>
      <c r="BL99" s="338"/>
      <c r="BM99" s="338"/>
      <c r="BN99" s="317"/>
      <c r="BO99" s="335">
        <f t="shared" si="45"/>
        <v>36356</v>
      </c>
      <c r="BP99" s="345">
        <v>36363</v>
      </c>
      <c r="BQ99" s="317">
        <f t="shared" si="34"/>
        <v>7</v>
      </c>
      <c r="BR99" s="346">
        <v>2.9399999999999999E-2</v>
      </c>
      <c r="BS99" s="337">
        <f t="shared" si="32"/>
        <v>9585.2099999999991</v>
      </c>
      <c r="BW99" s="335">
        <f t="shared" si="55"/>
        <v>36573</v>
      </c>
      <c r="BX99" s="345">
        <v>36580</v>
      </c>
      <c r="BY99" s="317">
        <f t="shared" si="35"/>
        <v>7</v>
      </c>
      <c r="BZ99" s="346">
        <v>3.8399999999999997E-2</v>
      </c>
      <c r="CA99" s="337">
        <f t="shared" si="57"/>
        <v>36721.311475000002</v>
      </c>
      <c r="CD99" s="335">
        <f t="shared" si="53"/>
        <v>36573</v>
      </c>
      <c r="CE99" s="345">
        <v>36580</v>
      </c>
      <c r="CF99" s="317">
        <f t="shared" si="37"/>
        <v>7</v>
      </c>
      <c r="CG99" s="346">
        <v>3.8399999999999997E-2</v>
      </c>
      <c r="CH99" s="337">
        <f t="shared" si="58"/>
        <v>36721.311475000002</v>
      </c>
      <c r="CL99" s="335">
        <f t="shared" si="46"/>
        <v>37273</v>
      </c>
      <c r="CM99" s="345">
        <v>37280</v>
      </c>
      <c r="CN99" s="317">
        <f t="shared" si="59"/>
        <v>7</v>
      </c>
      <c r="CO99" s="346">
        <v>1.26E-2</v>
      </c>
      <c r="CP99" s="346"/>
      <c r="CQ99" s="346"/>
      <c r="CR99" s="346"/>
      <c r="CS99" s="346"/>
      <c r="CT99" s="346"/>
      <c r="CU99" s="346"/>
      <c r="CV99" s="337">
        <f t="shared" ref="CV99:CV122" si="60">ROUND($CR$5*CO99*CN99/365,2)</f>
        <v>20137.39</v>
      </c>
    </row>
    <row r="100" spans="1:101" hidden="1" x14ac:dyDescent="0.25">
      <c r="A100" s="335">
        <f t="shared" si="47"/>
        <v>34397</v>
      </c>
      <c r="B100" s="335">
        <v>34400</v>
      </c>
      <c r="C100" s="317">
        <f t="shared" si="39"/>
        <v>3</v>
      </c>
      <c r="D100" s="317"/>
      <c r="E100" s="336">
        <v>2.4050000000000002E-2</v>
      </c>
      <c r="F100" s="339">
        <f>ROUND(((F99*SUM($C$10:C99))+(E100*C100))/SUM($C$10:C100),5)</f>
        <v>2.4840000000000001E-2</v>
      </c>
      <c r="G100" s="340">
        <v>75.8</v>
      </c>
      <c r="I100" s="335">
        <f t="shared" si="48"/>
        <v>34353</v>
      </c>
      <c r="J100" s="335">
        <v>34354</v>
      </c>
      <c r="K100" s="317">
        <f t="shared" si="40"/>
        <v>1</v>
      </c>
      <c r="L100" s="317"/>
      <c r="M100" s="336">
        <v>2.4570000000000002E-2</v>
      </c>
      <c r="N100" s="339">
        <f>ROUND(((N99*SUM($K$10:K99))+(M100*K100))/SUM($K$10:K100),5)</f>
        <v>2.4920000000000001E-2</v>
      </c>
      <c r="O100" s="340">
        <v>83.6</v>
      </c>
      <c r="Q100" s="335">
        <f t="shared" si="49"/>
        <v>34821</v>
      </c>
      <c r="R100" s="353">
        <v>34830</v>
      </c>
      <c r="S100" s="317">
        <f t="shared" si="41"/>
        <v>9</v>
      </c>
      <c r="U100" s="339">
        <v>4.1140000000000003E-2</v>
      </c>
      <c r="V100" s="339">
        <f>ROUND(((V99*SUM($S$10:S99))+(U100*S100))/SUM($S$10:S100),5)</f>
        <v>3.1E-2</v>
      </c>
      <c r="W100" s="351">
        <v>102.1</v>
      </c>
      <c r="Y100" s="335">
        <f t="shared" si="50"/>
        <v>36630</v>
      </c>
      <c r="Z100" s="345">
        <v>36636</v>
      </c>
      <c r="AA100" s="317">
        <f t="shared" si="42"/>
        <v>6</v>
      </c>
      <c r="AC100" s="346">
        <v>4.0929E-2</v>
      </c>
      <c r="AD100" s="339">
        <f>ROUND(((AD99*SUM($AA$10:AA99))+(AC100*AA100))/SUM($AA$10:AA100),5)</f>
        <v>3.5180000000000003E-2</v>
      </c>
      <c r="AE100" s="348">
        <v>20.69</v>
      </c>
      <c r="AH100" s="345"/>
      <c r="AK100" s="346"/>
      <c r="AO100" s="335">
        <f t="shared" si="52"/>
        <v>37020</v>
      </c>
      <c r="AP100" s="345">
        <v>37082</v>
      </c>
      <c r="AQ100" s="317">
        <f t="shared" si="31"/>
        <v>62</v>
      </c>
      <c r="AS100" s="346">
        <v>4.0046999999999999E-2</v>
      </c>
      <c r="AT100" s="339">
        <f>ROUND(((AT99*SUM($AQ$10:AQ99))+(AS100*AQ100))/SUM($AQ$10:AQ100),5)</f>
        <v>3.8789999999999998E-2</v>
      </c>
      <c r="AU100" s="348">
        <v>70</v>
      </c>
      <c r="BB100" s="352"/>
      <c r="BC100" s="348"/>
      <c r="BE100" s="335">
        <f t="shared" si="44"/>
        <v>34408</v>
      </c>
      <c r="BF100" s="335">
        <v>34415</v>
      </c>
      <c r="BG100" s="317">
        <f t="shared" si="33"/>
        <v>7</v>
      </c>
      <c r="BH100" s="336">
        <v>2.23E-2</v>
      </c>
      <c r="BI100" s="337">
        <f t="shared" si="56"/>
        <v>12830.14</v>
      </c>
      <c r="BJ100" s="338"/>
      <c r="BK100" s="341"/>
      <c r="BL100" s="338"/>
      <c r="BM100" s="338"/>
      <c r="BN100" s="317"/>
      <c r="BO100" s="335">
        <f t="shared" si="45"/>
        <v>36363</v>
      </c>
      <c r="BP100" s="345">
        <v>36370</v>
      </c>
      <c r="BQ100" s="317">
        <f t="shared" si="34"/>
        <v>7</v>
      </c>
      <c r="BR100" s="346">
        <v>3.15E-2</v>
      </c>
      <c r="BS100" s="337">
        <f t="shared" si="32"/>
        <v>10269.86</v>
      </c>
      <c r="BW100" s="335">
        <f t="shared" si="55"/>
        <v>36580</v>
      </c>
      <c r="BX100" s="345">
        <v>36586</v>
      </c>
      <c r="BY100" s="317">
        <f t="shared" si="35"/>
        <v>6</v>
      </c>
      <c r="BZ100" s="346">
        <v>3.8600000000000002E-2</v>
      </c>
      <c r="CA100" s="337">
        <f t="shared" si="57"/>
        <v>31639.344261999999</v>
      </c>
      <c r="CB100" s="341">
        <f>SUM(CA96:CA100)</f>
        <v>139262.29508099999</v>
      </c>
      <c r="CD100" s="335">
        <f t="shared" si="53"/>
        <v>36580</v>
      </c>
      <c r="CE100" s="345">
        <v>36586</v>
      </c>
      <c r="CF100" s="317">
        <f t="shared" si="37"/>
        <v>6</v>
      </c>
      <c r="CG100" s="346">
        <v>3.8600000000000002E-2</v>
      </c>
      <c r="CH100" s="337">
        <f t="shared" si="58"/>
        <v>31639.344261999999</v>
      </c>
      <c r="CI100" s="341">
        <f>SUM(CH96:CH100)</f>
        <v>139262.29508099999</v>
      </c>
      <c r="CL100" s="335">
        <f t="shared" si="46"/>
        <v>37280</v>
      </c>
      <c r="CM100" s="345">
        <v>37287</v>
      </c>
      <c r="CN100" s="317">
        <f t="shared" si="59"/>
        <v>7</v>
      </c>
      <c r="CO100" s="346">
        <v>1.26E-2</v>
      </c>
      <c r="CP100" s="346"/>
      <c r="CQ100" s="346"/>
      <c r="CR100" s="346"/>
      <c r="CS100" s="346"/>
      <c r="CT100" s="346"/>
      <c r="CU100" s="346"/>
      <c r="CV100" s="337">
        <f t="shared" si="60"/>
        <v>20137.39</v>
      </c>
    </row>
    <row r="101" spans="1:101" hidden="1" x14ac:dyDescent="0.25">
      <c r="A101" s="335">
        <f t="shared" si="47"/>
        <v>34400</v>
      </c>
      <c r="B101" s="335">
        <v>34417</v>
      </c>
      <c r="C101" s="317">
        <f t="shared" si="39"/>
        <v>17</v>
      </c>
      <c r="D101" s="317"/>
      <c r="E101" s="336">
        <v>2.4050000000000002E-2</v>
      </c>
      <c r="F101" s="339">
        <f>ROUND(((F100*SUM($C$10:C100))+(E101*C101))/SUM($C$10:C101),5)</f>
        <v>2.4819999999999998E-2</v>
      </c>
      <c r="G101" s="340">
        <v>75.8</v>
      </c>
      <c r="I101" s="335">
        <f t="shared" si="48"/>
        <v>34354</v>
      </c>
      <c r="J101" s="335">
        <v>34359</v>
      </c>
      <c r="K101" s="317">
        <f t="shared" si="40"/>
        <v>5</v>
      </c>
      <c r="L101" s="317"/>
      <c r="M101" s="336">
        <v>2.4479999999999998E-2</v>
      </c>
      <c r="N101" s="339">
        <f>ROUND(((N100*SUM($K$10:K100))+(M101*K101))/SUM($K$10:K101),5)</f>
        <v>2.4920000000000001E-2</v>
      </c>
      <c r="O101" s="340">
        <v>79.599999999999994</v>
      </c>
      <c r="Q101" s="335">
        <f t="shared" si="49"/>
        <v>34830</v>
      </c>
      <c r="R101" s="353">
        <v>34850</v>
      </c>
      <c r="S101" s="317">
        <f t="shared" si="41"/>
        <v>20</v>
      </c>
      <c r="U101" s="339">
        <v>4.1119999999999997E-2</v>
      </c>
      <c r="V101" s="339">
        <f>ROUND(((V100*SUM($S$10:S100))+(U101*S101))/SUM($S$10:S101),5)</f>
        <v>3.1320000000000001E-2</v>
      </c>
      <c r="W101" s="351">
        <v>99.9</v>
      </c>
      <c r="Y101" s="335">
        <f t="shared" si="50"/>
        <v>36636</v>
      </c>
      <c r="Z101" s="345">
        <v>36647</v>
      </c>
      <c r="AA101" s="317">
        <f t="shared" si="42"/>
        <v>11</v>
      </c>
      <c r="AC101" s="346">
        <v>4.3298000000000003E-2</v>
      </c>
      <c r="AD101" s="339">
        <f>ROUND(((AD100*SUM($AA$10:AA100))+(AC101*AA101))/SUM($AA$10:AA101),5)</f>
        <v>3.5249999999999997E-2</v>
      </c>
      <c r="AE101" s="348">
        <v>21.76</v>
      </c>
      <c r="AH101" s="345"/>
      <c r="AK101" s="346"/>
      <c r="AO101" s="335">
        <f t="shared" si="52"/>
        <v>37082</v>
      </c>
      <c r="AP101" s="345">
        <v>37117</v>
      </c>
      <c r="AQ101" s="317">
        <f t="shared" si="31"/>
        <v>35</v>
      </c>
      <c r="AS101" s="346">
        <v>3.4554000000000001E-2</v>
      </c>
      <c r="AT101" s="339">
        <f>ROUND(((AT100*SUM($AQ$10:AQ100))+(AS101*AQ101))/SUM($AQ$10:AQ101),5)</f>
        <v>3.8679999999999999E-2</v>
      </c>
      <c r="AU101" s="348">
        <v>95.71</v>
      </c>
      <c r="BB101" s="352"/>
      <c r="BC101" s="348"/>
      <c r="BE101" s="335">
        <f t="shared" si="44"/>
        <v>34415</v>
      </c>
      <c r="BF101" s="335">
        <v>34422</v>
      </c>
      <c r="BG101" s="317">
        <f t="shared" si="33"/>
        <v>7</v>
      </c>
      <c r="BH101" s="336">
        <v>0.02</v>
      </c>
      <c r="BI101" s="337">
        <f t="shared" si="56"/>
        <v>11506.85</v>
      </c>
      <c r="BJ101" s="336"/>
      <c r="BK101" s="317"/>
      <c r="BL101" s="317"/>
      <c r="BM101" s="317"/>
      <c r="BN101" s="317"/>
      <c r="BO101" s="335">
        <f t="shared" si="45"/>
        <v>36370</v>
      </c>
      <c r="BP101" s="345">
        <v>36373</v>
      </c>
      <c r="BQ101" s="317">
        <f t="shared" si="34"/>
        <v>3</v>
      </c>
      <c r="BR101" s="346">
        <v>3.1099999999999999E-2</v>
      </c>
      <c r="BS101" s="337">
        <f t="shared" si="32"/>
        <v>4345.4799999999996</v>
      </c>
      <c r="BT101" s="341">
        <f>SUM(BS97:BS101)</f>
        <v>44544.66</v>
      </c>
      <c r="BW101" s="335">
        <f t="shared" si="55"/>
        <v>36586</v>
      </c>
      <c r="BX101" s="345">
        <v>36587</v>
      </c>
      <c r="BY101" s="317">
        <f t="shared" si="35"/>
        <v>1</v>
      </c>
      <c r="BZ101" s="346">
        <v>3.8600000000000002E-2</v>
      </c>
      <c r="CA101" s="337">
        <f t="shared" si="57"/>
        <v>5273.2240439999996</v>
      </c>
      <c r="CD101" s="335">
        <f t="shared" si="53"/>
        <v>36586</v>
      </c>
      <c r="CE101" s="345">
        <v>36587</v>
      </c>
      <c r="CF101" s="317">
        <f t="shared" si="37"/>
        <v>1</v>
      </c>
      <c r="CG101" s="346">
        <v>3.8600000000000002E-2</v>
      </c>
      <c r="CH101" s="337">
        <f t="shared" si="58"/>
        <v>5273.2240439999996</v>
      </c>
      <c r="CL101" s="335">
        <f t="shared" si="46"/>
        <v>37287</v>
      </c>
      <c r="CM101" s="345">
        <v>37288</v>
      </c>
      <c r="CN101" s="317">
        <f t="shared" si="59"/>
        <v>1</v>
      </c>
      <c r="CO101" s="346">
        <v>1.35E-2</v>
      </c>
      <c r="CP101" s="346"/>
      <c r="CQ101" s="346"/>
      <c r="CR101" s="346"/>
      <c r="CS101" s="346"/>
      <c r="CT101" s="346"/>
      <c r="CU101" s="346"/>
      <c r="CV101" s="337">
        <f t="shared" si="60"/>
        <v>3082.25</v>
      </c>
      <c r="CW101" s="341">
        <f>SUM(CV96:CV101)</f>
        <v>88266.61</v>
      </c>
    </row>
    <row r="102" spans="1:101" hidden="1" x14ac:dyDescent="0.25">
      <c r="A102" s="335">
        <f t="shared" si="47"/>
        <v>34417</v>
      </c>
      <c r="B102" s="335">
        <v>34429</v>
      </c>
      <c r="C102" s="317">
        <f t="shared" si="39"/>
        <v>12</v>
      </c>
      <c r="E102" s="336">
        <v>2.4039999999999999E-2</v>
      </c>
      <c r="F102" s="339">
        <f>ROUND(((F101*SUM($C$10:C101))+(E102*C102))/SUM($C$10:C102),5)</f>
        <v>2.4799999999999999E-2</v>
      </c>
      <c r="G102" s="340">
        <v>75.8</v>
      </c>
      <c r="I102" s="335">
        <f t="shared" si="48"/>
        <v>34359</v>
      </c>
      <c r="J102" s="335">
        <v>34360</v>
      </c>
      <c r="K102" s="317">
        <f t="shared" si="40"/>
        <v>1</v>
      </c>
      <c r="L102" s="317"/>
      <c r="M102" s="336">
        <v>2.4410000000000001E-2</v>
      </c>
      <c r="N102" s="339">
        <f>ROUND(((N101*SUM($K$10:K101))+(M102*K102))/SUM($K$10:K102),5)</f>
        <v>2.4920000000000001E-2</v>
      </c>
      <c r="O102" s="317">
        <v>81.5</v>
      </c>
      <c r="Q102" s="335">
        <f t="shared" si="49"/>
        <v>34850</v>
      </c>
      <c r="R102" s="353">
        <v>34852</v>
      </c>
      <c r="S102" s="317">
        <f t="shared" si="41"/>
        <v>2</v>
      </c>
      <c r="U102" s="339">
        <v>4.07E-2</v>
      </c>
      <c r="V102" s="339">
        <f>ROUND(((V101*SUM($S$10:S101))+(U102*S102))/SUM($S$10:S102),5)</f>
        <v>3.1350000000000003E-2</v>
      </c>
      <c r="W102" s="351">
        <v>96.5</v>
      </c>
      <c r="Y102" s="335">
        <f t="shared" si="50"/>
        <v>36647</v>
      </c>
      <c r="Z102" s="345">
        <v>36649</v>
      </c>
      <c r="AA102" s="317">
        <f t="shared" si="42"/>
        <v>2</v>
      </c>
      <c r="AC102" s="346">
        <v>4.4866000000000003E-2</v>
      </c>
      <c r="AD102" s="339">
        <f>ROUND(((AD101*SUM($AA$10:AA101))+(AC102*AA102))/SUM($AA$10:AA102),5)</f>
        <v>3.526E-2</v>
      </c>
      <c r="AE102" s="348">
        <v>24.96</v>
      </c>
      <c r="AH102" s="345"/>
      <c r="AK102" s="346"/>
      <c r="AO102" s="335">
        <f t="shared" si="52"/>
        <v>37117</v>
      </c>
      <c r="AP102" s="345">
        <v>37138</v>
      </c>
      <c r="AQ102" s="317">
        <f t="shared" si="31"/>
        <v>21</v>
      </c>
      <c r="AS102" s="346">
        <v>3.1907999999999999E-2</v>
      </c>
      <c r="AT102" s="339">
        <f>ROUND(((AT101*SUM($AQ$10:AQ101))+(AS102*AQ102))/SUM($AQ$10:AQ102),5)</f>
        <v>3.8580000000000003E-2</v>
      </c>
      <c r="AU102" s="348">
        <v>81.86</v>
      </c>
      <c r="BB102" s="352"/>
      <c r="BC102" s="348"/>
      <c r="BE102" s="335">
        <f t="shared" si="44"/>
        <v>34422</v>
      </c>
      <c r="BF102" s="335">
        <v>34425</v>
      </c>
      <c r="BG102" s="317">
        <f t="shared" si="33"/>
        <v>3</v>
      </c>
      <c r="BH102" s="336">
        <v>2.29E-2</v>
      </c>
      <c r="BI102" s="337">
        <f t="shared" si="56"/>
        <v>5646.58</v>
      </c>
      <c r="BJ102" s="341">
        <f>SUM(BI98:BI102)</f>
        <v>56449.32</v>
      </c>
      <c r="BK102" s="341">
        <v>60784.01</v>
      </c>
      <c r="BL102" s="341">
        <f>BJ102-BK102</f>
        <v>-4334.6900000000023</v>
      </c>
      <c r="BM102" s="341">
        <f>BM97+BL102</f>
        <v>-14743.820000000003</v>
      </c>
      <c r="BN102" s="317"/>
      <c r="BO102" s="335">
        <f t="shared" si="45"/>
        <v>36373</v>
      </c>
      <c r="BP102" s="345">
        <v>36377</v>
      </c>
      <c r="BQ102" s="317">
        <f t="shared" si="34"/>
        <v>4</v>
      </c>
      <c r="BR102" s="346">
        <v>3.1099999999999999E-2</v>
      </c>
      <c r="BS102" s="337">
        <f t="shared" si="32"/>
        <v>5793.97</v>
      </c>
      <c r="BW102" s="335">
        <f t="shared" si="55"/>
        <v>36587</v>
      </c>
      <c r="BX102" s="345">
        <v>36594</v>
      </c>
      <c r="BY102" s="317">
        <f t="shared" si="35"/>
        <v>7</v>
      </c>
      <c r="BZ102" s="346">
        <v>3.7699999999999997E-2</v>
      </c>
      <c r="CA102" s="337">
        <f t="shared" si="57"/>
        <v>36051.912568</v>
      </c>
      <c r="CB102" s="341" t="s">
        <v>35</v>
      </c>
      <c r="CD102" s="335">
        <f t="shared" si="53"/>
        <v>36587</v>
      </c>
      <c r="CE102" s="345">
        <v>36594</v>
      </c>
      <c r="CF102" s="317">
        <f t="shared" si="37"/>
        <v>7</v>
      </c>
      <c r="CG102" s="346">
        <v>3.7699999999999997E-2</v>
      </c>
      <c r="CH102" s="337">
        <f t="shared" si="58"/>
        <v>36051.912568</v>
      </c>
      <c r="CL102" s="335">
        <f t="shared" si="46"/>
        <v>37288</v>
      </c>
      <c r="CM102" s="345">
        <v>37294</v>
      </c>
      <c r="CN102" s="317">
        <f t="shared" si="59"/>
        <v>6</v>
      </c>
      <c r="CO102" s="347">
        <v>1.35E-2</v>
      </c>
      <c r="CP102" s="347"/>
      <c r="CQ102" s="347"/>
      <c r="CR102" s="347"/>
      <c r="CS102" s="347"/>
      <c r="CT102" s="347"/>
      <c r="CU102" s="347"/>
      <c r="CV102" s="337">
        <f t="shared" si="60"/>
        <v>18493.52</v>
      </c>
    </row>
    <row r="103" spans="1:101" hidden="1" x14ac:dyDescent="0.25">
      <c r="A103" s="335">
        <f t="shared" si="47"/>
        <v>34429</v>
      </c>
      <c r="B103" s="335">
        <v>34431</v>
      </c>
      <c r="C103" s="317">
        <f t="shared" si="39"/>
        <v>2</v>
      </c>
      <c r="E103" s="336">
        <v>2.4060000000000002E-2</v>
      </c>
      <c r="F103" s="339">
        <f>ROUND(((F102*SUM($C$10:C102))+(E103*C103))/SUM($C$10:C103),5)</f>
        <v>2.4799999999999999E-2</v>
      </c>
      <c r="G103" s="317">
        <v>78.5</v>
      </c>
      <c r="I103" s="335">
        <f t="shared" si="48"/>
        <v>34360</v>
      </c>
      <c r="J103" s="335">
        <v>34362</v>
      </c>
      <c r="K103" s="317">
        <f t="shared" si="40"/>
        <v>2</v>
      </c>
      <c r="L103" s="317"/>
      <c r="M103" s="336">
        <v>2.435E-2</v>
      </c>
      <c r="N103" s="339">
        <f>ROUND(((N102*SUM($K$10:K102))+(M103*K103))/SUM($K$10:K103),5)</f>
        <v>2.4920000000000001E-2</v>
      </c>
      <c r="O103" s="317">
        <v>81.599999999999994</v>
      </c>
      <c r="Q103" s="335">
        <f t="shared" si="49"/>
        <v>34852</v>
      </c>
      <c r="R103" s="353">
        <v>34855</v>
      </c>
      <c r="S103" s="317">
        <f t="shared" si="41"/>
        <v>3</v>
      </c>
      <c r="U103" s="339">
        <v>4.0680000000000001E-2</v>
      </c>
      <c r="V103" s="339">
        <f>ROUND(((V102*SUM($S$10:S102))+(U103*S103))/SUM($S$10:S103),5)</f>
        <v>3.1390000000000001E-2</v>
      </c>
      <c r="W103" s="351">
        <v>94.8</v>
      </c>
      <c r="Y103" s="335">
        <f t="shared" si="50"/>
        <v>36649</v>
      </c>
      <c r="Z103" s="345">
        <v>36651</v>
      </c>
      <c r="AA103" s="317">
        <f t="shared" si="42"/>
        <v>2</v>
      </c>
      <c r="AC103" s="346">
        <v>4.5698000000000003E-2</v>
      </c>
      <c r="AD103" s="339">
        <f>ROUND(((AD102*SUM($AA$10:AA102))+(AC103*AA103))/SUM($AA$10:AA103),5)</f>
        <v>3.5279999999999999E-2</v>
      </c>
      <c r="AE103" s="348">
        <v>26.16</v>
      </c>
      <c r="AH103" s="345"/>
      <c r="AK103" s="346"/>
      <c r="AO103" s="335">
        <f t="shared" si="52"/>
        <v>37138</v>
      </c>
      <c r="AP103" s="345"/>
      <c r="AQ103" s="317">
        <f t="shared" si="31"/>
        <v>-37138</v>
      </c>
      <c r="AS103" s="346"/>
      <c r="AT103" s="339">
        <f>ROUND(((AT102*SUM($AQ$10:AQ102))+(AS103*AQ103))/SUM($AQ$10:AQ103),5)</f>
        <v>-1.5E-3</v>
      </c>
      <c r="AU103" s="348"/>
      <c r="BB103" s="352"/>
      <c r="BC103" s="348"/>
      <c r="BE103" s="335">
        <f t="shared" si="44"/>
        <v>34425</v>
      </c>
      <c r="BF103" s="335">
        <v>34429</v>
      </c>
      <c r="BG103" s="317">
        <f t="shared" si="33"/>
        <v>4</v>
      </c>
      <c r="BH103" s="336">
        <v>2.29E-2</v>
      </c>
      <c r="BI103" s="337">
        <f t="shared" si="56"/>
        <v>7528.77</v>
      </c>
      <c r="BJ103" s="317"/>
      <c r="BK103" s="317"/>
      <c r="BL103" s="317"/>
      <c r="BM103" s="317"/>
      <c r="BN103" s="317"/>
      <c r="BO103" s="335">
        <f t="shared" si="45"/>
        <v>36377</v>
      </c>
      <c r="BP103" s="345">
        <v>36384</v>
      </c>
      <c r="BQ103" s="317">
        <f t="shared" si="34"/>
        <v>7</v>
      </c>
      <c r="BR103" s="346">
        <v>2.9600000000000001E-2</v>
      </c>
      <c r="BS103" s="337">
        <f t="shared" si="32"/>
        <v>9650.41</v>
      </c>
      <c r="BW103" s="335">
        <f t="shared" si="55"/>
        <v>36594</v>
      </c>
      <c r="BX103" s="345">
        <v>36601</v>
      </c>
      <c r="BY103" s="317">
        <f t="shared" si="35"/>
        <v>7</v>
      </c>
      <c r="BZ103" s="346">
        <v>3.7400000000000003E-2</v>
      </c>
      <c r="CA103" s="337">
        <f t="shared" si="57"/>
        <v>35765.027322000002</v>
      </c>
      <c r="CD103" s="335">
        <f t="shared" si="53"/>
        <v>36594</v>
      </c>
      <c r="CE103" s="345">
        <v>36601</v>
      </c>
      <c r="CF103" s="317">
        <f t="shared" si="37"/>
        <v>7</v>
      </c>
      <c r="CG103" s="346">
        <v>3.7400000000000003E-2</v>
      </c>
      <c r="CH103" s="337">
        <f t="shared" si="58"/>
        <v>35765.027322000002</v>
      </c>
      <c r="CL103" s="335">
        <f t="shared" si="46"/>
        <v>37294</v>
      </c>
      <c r="CM103" s="345">
        <v>37301</v>
      </c>
      <c r="CN103" s="317">
        <f t="shared" si="59"/>
        <v>7</v>
      </c>
      <c r="CO103" s="347">
        <v>1.2200000000000001E-2</v>
      </c>
      <c r="CP103" s="347"/>
      <c r="CQ103" s="347"/>
      <c r="CR103" s="347"/>
      <c r="CS103" s="347"/>
      <c r="CT103" s="347"/>
      <c r="CU103" s="347"/>
      <c r="CV103" s="337">
        <f t="shared" si="60"/>
        <v>19498.11</v>
      </c>
    </row>
    <row r="104" spans="1:101" hidden="1" x14ac:dyDescent="0.25">
      <c r="A104" s="335">
        <f t="shared" si="47"/>
        <v>34431</v>
      </c>
      <c r="B104" s="335">
        <v>34435</v>
      </c>
      <c r="C104" s="317">
        <f t="shared" si="39"/>
        <v>4</v>
      </c>
      <c r="E104" s="336">
        <v>2.4140000000000002E-2</v>
      </c>
      <c r="F104" s="339">
        <f>ROUND(((F103*SUM($C$10:C103))+(E104*C104))/SUM($C$10:C104),5)</f>
        <v>2.4799999999999999E-2</v>
      </c>
      <c r="G104" s="340">
        <v>73</v>
      </c>
      <c r="I104" s="335">
        <f t="shared" si="48"/>
        <v>34362</v>
      </c>
      <c r="J104" s="335">
        <v>34365</v>
      </c>
      <c r="K104" s="317">
        <f t="shared" si="40"/>
        <v>3</v>
      </c>
      <c r="L104" s="317"/>
      <c r="M104" s="336">
        <v>2.3800000000000002E-2</v>
      </c>
      <c r="N104" s="339">
        <f>ROUND(((N103*SUM($K$10:K103))+(M104*K104))/SUM($K$10:K104),5)</f>
        <v>2.4910000000000002E-2</v>
      </c>
      <c r="O104" s="317">
        <v>80.7</v>
      </c>
      <c r="Q104" s="335">
        <f t="shared" si="49"/>
        <v>34855</v>
      </c>
      <c r="R104" s="353">
        <v>34859</v>
      </c>
      <c r="S104" s="317">
        <f t="shared" si="41"/>
        <v>4</v>
      </c>
      <c r="U104" s="339">
        <v>4.0430000000000001E-2</v>
      </c>
      <c r="V104" s="339">
        <f>ROUND(((V103*SUM($S$10:S103))+(U104*S104))/SUM($S$10:S104),5)</f>
        <v>3.1449999999999999E-2</v>
      </c>
      <c r="W104" s="351">
        <v>100</v>
      </c>
      <c r="Y104" s="335">
        <f t="shared" si="50"/>
        <v>36651</v>
      </c>
      <c r="Z104" s="345">
        <v>36654</v>
      </c>
      <c r="AA104" s="317">
        <f t="shared" si="42"/>
        <v>3</v>
      </c>
      <c r="AC104" s="346">
        <v>5.2449999999999997E-2</v>
      </c>
      <c r="AD104" s="339">
        <f>ROUND(((AD103*SUM($AA$10:AA103))+(AC104*AA104))/SUM($AA$10:AA104),5)</f>
        <v>3.5319999999999997E-2</v>
      </c>
      <c r="AE104" s="348">
        <v>30.2</v>
      </c>
      <c r="AH104" s="345"/>
      <c r="AK104" s="346"/>
      <c r="AO104" s="335">
        <f t="shared" si="52"/>
        <v>0</v>
      </c>
      <c r="AP104" s="345"/>
      <c r="AQ104" s="317">
        <f t="shared" si="31"/>
        <v>0</v>
      </c>
      <c r="AS104" s="346"/>
      <c r="AT104" s="339">
        <f>ROUND(((AT103*SUM($AQ$10:AQ103))+(AS104*AQ104))/SUM($AQ$10:AQ104),5)</f>
        <v>-1.5E-3</v>
      </c>
      <c r="AU104" s="348"/>
      <c r="BB104" s="352"/>
      <c r="BC104" s="348"/>
      <c r="BE104" s="335">
        <f t="shared" si="44"/>
        <v>34429</v>
      </c>
      <c r="BF104" s="335">
        <v>34436</v>
      </c>
      <c r="BG104" s="317">
        <f t="shared" si="33"/>
        <v>7</v>
      </c>
      <c r="BH104" s="336">
        <v>2.2499999999999999E-2</v>
      </c>
      <c r="BI104" s="337">
        <f t="shared" si="56"/>
        <v>12945.21</v>
      </c>
      <c r="BJ104" s="317"/>
      <c r="BK104" s="317"/>
      <c r="BL104" s="317"/>
      <c r="BM104" s="317"/>
      <c r="BN104" s="317"/>
      <c r="BO104" s="335">
        <f t="shared" si="45"/>
        <v>36384</v>
      </c>
      <c r="BP104" s="345">
        <v>36391</v>
      </c>
      <c r="BQ104" s="317">
        <f t="shared" si="34"/>
        <v>7</v>
      </c>
      <c r="BR104" s="346">
        <v>3.2199999999999999E-2</v>
      </c>
      <c r="BS104" s="337">
        <f t="shared" si="32"/>
        <v>10498.08</v>
      </c>
      <c r="BW104" s="335">
        <f t="shared" si="55"/>
        <v>36601</v>
      </c>
      <c r="BX104" s="345">
        <v>36608</v>
      </c>
      <c r="BY104" s="317">
        <f t="shared" si="35"/>
        <v>7</v>
      </c>
      <c r="BZ104" s="346">
        <v>3.7499999999999999E-2</v>
      </c>
      <c r="CA104" s="337">
        <f t="shared" si="57"/>
        <v>35860.655738000001</v>
      </c>
      <c r="CD104" s="335">
        <f t="shared" si="53"/>
        <v>36601</v>
      </c>
      <c r="CE104" s="345">
        <v>36608</v>
      </c>
      <c r="CF104" s="317">
        <f t="shared" si="37"/>
        <v>7</v>
      </c>
      <c r="CG104" s="346">
        <v>3.7499999999999999E-2</v>
      </c>
      <c r="CH104" s="337">
        <f t="shared" si="58"/>
        <v>35860.655738000001</v>
      </c>
      <c r="CL104" s="335">
        <f t="shared" si="46"/>
        <v>37301</v>
      </c>
      <c r="CM104" s="345">
        <v>37308</v>
      </c>
      <c r="CN104" s="317">
        <f t="shared" si="59"/>
        <v>7</v>
      </c>
      <c r="CO104" s="347">
        <v>1.2500000000000001E-2</v>
      </c>
      <c r="CP104" s="347"/>
      <c r="CQ104" s="347"/>
      <c r="CR104" s="347"/>
      <c r="CS104" s="347"/>
      <c r="CT104" s="347"/>
      <c r="CU104" s="347"/>
      <c r="CV104" s="337">
        <f t="shared" si="60"/>
        <v>19977.57</v>
      </c>
    </row>
    <row r="105" spans="1:101" hidden="1" x14ac:dyDescent="0.25">
      <c r="A105" s="335">
        <f t="shared" si="47"/>
        <v>34435</v>
      </c>
      <c r="B105" s="335">
        <v>34445</v>
      </c>
      <c r="C105" s="317">
        <f t="shared" si="39"/>
        <v>10</v>
      </c>
      <c r="E105" s="336">
        <v>2.4910000000000002E-2</v>
      </c>
      <c r="F105" s="339">
        <f>ROUND(((F104*SUM($C$10:C104))+(E105*C105))/SUM($C$10:C105),5)</f>
        <v>2.4799999999999999E-2</v>
      </c>
      <c r="G105" s="340">
        <v>78.8</v>
      </c>
      <c r="I105" s="335">
        <f t="shared" si="48"/>
        <v>34365</v>
      </c>
      <c r="J105" s="335">
        <v>34366</v>
      </c>
      <c r="K105" s="317">
        <f t="shared" si="40"/>
        <v>1</v>
      </c>
      <c r="L105" s="317"/>
      <c r="M105" s="336">
        <v>2.3730000000000001E-2</v>
      </c>
      <c r="N105" s="339">
        <f>ROUND(((N104*SUM($K$10:K104))+(M105*K105))/SUM($K$10:K105),5)</f>
        <v>2.4910000000000002E-2</v>
      </c>
      <c r="O105" s="317">
        <v>79.400000000000006</v>
      </c>
      <c r="Q105" s="335">
        <f t="shared" si="49"/>
        <v>34859</v>
      </c>
      <c r="R105" s="353">
        <v>34863</v>
      </c>
      <c r="S105" s="317">
        <f t="shared" si="41"/>
        <v>4</v>
      </c>
      <c r="U105" s="339">
        <v>4.0090000000000001E-2</v>
      </c>
      <c r="V105" s="339">
        <f>ROUND(((V104*SUM($S$10:S104))+(U105*S105))/SUM($S$10:S105),5)</f>
        <v>3.15E-2</v>
      </c>
      <c r="W105" s="351">
        <v>101.3</v>
      </c>
      <c r="Y105" s="335">
        <f t="shared" si="50"/>
        <v>36654</v>
      </c>
      <c r="Z105" s="345">
        <v>36679</v>
      </c>
      <c r="AA105" s="317">
        <f t="shared" si="42"/>
        <v>25</v>
      </c>
      <c r="AC105" s="346">
        <v>5.4550000000000001E-2</v>
      </c>
      <c r="AD105" s="339">
        <f>ROUND(((AD104*SUM($AA$10:AA104))+(AC105*AA105))/SUM($AA$10:AA105),5)</f>
        <v>3.5680000000000003E-2</v>
      </c>
      <c r="AE105" s="348">
        <v>33.67</v>
      </c>
      <c r="AH105" s="345"/>
      <c r="AK105" s="346"/>
      <c r="AO105" s="335">
        <f t="shared" si="52"/>
        <v>0</v>
      </c>
      <c r="AP105" s="345"/>
      <c r="AQ105" s="317">
        <f t="shared" si="31"/>
        <v>0</v>
      </c>
      <c r="AS105" s="346"/>
      <c r="AT105" s="339">
        <f>ROUND(((AT104*SUM($AQ$10:AQ104))+(AS105*AQ105))/SUM($AQ$10:AQ105),5)</f>
        <v>-1.5E-3</v>
      </c>
      <c r="AU105" s="348"/>
      <c r="BB105" s="352"/>
      <c r="BC105" s="348"/>
      <c r="BE105" s="335">
        <f t="shared" si="44"/>
        <v>34436</v>
      </c>
      <c r="BF105" s="335">
        <v>34443</v>
      </c>
      <c r="BG105" s="317">
        <f t="shared" si="33"/>
        <v>7</v>
      </c>
      <c r="BH105" s="336">
        <v>0.02</v>
      </c>
      <c r="BI105" s="337">
        <f t="shared" si="56"/>
        <v>11506.85</v>
      </c>
      <c r="BJ105" s="317"/>
      <c r="BK105" s="317"/>
      <c r="BL105" s="317"/>
      <c r="BM105" s="317"/>
      <c r="BN105" s="317"/>
      <c r="BO105" s="335">
        <f t="shared" si="45"/>
        <v>36391</v>
      </c>
      <c r="BP105" s="345">
        <v>36398</v>
      </c>
      <c r="BQ105" s="317">
        <f t="shared" si="34"/>
        <v>7</v>
      </c>
      <c r="BR105" s="346">
        <v>3.2000000000000001E-2</v>
      </c>
      <c r="BS105" s="337">
        <f t="shared" si="32"/>
        <v>10432.879999999999</v>
      </c>
      <c r="BW105" s="335">
        <f t="shared" si="55"/>
        <v>36608</v>
      </c>
      <c r="BX105" s="345">
        <v>36615</v>
      </c>
      <c r="BY105" s="317">
        <f t="shared" si="35"/>
        <v>7</v>
      </c>
      <c r="BZ105" s="346">
        <v>3.7199999999999997E-2</v>
      </c>
      <c r="CA105" s="337">
        <f t="shared" si="57"/>
        <v>35573.770492000003</v>
      </c>
      <c r="CD105" s="335">
        <f t="shared" si="53"/>
        <v>36608</v>
      </c>
      <c r="CE105" s="345">
        <v>36615</v>
      </c>
      <c r="CF105" s="317">
        <f t="shared" si="37"/>
        <v>7</v>
      </c>
      <c r="CG105" s="346">
        <v>3.7199999999999997E-2</v>
      </c>
      <c r="CH105" s="337">
        <f t="shared" si="58"/>
        <v>35573.770492000003</v>
      </c>
      <c r="CL105" s="335">
        <f t="shared" si="46"/>
        <v>37308</v>
      </c>
      <c r="CM105" s="345">
        <v>37315</v>
      </c>
      <c r="CN105" s="317">
        <f t="shared" si="59"/>
        <v>7</v>
      </c>
      <c r="CO105" s="347">
        <v>1.23E-2</v>
      </c>
      <c r="CP105" s="347"/>
      <c r="CQ105" s="347"/>
      <c r="CR105" s="347"/>
      <c r="CS105" s="347"/>
      <c r="CT105" s="347"/>
      <c r="CU105" s="347"/>
      <c r="CV105" s="337">
        <f t="shared" si="60"/>
        <v>19657.93</v>
      </c>
    </row>
    <row r="106" spans="1:101" hidden="1" x14ac:dyDescent="0.25">
      <c r="A106" s="335">
        <f t="shared" si="47"/>
        <v>34445</v>
      </c>
      <c r="B106" s="335">
        <v>34449</v>
      </c>
      <c r="C106" s="317">
        <f t="shared" si="39"/>
        <v>4</v>
      </c>
      <c r="E106" s="336">
        <v>2.5020000000000001E-2</v>
      </c>
      <c r="F106" s="339">
        <f>ROUND(((F105*SUM($C$10:C105))+(E106*C106))/SUM($C$10:C106),5)</f>
        <v>2.4799999999999999E-2</v>
      </c>
      <c r="G106" s="340">
        <v>75.599999999999994</v>
      </c>
      <c r="I106" s="335">
        <f t="shared" si="48"/>
        <v>34366</v>
      </c>
      <c r="J106" s="335">
        <v>34373</v>
      </c>
      <c r="K106" s="317">
        <f t="shared" si="40"/>
        <v>7</v>
      </c>
      <c r="L106" s="317"/>
      <c r="M106" s="336">
        <v>2.3730000000000001E-2</v>
      </c>
      <c r="N106" s="339">
        <f>ROUND(((N105*SUM($K$10:K105))+(M106*K106))/SUM($K$10:K106),5)</f>
        <v>2.4889999999999999E-2</v>
      </c>
      <c r="O106" s="317">
        <v>79.099999999999994</v>
      </c>
      <c r="Q106" s="335">
        <f t="shared" si="49"/>
        <v>34863</v>
      </c>
      <c r="R106" s="353">
        <v>34864</v>
      </c>
      <c r="S106" s="317">
        <f t="shared" si="41"/>
        <v>1</v>
      </c>
      <c r="U106" s="339">
        <v>4.0079999999999998E-2</v>
      </c>
      <c r="V106" s="339">
        <f>ROUND(((V105*SUM($S$10:S105))+(U106*S106))/SUM($S$10:S106),5)</f>
        <v>3.1510000000000003E-2</v>
      </c>
      <c r="W106" s="351">
        <v>98.7</v>
      </c>
      <c r="Y106" s="335">
        <f t="shared" si="50"/>
        <v>36679</v>
      </c>
      <c r="Z106" s="345">
        <v>36684</v>
      </c>
      <c r="AA106" s="317">
        <f t="shared" si="42"/>
        <v>5</v>
      </c>
      <c r="AC106" s="346">
        <v>5.3614000000000002E-2</v>
      </c>
      <c r="AD106" s="339">
        <f>ROUND(((AD105*SUM($AA$10:AA105))+(AC106*AA106))/SUM($AA$10:AA106),5)</f>
        <v>3.5749999999999997E-2</v>
      </c>
      <c r="AE106" s="348">
        <v>34.869999999999997</v>
      </c>
      <c r="AH106" s="345"/>
      <c r="AK106" s="346"/>
      <c r="AO106" s="335">
        <f t="shared" si="52"/>
        <v>0</v>
      </c>
      <c r="AP106" s="345"/>
      <c r="AQ106" s="317">
        <f t="shared" si="31"/>
        <v>0</v>
      </c>
      <c r="AS106" s="346"/>
      <c r="AT106" s="339">
        <f>ROUND(((AT105*SUM($AQ$10:AQ105))+(AS106*AQ106))/SUM($AQ$10:AQ106),5)</f>
        <v>-1.5E-3</v>
      </c>
      <c r="AU106" s="348"/>
      <c r="BB106" s="352"/>
      <c r="BC106" s="348"/>
      <c r="BE106" s="335">
        <f t="shared" si="44"/>
        <v>34443</v>
      </c>
      <c r="BF106" s="335">
        <v>34450</v>
      </c>
      <c r="BG106" s="317">
        <f t="shared" si="33"/>
        <v>7</v>
      </c>
      <c r="BH106" s="336">
        <v>2.7400000000000001E-2</v>
      </c>
      <c r="BI106" s="337">
        <f t="shared" si="56"/>
        <v>15764.38</v>
      </c>
      <c r="BJ106" s="317"/>
      <c r="BK106" s="317"/>
      <c r="BL106" s="317"/>
      <c r="BM106" s="317"/>
      <c r="BN106" s="317"/>
      <c r="BO106" s="335">
        <f t="shared" si="45"/>
        <v>36398</v>
      </c>
      <c r="BP106" s="345">
        <v>36404</v>
      </c>
      <c r="BQ106" s="317">
        <f t="shared" si="34"/>
        <v>6</v>
      </c>
      <c r="BR106" s="346">
        <v>3.2399999999999998E-2</v>
      </c>
      <c r="BS106" s="337">
        <f t="shared" si="32"/>
        <v>9054.25</v>
      </c>
      <c r="BT106" s="341">
        <f>SUM(BS102:BS106)</f>
        <v>45429.59</v>
      </c>
      <c r="BW106" s="335">
        <f t="shared" si="55"/>
        <v>36615</v>
      </c>
      <c r="BX106" s="345">
        <v>36617</v>
      </c>
      <c r="BY106" s="317">
        <f t="shared" si="35"/>
        <v>2</v>
      </c>
      <c r="BZ106" s="346">
        <v>3.8600000000000002E-2</v>
      </c>
      <c r="CA106" s="337">
        <f>ROUND($CA$5*BZ106*BY106/366,2)</f>
        <v>10546.45</v>
      </c>
      <c r="CB106" s="341">
        <f>SUM(CA101:CA106)</f>
        <v>159071.04016400003</v>
      </c>
      <c r="CD106" s="335">
        <f t="shared" si="53"/>
        <v>36615</v>
      </c>
      <c r="CE106" s="345">
        <v>36617</v>
      </c>
      <c r="CF106" s="317">
        <f t="shared" si="37"/>
        <v>2</v>
      </c>
      <c r="CG106" s="346">
        <v>3.8600000000000002E-2</v>
      </c>
      <c r="CH106" s="337">
        <f t="shared" si="58"/>
        <v>10546.448087000001</v>
      </c>
      <c r="CI106" s="341">
        <f>SUM(CH101:CH106)</f>
        <v>159071.03825100002</v>
      </c>
      <c r="CL106" s="335">
        <f t="shared" si="46"/>
        <v>37315</v>
      </c>
      <c r="CM106" s="345">
        <v>37316</v>
      </c>
      <c r="CN106" s="317">
        <f t="shared" si="59"/>
        <v>1</v>
      </c>
      <c r="CO106" s="346">
        <v>1.14E-2</v>
      </c>
      <c r="CP106" s="346"/>
      <c r="CQ106" s="346"/>
      <c r="CR106" s="346"/>
      <c r="CS106" s="346"/>
      <c r="CT106" s="346"/>
      <c r="CU106" s="346"/>
      <c r="CV106" s="337">
        <f t="shared" si="60"/>
        <v>2602.79</v>
      </c>
      <c r="CW106" s="341">
        <f>SUM(CV102:CV106)</f>
        <v>80229.919999999998</v>
      </c>
    </row>
    <row r="107" spans="1:101" hidden="1" x14ac:dyDescent="0.25">
      <c r="A107" s="335">
        <f t="shared" si="47"/>
        <v>34449</v>
      </c>
      <c r="B107" s="335">
        <v>34456</v>
      </c>
      <c r="C107" s="317">
        <f t="shared" si="39"/>
        <v>7</v>
      </c>
      <c r="E107" s="336">
        <v>2.5059999999999999E-2</v>
      </c>
      <c r="F107" s="339">
        <f>ROUND(((F106*SUM($C$10:C106))+(E107*C107))/SUM($C$10:C107),5)</f>
        <v>2.4799999999999999E-2</v>
      </c>
      <c r="G107" s="340">
        <v>73.8</v>
      </c>
      <c r="I107" s="335">
        <f t="shared" si="48"/>
        <v>34373</v>
      </c>
      <c r="J107" s="335">
        <v>34380</v>
      </c>
      <c r="K107" s="317">
        <f t="shared" si="40"/>
        <v>7</v>
      </c>
      <c r="L107" s="317"/>
      <c r="M107" s="336">
        <v>2.393E-2</v>
      </c>
      <c r="N107" s="339">
        <f>ROUND(((N106*SUM($K$10:K106))+(M107*K107))/SUM($K$10:K107),5)</f>
        <v>2.4879999999999999E-2</v>
      </c>
      <c r="O107" s="317">
        <v>85.2</v>
      </c>
      <c r="Q107" s="335">
        <f t="shared" si="49"/>
        <v>34864</v>
      </c>
      <c r="R107" s="353">
        <v>34865</v>
      </c>
      <c r="S107" s="317">
        <f t="shared" si="41"/>
        <v>1</v>
      </c>
      <c r="U107" s="339">
        <v>4.0079999999999998E-2</v>
      </c>
      <c r="V107" s="339">
        <f>ROUND(((V106*SUM($S$10:S106))+(U107*S107))/SUM($S$10:S107),5)</f>
        <v>3.1519999999999999E-2</v>
      </c>
      <c r="W107" s="351">
        <v>98.7</v>
      </c>
      <c r="Y107" s="335">
        <f t="shared" si="50"/>
        <v>36684</v>
      </c>
      <c r="Z107" s="345">
        <v>36685</v>
      </c>
      <c r="AA107" s="317">
        <f t="shared" si="42"/>
        <v>1</v>
      </c>
      <c r="AC107" s="346">
        <v>5.3332999999999998E-2</v>
      </c>
      <c r="AD107" s="339">
        <f>ROUND(((AD106*SUM($AA$10:AA106))+(AC107*AA107))/SUM($AA$10:AA107),5)</f>
        <v>3.576E-2</v>
      </c>
      <c r="AE107" s="348">
        <v>34.270000000000003</v>
      </c>
      <c r="AH107" s="345"/>
      <c r="AK107" s="346"/>
      <c r="AO107" s="335">
        <f t="shared" si="52"/>
        <v>0</v>
      </c>
      <c r="AP107" s="345"/>
      <c r="AQ107" s="317">
        <f t="shared" si="31"/>
        <v>0</v>
      </c>
      <c r="AS107" s="346"/>
      <c r="AT107" s="339">
        <f>ROUND(((AT106*SUM($AQ$10:AQ106))+(AS107*AQ107))/SUM($AQ$10:AQ107),5)</f>
        <v>-1.5E-3</v>
      </c>
      <c r="BB107" s="352"/>
      <c r="BC107" s="348"/>
      <c r="BE107" s="335">
        <f t="shared" si="44"/>
        <v>34450</v>
      </c>
      <c r="BF107" s="335">
        <v>34455</v>
      </c>
      <c r="BG107" s="317">
        <f t="shared" si="33"/>
        <v>5</v>
      </c>
      <c r="BH107" s="336">
        <v>3.3100000000000004E-2</v>
      </c>
      <c r="BI107" s="337">
        <f t="shared" si="56"/>
        <v>13602.74</v>
      </c>
      <c r="BJ107" s="341">
        <f>SUM(BI103:BI107)</f>
        <v>61347.95</v>
      </c>
      <c r="BK107" s="341">
        <v>59942.2</v>
      </c>
      <c r="BL107" s="341">
        <f>BJ107-BK107</f>
        <v>1405.75</v>
      </c>
      <c r="BM107" s="341">
        <f>BM102+BL107</f>
        <v>-13338.070000000003</v>
      </c>
      <c r="BN107" s="317"/>
      <c r="BO107" s="335">
        <f t="shared" si="45"/>
        <v>36404</v>
      </c>
      <c r="BP107" s="345">
        <v>36405</v>
      </c>
      <c r="BQ107" s="317">
        <f t="shared" si="34"/>
        <v>1</v>
      </c>
      <c r="BR107" s="346">
        <v>3.2399999999999998E-2</v>
      </c>
      <c r="BS107" s="337">
        <f t="shared" si="32"/>
        <v>1509.04</v>
      </c>
      <c r="BW107" s="335">
        <f t="shared" si="55"/>
        <v>36617</v>
      </c>
      <c r="BX107" s="345">
        <v>36622</v>
      </c>
      <c r="BY107" s="317">
        <f t="shared" si="35"/>
        <v>5</v>
      </c>
      <c r="BZ107" s="346">
        <v>3.8600000000000002E-2</v>
      </c>
      <c r="CA107" s="337">
        <f t="shared" ref="CA107:CA153" si="61">ROUND($CA$5*BZ107*BY107/366,6)</f>
        <v>26366.120219</v>
      </c>
      <c r="CD107" s="335">
        <f t="shared" si="53"/>
        <v>36617</v>
      </c>
      <c r="CE107" s="345">
        <v>36622</v>
      </c>
      <c r="CF107" s="317">
        <f t="shared" si="37"/>
        <v>5</v>
      </c>
      <c r="CG107" s="346">
        <v>3.8600000000000002E-2</v>
      </c>
      <c r="CH107" s="337">
        <f t="shared" si="58"/>
        <v>26366.120219</v>
      </c>
      <c r="CL107" s="335">
        <f t="shared" si="46"/>
        <v>37316</v>
      </c>
      <c r="CM107" s="345">
        <v>37322</v>
      </c>
      <c r="CN107" s="317">
        <f t="shared" si="59"/>
        <v>6</v>
      </c>
      <c r="CO107" s="346">
        <v>1.14E-2</v>
      </c>
      <c r="CP107" s="346"/>
      <c r="CQ107" s="346"/>
      <c r="CR107" s="346"/>
      <c r="CS107" s="346"/>
      <c r="CT107" s="346"/>
      <c r="CU107" s="346"/>
      <c r="CV107" s="337">
        <f t="shared" si="60"/>
        <v>15616.75</v>
      </c>
    </row>
    <row r="108" spans="1:101" hidden="1" x14ac:dyDescent="0.25">
      <c r="A108" s="335">
        <f t="shared" si="47"/>
        <v>34456</v>
      </c>
      <c r="B108" s="335">
        <v>34457</v>
      </c>
      <c r="C108" s="317">
        <f t="shared" si="39"/>
        <v>1</v>
      </c>
      <c r="E108" s="336">
        <v>2.5069999999999999E-2</v>
      </c>
      <c r="F108" s="339">
        <f>ROUND(((F107*SUM($C$10:C107))+(E108*C108))/SUM($C$10:C108),5)</f>
        <v>2.4799999999999999E-2</v>
      </c>
      <c r="G108" s="340">
        <v>74</v>
      </c>
      <c r="I108" s="335">
        <f t="shared" si="48"/>
        <v>34380</v>
      </c>
      <c r="J108" s="335">
        <v>34382</v>
      </c>
      <c r="K108" s="317">
        <f t="shared" si="40"/>
        <v>2</v>
      </c>
      <c r="L108" s="317"/>
      <c r="M108" s="336">
        <v>2.3879999999999998E-2</v>
      </c>
      <c r="N108" s="339">
        <f>ROUND(((N107*SUM($K$10:K107))+(M108*K108))/SUM($K$10:K108),5)</f>
        <v>2.4879999999999999E-2</v>
      </c>
      <c r="O108" s="340">
        <v>82</v>
      </c>
      <c r="Q108" s="335">
        <f t="shared" si="49"/>
        <v>34865</v>
      </c>
      <c r="R108" s="353">
        <v>34869</v>
      </c>
      <c r="S108" s="317">
        <f t="shared" si="41"/>
        <v>4</v>
      </c>
      <c r="U108" s="339">
        <v>3.9719999999999998E-2</v>
      </c>
      <c r="V108" s="339">
        <f>ROUND(((V107*SUM($S$10:S107))+(U108*S108))/SUM($S$10:S108),5)</f>
        <v>3.1570000000000001E-2</v>
      </c>
      <c r="W108" s="351">
        <v>101.8</v>
      </c>
      <c r="Y108" s="335">
        <f t="shared" si="50"/>
        <v>36685</v>
      </c>
      <c r="Z108" s="345">
        <v>36686</v>
      </c>
      <c r="AA108" s="317">
        <f t="shared" si="42"/>
        <v>1</v>
      </c>
      <c r="AC108" s="346">
        <v>4.9713E-2</v>
      </c>
      <c r="AD108" s="339">
        <f>ROUND(((AD107*SUM($AA$10:AA107))+(AC108*AA108))/SUM($AA$10:AA108),5)</f>
        <v>3.5770000000000003E-2</v>
      </c>
      <c r="AE108" s="348">
        <v>35.07</v>
      </c>
      <c r="AH108" s="345"/>
      <c r="AK108" s="346"/>
      <c r="AO108" s="335">
        <f t="shared" si="52"/>
        <v>0</v>
      </c>
      <c r="AP108" s="345"/>
      <c r="AQ108" s="317">
        <f t="shared" si="31"/>
        <v>0</v>
      </c>
      <c r="AS108" s="346"/>
      <c r="AT108" s="339">
        <f>ROUND(((AT107*SUM($AQ$10:AQ107))+(AS108*AQ108))/SUM($AQ$10:AQ108),5)</f>
        <v>-1.5E-3</v>
      </c>
      <c r="BB108" s="352"/>
      <c r="BC108" s="348"/>
      <c r="BE108" s="335">
        <f t="shared" si="44"/>
        <v>34455</v>
      </c>
      <c r="BF108" s="335">
        <v>34457</v>
      </c>
      <c r="BG108" s="317">
        <f t="shared" si="33"/>
        <v>2</v>
      </c>
      <c r="BH108" s="336">
        <v>3.3100000000000004E-2</v>
      </c>
      <c r="BI108" s="337">
        <f t="shared" si="56"/>
        <v>5441.1</v>
      </c>
      <c r="BJ108" s="317"/>
      <c r="BK108" s="317"/>
      <c r="BL108" s="317"/>
      <c r="BM108" s="317"/>
      <c r="BN108" s="317"/>
      <c r="BO108" s="335">
        <f t="shared" si="45"/>
        <v>36405</v>
      </c>
      <c r="BP108" s="345">
        <v>36412</v>
      </c>
      <c r="BQ108" s="317">
        <f t="shared" si="34"/>
        <v>7</v>
      </c>
      <c r="BR108" s="346">
        <v>3.1399999999999997E-2</v>
      </c>
      <c r="BS108" s="337">
        <f t="shared" si="32"/>
        <v>10237.26</v>
      </c>
      <c r="BW108" s="335">
        <f t="shared" si="55"/>
        <v>36622</v>
      </c>
      <c r="BX108" s="345">
        <v>36629</v>
      </c>
      <c r="BY108" s="317">
        <f t="shared" si="35"/>
        <v>7</v>
      </c>
      <c r="BZ108" s="346">
        <v>3.5400000000000001E-2</v>
      </c>
      <c r="CA108" s="337">
        <f t="shared" si="61"/>
        <v>33852.459016000001</v>
      </c>
      <c r="CD108" s="335">
        <f t="shared" si="53"/>
        <v>36622</v>
      </c>
      <c r="CE108" s="345">
        <v>36629</v>
      </c>
      <c r="CF108" s="317">
        <f t="shared" si="37"/>
        <v>7</v>
      </c>
      <c r="CG108" s="346">
        <v>3.5400000000000001E-2</v>
      </c>
      <c r="CH108" s="337">
        <f t="shared" si="58"/>
        <v>33852.459016000001</v>
      </c>
      <c r="CL108" s="335">
        <f t="shared" si="46"/>
        <v>37322</v>
      </c>
      <c r="CM108" s="345">
        <v>37329</v>
      </c>
      <c r="CN108" s="317">
        <f t="shared" si="59"/>
        <v>7</v>
      </c>
      <c r="CO108" s="346">
        <v>1.12E-2</v>
      </c>
      <c r="CP108" s="346"/>
      <c r="CQ108" s="346"/>
      <c r="CR108" s="346"/>
      <c r="CS108" s="346"/>
      <c r="CT108" s="346"/>
      <c r="CU108" s="346"/>
      <c r="CV108" s="337">
        <f t="shared" si="60"/>
        <v>17899.900000000001</v>
      </c>
    </row>
    <row r="109" spans="1:101" hidden="1" x14ac:dyDescent="0.25">
      <c r="A109" s="335">
        <f t="shared" si="47"/>
        <v>34457</v>
      </c>
      <c r="B109" s="335">
        <v>34458</v>
      </c>
      <c r="C109" s="317">
        <f t="shared" si="39"/>
        <v>1</v>
      </c>
      <c r="E109" s="336">
        <v>2.5100000000000001E-2</v>
      </c>
      <c r="F109" s="339">
        <f>ROUND(((F108*SUM($C$10:C108))+(E109*C109))/SUM($C$10:C109),5)</f>
        <v>2.4799999999999999E-2</v>
      </c>
      <c r="G109" s="340">
        <v>73.599999999999994</v>
      </c>
      <c r="I109" s="335">
        <f t="shared" si="48"/>
        <v>34382</v>
      </c>
      <c r="J109" s="335">
        <v>34387</v>
      </c>
      <c r="K109" s="317">
        <f t="shared" si="40"/>
        <v>5</v>
      </c>
      <c r="L109" s="317"/>
      <c r="M109" s="336">
        <v>2.3820000000000001E-2</v>
      </c>
      <c r="N109" s="339">
        <f>ROUND(((N108*SUM($K$10:K108))+(M109*K109))/SUM($K$10:K109),5)</f>
        <v>2.487E-2</v>
      </c>
      <c r="O109" s="340">
        <v>80.2</v>
      </c>
      <c r="Q109" s="335">
        <f t="shared" si="49"/>
        <v>34869</v>
      </c>
      <c r="R109" s="353">
        <v>34876</v>
      </c>
      <c r="S109" s="317">
        <f t="shared" si="41"/>
        <v>7</v>
      </c>
      <c r="U109" s="339">
        <v>3.9150000000000004E-2</v>
      </c>
      <c r="V109" s="339">
        <f>ROUND(((V108*SUM($S$10:S108))+(U109*S109))/SUM($S$10:S109),5)</f>
        <v>3.1649999999999998E-2</v>
      </c>
      <c r="W109" s="351">
        <v>101</v>
      </c>
      <c r="Y109" s="335">
        <f t="shared" si="50"/>
        <v>36686</v>
      </c>
      <c r="Z109" s="345">
        <v>36718</v>
      </c>
      <c r="AA109" s="317">
        <f t="shared" si="42"/>
        <v>32</v>
      </c>
      <c r="AC109" s="346">
        <v>4.4713000000000003E-2</v>
      </c>
      <c r="AD109" s="339">
        <f>ROUND(((AD108*SUM($AA$10:AA108))+(AC109*AA109))/SUM($AA$10:AA109),5)</f>
        <v>3.5979999999999998E-2</v>
      </c>
      <c r="AE109" s="348">
        <v>33.869999999999997</v>
      </c>
      <c r="AH109" s="345"/>
      <c r="AK109" s="346"/>
      <c r="AO109" s="335">
        <f t="shared" si="52"/>
        <v>0</v>
      </c>
      <c r="AP109" s="345"/>
      <c r="AQ109" s="317">
        <f t="shared" ref="AQ109:AQ142" si="62">AP109-AO109</f>
        <v>0</v>
      </c>
      <c r="AS109" s="346"/>
      <c r="AT109" s="339">
        <f>ROUND(((AT108*SUM($AQ$10:AQ108))+(AS109*AQ109))/SUM($AQ$10:AQ109),5)</f>
        <v>-1.5E-3</v>
      </c>
      <c r="BB109" s="352"/>
      <c r="BC109" s="348"/>
      <c r="BE109" s="335">
        <f t="shared" si="44"/>
        <v>34457</v>
      </c>
      <c r="BF109" s="335">
        <v>34464</v>
      </c>
      <c r="BG109" s="317">
        <f t="shared" si="33"/>
        <v>7</v>
      </c>
      <c r="BH109" s="336">
        <v>2.9000000000000001E-2</v>
      </c>
      <c r="BI109" s="337">
        <f t="shared" si="56"/>
        <v>16684.93</v>
      </c>
      <c r="BJ109" s="317"/>
      <c r="BK109" s="317"/>
      <c r="BL109" s="317"/>
      <c r="BM109" s="317"/>
      <c r="BN109" s="317"/>
      <c r="BO109" s="335">
        <f t="shared" si="45"/>
        <v>36412</v>
      </c>
      <c r="BP109" s="345">
        <v>36419</v>
      </c>
      <c r="BQ109" s="317">
        <f t="shared" si="34"/>
        <v>7</v>
      </c>
      <c r="BR109" s="346">
        <v>3.1699999999999999E-2</v>
      </c>
      <c r="BS109" s="337">
        <f t="shared" si="32"/>
        <v>10335.07</v>
      </c>
      <c r="BW109" s="335">
        <f t="shared" si="55"/>
        <v>36629</v>
      </c>
      <c r="BX109" s="345">
        <v>36636</v>
      </c>
      <c r="BY109" s="317">
        <f t="shared" si="35"/>
        <v>7</v>
      </c>
      <c r="BZ109" s="346">
        <v>3.9600000000000003E-2</v>
      </c>
      <c r="CA109" s="337">
        <f t="shared" si="61"/>
        <v>37868.852459000002</v>
      </c>
      <c r="CD109" s="335">
        <f t="shared" si="53"/>
        <v>36629</v>
      </c>
      <c r="CE109" s="345">
        <v>36636</v>
      </c>
      <c r="CF109" s="317">
        <f t="shared" si="37"/>
        <v>7</v>
      </c>
      <c r="CG109" s="346">
        <v>3.9600000000000003E-2</v>
      </c>
      <c r="CH109" s="337">
        <f t="shared" si="58"/>
        <v>37868.852459000002</v>
      </c>
      <c r="CL109" s="335">
        <f t="shared" si="46"/>
        <v>37329</v>
      </c>
      <c r="CM109" s="345">
        <v>37336</v>
      </c>
      <c r="CN109" s="317">
        <f t="shared" si="59"/>
        <v>7</v>
      </c>
      <c r="CO109" s="346">
        <v>1.3299999999999999E-2</v>
      </c>
      <c r="CP109" s="346"/>
      <c r="CQ109" s="346"/>
      <c r="CR109" s="346"/>
      <c r="CS109" s="346"/>
      <c r="CT109" s="346"/>
      <c r="CU109" s="346"/>
      <c r="CV109" s="337">
        <f t="shared" si="60"/>
        <v>21256.13</v>
      </c>
    </row>
    <row r="110" spans="1:101" hidden="1" x14ac:dyDescent="0.25">
      <c r="A110" s="335">
        <f t="shared" si="47"/>
        <v>34458</v>
      </c>
      <c r="B110" s="335">
        <v>34459</v>
      </c>
      <c r="C110" s="317">
        <f t="shared" si="39"/>
        <v>1</v>
      </c>
      <c r="E110" s="336">
        <v>2.53E-2</v>
      </c>
      <c r="F110" s="339">
        <f>ROUND(((F109*SUM($C$10:C109))+(E110*C110))/SUM($C$10:C110),5)</f>
        <v>2.4799999999999999E-2</v>
      </c>
      <c r="G110" s="340">
        <v>71.8</v>
      </c>
      <c r="I110" s="335">
        <f t="shared" si="48"/>
        <v>34387</v>
      </c>
      <c r="J110" s="335">
        <v>34400</v>
      </c>
      <c r="K110" s="317">
        <f t="shared" si="40"/>
        <v>13</v>
      </c>
      <c r="L110" s="317"/>
      <c r="M110" s="336">
        <v>2.3990000000000001E-2</v>
      </c>
      <c r="N110" s="339">
        <f>ROUND(((N109*SUM($K$10:K109))+(M110*K110))/SUM($K$10:K110),5)</f>
        <v>2.4850000000000001E-2</v>
      </c>
      <c r="O110" s="340">
        <v>81.8</v>
      </c>
      <c r="Q110" s="335">
        <f t="shared" si="49"/>
        <v>34876</v>
      </c>
      <c r="R110" s="353">
        <v>34886</v>
      </c>
      <c r="S110" s="317">
        <f t="shared" si="41"/>
        <v>10</v>
      </c>
      <c r="U110" s="339">
        <v>3.9150000000000004E-2</v>
      </c>
      <c r="V110" s="339">
        <f>ROUND(((V109*SUM($S$10:S109))+(U110*S110))/SUM($S$10:S110),5)</f>
        <v>3.1759999999999997E-2</v>
      </c>
      <c r="W110" s="351">
        <v>100.2</v>
      </c>
      <c r="Y110" s="335">
        <f t="shared" si="50"/>
        <v>36718</v>
      </c>
      <c r="Z110" s="345">
        <v>36719</v>
      </c>
      <c r="AA110" s="317">
        <f t="shared" si="42"/>
        <v>1</v>
      </c>
      <c r="AC110" s="346">
        <v>4.3763000000000003E-2</v>
      </c>
      <c r="AD110" s="339">
        <f>ROUND(((AD109*SUM($AA$10:AA109))+(AC110*AA110))/SUM($AA$10:AA110),5)</f>
        <v>3.5990000000000001E-2</v>
      </c>
      <c r="AE110" s="348">
        <v>39.07</v>
      </c>
      <c r="AH110" s="345"/>
      <c r="AK110" s="346"/>
      <c r="AO110" s="335">
        <f t="shared" si="52"/>
        <v>0</v>
      </c>
      <c r="AP110" s="345"/>
      <c r="AQ110" s="317">
        <f t="shared" si="62"/>
        <v>0</v>
      </c>
      <c r="AS110" s="346"/>
      <c r="AT110" s="339">
        <f>ROUND(((AT109*SUM($AQ$10:AQ109))+(AS110*AQ110))/SUM($AQ$10:AQ110),5)</f>
        <v>-1.5E-3</v>
      </c>
      <c r="BB110" s="352"/>
      <c r="BC110" s="348"/>
      <c r="BE110" s="335">
        <f t="shared" si="44"/>
        <v>34464</v>
      </c>
      <c r="BF110" s="335">
        <v>34471</v>
      </c>
      <c r="BG110" s="317">
        <f t="shared" si="33"/>
        <v>7</v>
      </c>
      <c r="BH110" s="336">
        <v>3.0800000000000001E-2</v>
      </c>
      <c r="BI110" s="337">
        <f t="shared" si="56"/>
        <v>17720.55</v>
      </c>
      <c r="BJ110" s="317"/>
      <c r="BK110" s="317"/>
      <c r="BL110" s="317"/>
      <c r="BM110" s="317"/>
      <c r="BN110" s="317"/>
      <c r="BO110" s="335">
        <f t="shared" si="45"/>
        <v>36419</v>
      </c>
      <c r="BP110" s="345">
        <v>36426</v>
      </c>
      <c r="BQ110" s="317">
        <f t="shared" si="34"/>
        <v>7</v>
      </c>
      <c r="BR110" s="346">
        <v>3.4700000000000002E-2</v>
      </c>
      <c r="BS110" s="337">
        <f t="shared" si="32"/>
        <v>11313.15</v>
      </c>
      <c r="BW110" s="335">
        <f t="shared" si="55"/>
        <v>36636</v>
      </c>
      <c r="BX110" s="345">
        <v>36643</v>
      </c>
      <c r="BY110" s="317">
        <f t="shared" si="35"/>
        <v>7</v>
      </c>
      <c r="BZ110" s="346">
        <v>4.4699999999999997E-2</v>
      </c>
      <c r="CA110" s="337">
        <f t="shared" si="61"/>
        <v>42745.901639000003</v>
      </c>
      <c r="CD110" s="335">
        <f t="shared" si="53"/>
        <v>36636</v>
      </c>
      <c r="CE110" s="345">
        <v>36643</v>
      </c>
      <c r="CF110" s="317">
        <f t="shared" si="37"/>
        <v>7</v>
      </c>
      <c r="CG110" s="346">
        <v>4.4699999999999997E-2</v>
      </c>
      <c r="CH110" s="337">
        <f t="shared" si="58"/>
        <v>42745.901639000003</v>
      </c>
      <c r="CL110" s="335">
        <f t="shared" si="46"/>
        <v>37336</v>
      </c>
      <c r="CM110" s="345">
        <v>37343</v>
      </c>
      <c r="CN110" s="317">
        <f t="shared" si="59"/>
        <v>7</v>
      </c>
      <c r="CO110" s="346">
        <v>1.4800000000000001E-2</v>
      </c>
      <c r="CP110" s="346"/>
      <c r="CQ110" s="346"/>
      <c r="CR110" s="346"/>
      <c r="CS110" s="346"/>
      <c r="CT110" s="346"/>
      <c r="CU110" s="346"/>
      <c r="CV110" s="337">
        <f t="shared" si="60"/>
        <v>23653.439999999999</v>
      </c>
    </row>
    <row r="111" spans="1:101" hidden="1" x14ac:dyDescent="0.25">
      <c r="A111" s="335">
        <f t="shared" si="47"/>
        <v>34459</v>
      </c>
      <c r="B111" s="335">
        <v>34464</v>
      </c>
      <c r="C111" s="317">
        <f t="shared" si="39"/>
        <v>5</v>
      </c>
      <c r="E111" s="336">
        <v>2.529E-2</v>
      </c>
      <c r="F111" s="339">
        <f>ROUND(((F110*SUM($C$10:C110))+(E111*C111))/SUM($C$10:C111),5)</f>
        <v>2.4799999999999999E-2</v>
      </c>
      <c r="G111" s="340">
        <v>72.900000000000006</v>
      </c>
      <c r="I111" s="335">
        <f t="shared" si="48"/>
        <v>34400</v>
      </c>
      <c r="J111" s="335">
        <v>34401</v>
      </c>
      <c r="K111" s="317">
        <f t="shared" si="40"/>
        <v>1</v>
      </c>
      <c r="L111" s="317"/>
      <c r="M111" s="336">
        <v>2.4170000000000001E-2</v>
      </c>
      <c r="N111" s="339">
        <f>ROUND(((N110*SUM($K$10:K110))+(M111*K111))/SUM($K$10:K111),5)</f>
        <v>2.4850000000000001E-2</v>
      </c>
      <c r="O111" s="340">
        <v>83.3</v>
      </c>
      <c r="Q111" s="335">
        <f t="shared" si="49"/>
        <v>34886</v>
      </c>
      <c r="R111" s="353">
        <v>34894</v>
      </c>
      <c r="S111" s="317">
        <f t="shared" si="41"/>
        <v>8</v>
      </c>
      <c r="U111" s="339">
        <v>3.8929999999999999E-2</v>
      </c>
      <c r="V111" s="339">
        <f>ROUND(((V110*SUM($S$10:S110))+(U111*S111))/SUM($S$10:S111),5)</f>
        <v>3.184E-2</v>
      </c>
      <c r="W111" s="351">
        <v>99</v>
      </c>
      <c r="Y111" s="335">
        <f t="shared" si="50"/>
        <v>36719</v>
      </c>
      <c r="Z111" s="345">
        <v>36726</v>
      </c>
      <c r="AA111" s="317">
        <f t="shared" si="42"/>
        <v>7</v>
      </c>
      <c r="AC111" s="346">
        <v>4.3532000000000001E-2</v>
      </c>
      <c r="AD111" s="339">
        <f>ROUND(((AD110*SUM($AA$10:AA110))+(AC111*AA111))/SUM($AA$10:AA111),5)</f>
        <v>3.603E-2</v>
      </c>
      <c r="AE111" s="348">
        <v>36.93</v>
      </c>
      <c r="AH111" s="345"/>
      <c r="AK111" s="346"/>
      <c r="AO111" s="335">
        <f t="shared" si="52"/>
        <v>0</v>
      </c>
      <c r="AP111" s="345"/>
      <c r="AQ111" s="317">
        <f t="shared" si="62"/>
        <v>0</v>
      </c>
      <c r="AS111" s="346"/>
      <c r="AT111" s="339">
        <f>ROUND(((AT110*SUM($AQ$10:AQ110))+(AS111*AQ111))/SUM($AQ$10:AQ111),5)</f>
        <v>-1.5E-3</v>
      </c>
      <c r="BB111" s="352"/>
      <c r="BC111" s="348"/>
      <c r="BE111" s="335">
        <f t="shared" si="44"/>
        <v>34471</v>
      </c>
      <c r="BF111" s="335">
        <v>34478</v>
      </c>
      <c r="BG111" s="317">
        <f t="shared" si="33"/>
        <v>7</v>
      </c>
      <c r="BH111" s="336">
        <v>3.09E-2</v>
      </c>
      <c r="BI111" s="337">
        <f t="shared" si="56"/>
        <v>17778.080000000002</v>
      </c>
      <c r="BJ111" s="317"/>
      <c r="BK111" s="317"/>
      <c r="BL111" s="317"/>
      <c r="BM111" s="317"/>
      <c r="BN111" s="317"/>
      <c r="BO111" s="335">
        <f t="shared" si="45"/>
        <v>36426</v>
      </c>
      <c r="BP111" s="345">
        <v>36433</v>
      </c>
      <c r="BQ111" s="317">
        <f t="shared" si="34"/>
        <v>7</v>
      </c>
      <c r="BR111" s="346">
        <v>3.78E-2</v>
      </c>
      <c r="BS111" s="337">
        <f t="shared" si="32"/>
        <v>12323.84</v>
      </c>
      <c r="BW111" s="335">
        <f t="shared" si="55"/>
        <v>36643</v>
      </c>
      <c r="BX111" s="345">
        <v>36647</v>
      </c>
      <c r="BY111" s="317">
        <f t="shared" si="35"/>
        <v>4</v>
      </c>
      <c r="BZ111" s="346">
        <v>5.0299999999999997E-2</v>
      </c>
      <c r="CA111" s="337">
        <f t="shared" si="61"/>
        <v>27486.338798000001</v>
      </c>
      <c r="CB111" s="341">
        <f>SUM(CA107:CA111)</f>
        <v>168319.67213100003</v>
      </c>
      <c r="CD111" s="335">
        <f t="shared" si="53"/>
        <v>36643</v>
      </c>
      <c r="CE111" s="345">
        <v>36647</v>
      </c>
      <c r="CF111" s="317">
        <f t="shared" si="37"/>
        <v>4</v>
      </c>
      <c r="CG111" s="346">
        <v>5.0299999999999997E-2</v>
      </c>
      <c r="CH111" s="337">
        <f t="shared" si="58"/>
        <v>27486.338798000001</v>
      </c>
      <c r="CI111" s="341">
        <f>SUM(CH107:CH111)</f>
        <v>168319.67213100003</v>
      </c>
      <c r="CL111" s="335">
        <f t="shared" si="46"/>
        <v>37343</v>
      </c>
      <c r="CM111" s="345">
        <v>37347</v>
      </c>
      <c r="CN111" s="317">
        <f t="shared" si="59"/>
        <v>4</v>
      </c>
      <c r="CO111" s="346">
        <v>1.4800000000000001E-2</v>
      </c>
      <c r="CP111" s="346"/>
      <c r="CQ111" s="346"/>
      <c r="CR111" s="346"/>
      <c r="CS111" s="346"/>
      <c r="CT111" s="346"/>
      <c r="CU111" s="346"/>
      <c r="CV111" s="337">
        <f t="shared" si="60"/>
        <v>13516.25</v>
      </c>
      <c r="CW111" s="341">
        <f>SUM(CV107:CV111)</f>
        <v>91942.47</v>
      </c>
    </row>
    <row r="112" spans="1:101" hidden="1" x14ac:dyDescent="0.25">
      <c r="A112" s="335">
        <f t="shared" si="47"/>
        <v>34464</v>
      </c>
      <c r="B112" s="335">
        <v>34465</v>
      </c>
      <c r="C112" s="317">
        <f t="shared" si="39"/>
        <v>1</v>
      </c>
      <c r="E112" s="336">
        <v>2.5319999999999999E-2</v>
      </c>
      <c r="F112" s="339">
        <f>ROUND(((F111*SUM($C$10:C111))+(E112*C112))/SUM($C$10:C112),5)</f>
        <v>2.4799999999999999E-2</v>
      </c>
      <c r="G112" s="340">
        <v>72.8</v>
      </c>
      <c r="I112" s="335">
        <f t="shared" si="48"/>
        <v>34401</v>
      </c>
      <c r="J112" s="335">
        <v>34402</v>
      </c>
      <c r="K112" s="317">
        <f t="shared" si="40"/>
        <v>1</v>
      </c>
      <c r="L112" s="317"/>
      <c r="M112" s="336">
        <v>2.4340000000000001E-2</v>
      </c>
      <c r="N112" s="339">
        <f>ROUND(((N111*SUM($K$10:K111))+(M112*K112))/SUM($K$10:K112),5)</f>
        <v>2.4850000000000001E-2</v>
      </c>
      <c r="O112" s="340">
        <v>83.3</v>
      </c>
      <c r="Q112" s="335">
        <f t="shared" si="49"/>
        <v>34894</v>
      </c>
      <c r="R112" s="353">
        <v>34897</v>
      </c>
      <c r="S112" s="317">
        <f t="shared" si="41"/>
        <v>3</v>
      </c>
      <c r="U112" s="339">
        <v>3.7950000000000005E-2</v>
      </c>
      <c r="V112" s="339">
        <f>ROUND(((V111*SUM($S$10:S111))+(U112*S112))/SUM($S$10:S112),5)</f>
        <v>3.1870000000000002E-2</v>
      </c>
      <c r="W112" s="351">
        <v>86.4</v>
      </c>
      <c r="Y112" s="335">
        <f t="shared" si="50"/>
        <v>36726</v>
      </c>
      <c r="Z112" s="345">
        <v>36745</v>
      </c>
      <c r="AA112" s="317">
        <f t="shared" si="42"/>
        <v>19</v>
      </c>
      <c r="AC112" s="346">
        <v>4.3805999999999998E-2</v>
      </c>
      <c r="AD112" s="339">
        <f>ROUND(((AD111*SUM($AA$10:AA111))+(AC112*AA112))/SUM($AA$10:AA112),5)</f>
        <v>3.6139999999999999E-2</v>
      </c>
      <c r="AE112" s="348">
        <v>41.13</v>
      </c>
      <c r="AH112" s="345"/>
      <c r="AK112" s="346"/>
      <c r="AO112" s="335">
        <f t="shared" si="52"/>
        <v>0</v>
      </c>
      <c r="AQ112" s="317">
        <f t="shared" si="62"/>
        <v>0</v>
      </c>
      <c r="AS112" s="346"/>
      <c r="AT112" s="339">
        <f>ROUND(((AT111*SUM($AQ$10:AQ111))+(AS112*AQ112))/SUM($AQ$10:AQ112),5)</f>
        <v>-1.5E-3</v>
      </c>
      <c r="BB112" s="352"/>
      <c r="BC112" s="348"/>
      <c r="BE112" s="335">
        <f t="shared" si="44"/>
        <v>34478</v>
      </c>
      <c r="BF112" s="335">
        <v>34485</v>
      </c>
      <c r="BG112" s="317">
        <f t="shared" si="33"/>
        <v>7</v>
      </c>
      <c r="BH112" s="336">
        <v>2.9700000000000001E-2</v>
      </c>
      <c r="BI112" s="337">
        <f t="shared" si="56"/>
        <v>17087.669999999998</v>
      </c>
      <c r="BJ112" s="317"/>
      <c r="BK112" s="317"/>
      <c r="BL112" s="317"/>
      <c r="BM112" s="317"/>
      <c r="BN112" s="317"/>
      <c r="BO112" s="335">
        <f t="shared" si="45"/>
        <v>36433</v>
      </c>
      <c r="BP112" s="345">
        <v>36434</v>
      </c>
      <c r="BQ112" s="317">
        <f t="shared" si="34"/>
        <v>1</v>
      </c>
      <c r="BR112" s="346">
        <v>3.7699999999999997E-2</v>
      </c>
      <c r="BS112" s="337">
        <f t="shared" si="32"/>
        <v>1755.89</v>
      </c>
      <c r="BT112" s="341">
        <f>SUM(BS107:BS112)</f>
        <v>47474.25</v>
      </c>
      <c r="BW112" s="335">
        <f t="shared" si="55"/>
        <v>36647</v>
      </c>
      <c r="BX112" s="345">
        <v>36650</v>
      </c>
      <c r="BY112" s="317">
        <f t="shared" si="35"/>
        <v>3</v>
      </c>
      <c r="BZ112" s="346">
        <v>5.0299999999999997E-2</v>
      </c>
      <c r="CA112" s="337">
        <f t="shared" si="61"/>
        <v>20614.754098000001</v>
      </c>
      <c r="CD112" s="335">
        <f t="shared" si="53"/>
        <v>36647</v>
      </c>
      <c r="CE112" s="345">
        <v>36650</v>
      </c>
      <c r="CF112" s="317">
        <f t="shared" si="37"/>
        <v>3</v>
      </c>
      <c r="CG112" s="346">
        <v>5.0299999999999997E-2</v>
      </c>
      <c r="CH112" s="337">
        <f t="shared" si="58"/>
        <v>20614.754098000001</v>
      </c>
      <c r="CL112" s="335">
        <f t="shared" si="46"/>
        <v>37347</v>
      </c>
      <c r="CM112" s="345">
        <v>37350</v>
      </c>
      <c r="CN112" s="317">
        <f t="shared" si="59"/>
        <v>3</v>
      </c>
      <c r="CO112" s="346">
        <v>1.4800000000000001E-2</v>
      </c>
      <c r="CP112" s="346"/>
      <c r="CQ112" s="346"/>
      <c r="CR112" s="346"/>
      <c r="CS112" s="346"/>
      <c r="CT112" s="346"/>
      <c r="CU112" s="346"/>
      <c r="CV112" s="337">
        <f t="shared" si="60"/>
        <v>10137.19</v>
      </c>
    </row>
    <row r="113" spans="1:102" hidden="1" x14ac:dyDescent="0.25">
      <c r="A113" s="335">
        <f t="shared" si="47"/>
        <v>34465</v>
      </c>
      <c r="B113" s="335">
        <v>34466</v>
      </c>
      <c r="C113" s="317">
        <f t="shared" si="39"/>
        <v>1</v>
      </c>
      <c r="E113" s="336">
        <v>2.6870000000000002E-2</v>
      </c>
      <c r="F113" s="339">
        <f>ROUND(((F112*SUM($C$10:C112))+(E113*C113))/SUM($C$10:C113),5)</f>
        <v>2.4799999999999999E-2</v>
      </c>
      <c r="G113" s="340">
        <v>81.599999999999994</v>
      </c>
      <c r="I113" s="335">
        <f t="shared" si="48"/>
        <v>34402</v>
      </c>
      <c r="J113" s="335">
        <v>34403</v>
      </c>
      <c r="K113" s="317">
        <f t="shared" si="40"/>
        <v>1</v>
      </c>
      <c r="L113" s="317"/>
      <c r="M113" s="336">
        <v>2.443E-2</v>
      </c>
      <c r="N113" s="339">
        <f>ROUND(((N112*SUM($K$10:K112))+(M113*K113))/SUM($K$10:K113),5)</f>
        <v>2.4850000000000001E-2</v>
      </c>
      <c r="O113" s="340">
        <v>84.8</v>
      </c>
      <c r="Q113" s="335">
        <f t="shared" si="49"/>
        <v>34897</v>
      </c>
      <c r="R113" s="353">
        <v>34898</v>
      </c>
      <c r="S113" s="317">
        <f t="shared" si="41"/>
        <v>1</v>
      </c>
      <c r="U113" s="339">
        <v>3.7960000000000001E-2</v>
      </c>
      <c r="V113" s="339">
        <f>ROUND(((V112*SUM($S$10:S112))+(U113*S113))/SUM($S$10:S113),5)</f>
        <v>3.1879999999999999E-2</v>
      </c>
      <c r="W113" s="351">
        <v>86.2</v>
      </c>
      <c r="Y113" s="335">
        <f t="shared" si="50"/>
        <v>36745</v>
      </c>
      <c r="Z113" s="345">
        <v>36755</v>
      </c>
      <c r="AA113" s="317">
        <f t="shared" si="42"/>
        <v>10</v>
      </c>
      <c r="AC113" s="346">
        <v>4.4242999999999998E-2</v>
      </c>
      <c r="AD113" s="339">
        <f>ROUND(((AD112*SUM($AA$10:AA112))+(AC113*AA113))/SUM($AA$10:AA113),5)</f>
        <v>3.6200000000000003E-2</v>
      </c>
      <c r="AE113" s="348">
        <v>48.07</v>
      </c>
      <c r="AH113" s="345"/>
      <c r="AK113" s="346"/>
      <c r="AO113" s="335">
        <f t="shared" si="52"/>
        <v>0</v>
      </c>
      <c r="AQ113" s="317">
        <f t="shared" si="62"/>
        <v>0</v>
      </c>
      <c r="AS113" s="346"/>
      <c r="AT113" s="339">
        <f>ROUND(((AT112*SUM($AQ$10:AQ112))+(AS113*AQ113))/SUM($AQ$10:AQ113),5)</f>
        <v>-1.5E-3</v>
      </c>
      <c r="BB113" s="352"/>
      <c r="BC113" s="348"/>
      <c r="BE113" s="335">
        <f t="shared" si="44"/>
        <v>34485</v>
      </c>
      <c r="BF113" s="335">
        <v>34486</v>
      </c>
      <c r="BG113" s="317">
        <f t="shared" si="33"/>
        <v>1</v>
      </c>
      <c r="BH113" s="336">
        <v>2.5000000000000001E-2</v>
      </c>
      <c r="BI113" s="337">
        <f t="shared" si="56"/>
        <v>2054.79</v>
      </c>
      <c r="BJ113" s="341">
        <f>SUM(BI108:BI113)</f>
        <v>76767.12</v>
      </c>
      <c r="BK113" s="341">
        <v>69066.14</v>
      </c>
      <c r="BL113" s="341">
        <f>BJ113-BK113</f>
        <v>7700.9799999999959</v>
      </c>
      <c r="BM113" s="341">
        <f>BM107+BL113</f>
        <v>-5637.0900000000074</v>
      </c>
      <c r="BN113" s="317"/>
      <c r="BO113" s="335">
        <f t="shared" si="45"/>
        <v>36434</v>
      </c>
      <c r="BP113" s="345">
        <v>36440</v>
      </c>
      <c r="BQ113" s="317">
        <f t="shared" si="34"/>
        <v>6</v>
      </c>
      <c r="BR113" s="346">
        <v>3.7699999999999997E-2</v>
      </c>
      <c r="BS113" s="337">
        <f t="shared" si="32"/>
        <v>10535.34</v>
      </c>
      <c r="BW113" s="335">
        <f t="shared" si="55"/>
        <v>36650</v>
      </c>
      <c r="BX113" s="345">
        <v>36657</v>
      </c>
      <c r="BY113" s="317">
        <f t="shared" si="35"/>
        <v>7</v>
      </c>
      <c r="BZ113" s="346">
        <v>5.7099999999999998E-2</v>
      </c>
      <c r="CA113" s="337">
        <f t="shared" si="61"/>
        <v>54603.825137</v>
      </c>
      <c r="CB113" s="341" t="s">
        <v>35</v>
      </c>
      <c r="CD113" s="335">
        <f t="shared" si="53"/>
        <v>36650</v>
      </c>
      <c r="CE113" s="345">
        <v>36657</v>
      </c>
      <c r="CF113" s="317">
        <f t="shared" si="37"/>
        <v>7</v>
      </c>
      <c r="CG113" s="346">
        <v>5.7099999999999998E-2</v>
      </c>
      <c r="CH113" s="337">
        <f t="shared" si="58"/>
        <v>54603.825137</v>
      </c>
      <c r="CL113" s="335">
        <f t="shared" si="46"/>
        <v>37350</v>
      </c>
      <c r="CM113" s="345">
        <v>37357</v>
      </c>
      <c r="CN113" s="317">
        <f t="shared" si="59"/>
        <v>7</v>
      </c>
      <c r="CO113" s="346">
        <v>1.35E-2</v>
      </c>
      <c r="CP113" s="346"/>
      <c r="CQ113" s="346"/>
      <c r="CR113" s="346"/>
      <c r="CS113" s="346"/>
      <c r="CT113" s="346"/>
      <c r="CU113" s="346"/>
      <c r="CV113" s="337">
        <f t="shared" si="60"/>
        <v>21575.77</v>
      </c>
    </row>
    <row r="114" spans="1:102" hidden="1" x14ac:dyDescent="0.25">
      <c r="A114" s="335">
        <f t="shared" si="47"/>
        <v>34466</v>
      </c>
      <c r="B114" s="335">
        <v>34474</v>
      </c>
      <c r="C114" s="317">
        <f t="shared" si="39"/>
        <v>8</v>
      </c>
      <c r="E114" s="336">
        <v>2.7879999999999999E-2</v>
      </c>
      <c r="F114" s="339">
        <f>ROUND(((F113*SUM($C$10:C113))+(E114*C114))/SUM($C$10:C114),5)</f>
        <v>2.4840000000000001E-2</v>
      </c>
      <c r="G114" s="340">
        <v>90.7</v>
      </c>
      <c r="I114" s="335">
        <f t="shared" si="48"/>
        <v>34403</v>
      </c>
      <c r="J114" s="335">
        <v>34423</v>
      </c>
      <c r="K114" s="317">
        <f t="shared" si="40"/>
        <v>20</v>
      </c>
      <c r="L114" s="317"/>
      <c r="M114" s="336">
        <v>2.4400000000000002E-2</v>
      </c>
      <c r="N114" s="339">
        <f>ROUND(((N113*SUM($K$10:K113))+(M114*K114))/SUM($K$10:K114),5)</f>
        <v>2.4830000000000001E-2</v>
      </c>
      <c r="O114" s="340">
        <v>83.4</v>
      </c>
      <c r="Q114" s="335">
        <f t="shared" si="49"/>
        <v>34898</v>
      </c>
      <c r="R114" s="353">
        <v>34904</v>
      </c>
      <c r="S114" s="317">
        <f t="shared" si="41"/>
        <v>6</v>
      </c>
      <c r="U114" s="339">
        <v>3.7879999999999997E-2</v>
      </c>
      <c r="V114" s="339">
        <f>ROUND(((V113*SUM($S$10:S113))+(U114*S114))/SUM($S$10:S114),5)</f>
        <v>3.193E-2</v>
      </c>
      <c r="W114" s="351">
        <v>94.2</v>
      </c>
      <c r="Y114" s="335">
        <f t="shared" si="50"/>
        <v>36755</v>
      </c>
      <c r="Z114" s="345">
        <v>36782</v>
      </c>
      <c r="AA114" s="317">
        <f t="shared" si="42"/>
        <v>27</v>
      </c>
      <c r="AC114" s="346">
        <v>4.4179000000000003E-2</v>
      </c>
      <c r="AD114" s="339">
        <f>ROUND(((AD113*SUM($AA$10:AA113))+(AC114*AA114))/SUM($AA$10:AA114),5)</f>
        <v>3.635E-2</v>
      </c>
      <c r="AE114" s="348">
        <v>49.27</v>
      </c>
      <c r="AH114" s="345"/>
      <c r="AK114" s="346"/>
      <c r="AO114" s="335">
        <f t="shared" si="52"/>
        <v>0</v>
      </c>
      <c r="AQ114" s="317">
        <f t="shared" si="62"/>
        <v>0</v>
      </c>
      <c r="AS114" s="346"/>
      <c r="AT114" s="339">
        <f>ROUND(((AT113*SUM($AQ$10:AQ113))+(AS114*AQ114))/SUM($AQ$10:AQ114),5)</f>
        <v>-1.5E-3</v>
      </c>
      <c r="BB114" s="352"/>
      <c r="BC114" s="348"/>
      <c r="BE114" s="335">
        <f t="shared" si="44"/>
        <v>34486</v>
      </c>
      <c r="BF114" s="335">
        <v>34492</v>
      </c>
      <c r="BG114" s="317">
        <f t="shared" si="33"/>
        <v>6</v>
      </c>
      <c r="BH114" s="336">
        <v>2.5000000000000001E-2</v>
      </c>
      <c r="BI114" s="337">
        <f t="shared" si="56"/>
        <v>12328.77</v>
      </c>
      <c r="BJ114" s="317"/>
      <c r="BK114" s="317"/>
      <c r="BL114" s="317"/>
      <c r="BM114" s="317"/>
      <c r="BN114" s="317"/>
      <c r="BO114" s="335">
        <f t="shared" si="45"/>
        <v>36440</v>
      </c>
      <c r="BP114" s="345">
        <v>36447</v>
      </c>
      <c r="BQ114" s="317">
        <f t="shared" si="34"/>
        <v>7</v>
      </c>
      <c r="BR114" s="346">
        <v>3.1800000000000002E-2</v>
      </c>
      <c r="BS114" s="337">
        <f t="shared" si="32"/>
        <v>10367.67</v>
      </c>
      <c r="BW114" s="335">
        <f t="shared" si="55"/>
        <v>36657</v>
      </c>
      <c r="BX114" s="345">
        <v>36664</v>
      </c>
      <c r="BY114" s="317">
        <f t="shared" si="35"/>
        <v>7</v>
      </c>
      <c r="BZ114" s="346">
        <v>5.8400000000000001E-2</v>
      </c>
      <c r="CA114" s="337">
        <f t="shared" si="61"/>
        <v>55846.994535999998</v>
      </c>
      <c r="CD114" s="335">
        <f t="shared" si="53"/>
        <v>36657</v>
      </c>
      <c r="CE114" s="345">
        <v>36664</v>
      </c>
      <c r="CF114" s="317">
        <f t="shared" si="37"/>
        <v>7</v>
      </c>
      <c r="CG114" s="346">
        <v>5.8400000000000001E-2</v>
      </c>
      <c r="CH114" s="337">
        <f t="shared" si="58"/>
        <v>55846.994535999998</v>
      </c>
      <c r="CL114" s="335">
        <f t="shared" si="46"/>
        <v>37357</v>
      </c>
      <c r="CM114" s="345">
        <v>37364</v>
      </c>
      <c r="CN114" s="317">
        <f t="shared" si="59"/>
        <v>7</v>
      </c>
      <c r="CO114" s="346">
        <v>1.43E-2</v>
      </c>
      <c r="CP114" s="346"/>
      <c r="CQ114" s="346"/>
      <c r="CR114" s="346"/>
      <c r="CS114" s="346"/>
      <c r="CT114" s="346"/>
      <c r="CU114" s="346"/>
      <c r="CV114" s="337">
        <f t="shared" si="60"/>
        <v>22854.34</v>
      </c>
    </row>
    <row r="115" spans="1:102" hidden="1" x14ac:dyDescent="0.25">
      <c r="A115" s="335">
        <f t="shared" si="47"/>
        <v>34474</v>
      </c>
      <c r="B115" s="335">
        <v>34477</v>
      </c>
      <c r="C115" s="317">
        <f t="shared" si="39"/>
        <v>3</v>
      </c>
      <c r="E115" s="336">
        <v>2.8570000000000002E-2</v>
      </c>
      <c r="F115" s="339">
        <f>ROUND(((F114*SUM($C$10:C114))+(E115*C115))/SUM($C$10:C115),5)</f>
        <v>2.486E-2</v>
      </c>
      <c r="G115" s="340">
        <v>81</v>
      </c>
      <c r="I115" s="335">
        <f t="shared" si="48"/>
        <v>34423</v>
      </c>
      <c r="J115" s="335">
        <v>34429</v>
      </c>
      <c r="K115" s="317">
        <f t="shared" si="40"/>
        <v>6</v>
      </c>
      <c r="L115" s="317"/>
      <c r="M115" s="336">
        <v>2.478E-2</v>
      </c>
      <c r="N115" s="339">
        <f>ROUND(((N114*SUM($K$10:K114))+(M115*K115))/SUM($K$10:K115),5)</f>
        <v>2.4830000000000001E-2</v>
      </c>
      <c r="O115" s="340">
        <v>85.8</v>
      </c>
      <c r="Q115" s="335">
        <f t="shared" si="49"/>
        <v>34904</v>
      </c>
      <c r="R115" s="353">
        <v>34913</v>
      </c>
      <c r="S115" s="317">
        <f t="shared" si="41"/>
        <v>9</v>
      </c>
      <c r="U115" s="339">
        <v>3.635E-2</v>
      </c>
      <c r="V115" s="339">
        <f>ROUND(((V114*SUM($S$10:S114))+(U115*S115))/SUM($S$10:S115),5)</f>
        <v>3.1989999999999998E-2</v>
      </c>
      <c r="W115" s="351">
        <v>87.6</v>
      </c>
      <c r="Y115" s="335">
        <f t="shared" si="50"/>
        <v>36782</v>
      </c>
      <c r="Z115" s="345">
        <v>36790</v>
      </c>
      <c r="AA115" s="317">
        <f t="shared" si="42"/>
        <v>8</v>
      </c>
      <c r="AC115" s="346">
        <v>4.5295000000000002E-2</v>
      </c>
      <c r="AD115" s="339">
        <f>ROUND(((AD114*SUM($AA$10:AA114))+(AC115*AA115))/SUM($AA$10:AA115),5)</f>
        <v>3.6400000000000002E-2</v>
      </c>
      <c r="AE115" s="348">
        <v>57.27</v>
      </c>
      <c r="AH115" s="345"/>
      <c r="AK115" s="346"/>
      <c r="AO115" s="335">
        <f t="shared" si="52"/>
        <v>0</v>
      </c>
      <c r="AQ115" s="317">
        <f t="shared" si="62"/>
        <v>0</v>
      </c>
      <c r="AS115" s="346"/>
      <c r="AT115" s="339">
        <f>ROUND(((AT114*SUM($AQ$10:AQ114))+(AS115*AQ115))/SUM($AQ$10:AQ115),5)</f>
        <v>-1.5E-3</v>
      </c>
      <c r="BB115" s="352"/>
      <c r="BC115" s="348"/>
      <c r="BE115" s="335">
        <f t="shared" si="44"/>
        <v>34492</v>
      </c>
      <c r="BF115" s="335">
        <v>34499</v>
      </c>
      <c r="BG115" s="317">
        <f t="shared" si="33"/>
        <v>7</v>
      </c>
      <c r="BH115" s="336">
        <v>2.2700000000000001E-2</v>
      </c>
      <c r="BI115" s="337">
        <f t="shared" si="56"/>
        <v>13060.27</v>
      </c>
      <c r="BJ115" s="317"/>
      <c r="BK115" s="317"/>
      <c r="BL115" s="317"/>
      <c r="BM115" s="317"/>
      <c r="BN115" s="317"/>
      <c r="BO115" s="335">
        <f t="shared" si="45"/>
        <v>36447</v>
      </c>
      <c r="BP115" s="345">
        <v>36454</v>
      </c>
      <c r="BQ115" s="317">
        <f t="shared" si="34"/>
        <v>7</v>
      </c>
      <c r="BR115" s="346">
        <v>3.39E-2</v>
      </c>
      <c r="BS115" s="337">
        <f t="shared" si="32"/>
        <v>11052.33</v>
      </c>
      <c r="BW115" s="335">
        <f t="shared" si="55"/>
        <v>36664</v>
      </c>
      <c r="BX115" s="345">
        <v>36671</v>
      </c>
      <c r="BY115" s="317">
        <f t="shared" si="35"/>
        <v>7</v>
      </c>
      <c r="BZ115" s="346">
        <v>4.2500000000000003E-2</v>
      </c>
      <c r="CA115" s="337">
        <f t="shared" si="61"/>
        <v>40642.076502999997</v>
      </c>
      <c r="CD115" s="335">
        <f t="shared" si="53"/>
        <v>36664</v>
      </c>
      <c r="CE115" s="345">
        <v>36671</v>
      </c>
      <c r="CF115" s="317">
        <f t="shared" si="37"/>
        <v>7</v>
      </c>
      <c r="CG115" s="346">
        <v>4.2500000000000003E-2</v>
      </c>
      <c r="CH115" s="337">
        <f t="shared" si="58"/>
        <v>40642.076502999997</v>
      </c>
      <c r="CL115" s="335">
        <f t="shared" si="46"/>
        <v>37364</v>
      </c>
      <c r="CM115" s="345">
        <v>37371</v>
      </c>
      <c r="CN115" s="317">
        <f t="shared" si="59"/>
        <v>7</v>
      </c>
      <c r="CO115" s="346">
        <v>1.5800000000000002E-2</v>
      </c>
      <c r="CP115" s="346"/>
      <c r="CQ115" s="346"/>
      <c r="CR115" s="346"/>
      <c r="CS115" s="346"/>
      <c r="CT115" s="346"/>
      <c r="CU115" s="346"/>
      <c r="CV115" s="337">
        <f t="shared" si="60"/>
        <v>25251.65</v>
      </c>
    </row>
    <row r="116" spans="1:102" hidden="1" x14ac:dyDescent="0.25">
      <c r="A116" s="335">
        <f t="shared" si="47"/>
        <v>34477</v>
      </c>
      <c r="B116" s="335">
        <v>34481</v>
      </c>
      <c r="C116" s="317">
        <f t="shared" si="39"/>
        <v>4</v>
      </c>
      <c r="E116" s="336">
        <v>2.8719999999999999E-2</v>
      </c>
      <c r="F116" s="339">
        <f>ROUND(((F115*SUM($C$10:C115))+(E116*C116))/SUM($C$10:C116),5)</f>
        <v>2.4889999999999999E-2</v>
      </c>
      <c r="G116" s="340">
        <v>80.5</v>
      </c>
      <c r="I116" s="335">
        <f t="shared" si="48"/>
        <v>34429</v>
      </c>
      <c r="J116" s="335">
        <v>34430</v>
      </c>
      <c r="K116" s="317">
        <f t="shared" si="40"/>
        <v>1</v>
      </c>
      <c r="M116" s="336">
        <v>2.479E-2</v>
      </c>
      <c r="N116" s="339">
        <f>ROUND(((N115*SUM($K$10:K115))+(M116*K116))/SUM($K$10:K116),5)</f>
        <v>2.4830000000000001E-2</v>
      </c>
      <c r="O116" s="340">
        <v>85.9</v>
      </c>
      <c r="Q116" s="335">
        <f t="shared" si="49"/>
        <v>34913</v>
      </c>
      <c r="R116" s="353">
        <v>34926</v>
      </c>
      <c r="S116" s="317">
        <f t="shared" si="41"/>
        <v>13</v>
      </c>
      <c r="U116" s="339">
        <v>3.6549999999999999E-2</v>
      </c>
      <c r="V116" s="339">
        <f>ROUND(((V115*SUM($S$10:S115))+(U116*S116))/SUM($S$10:S116),5)</f>
        <v>3.2070000000000001E-2</v>
      </c>
      <c r="W116" s="351">
        <v>89.3</v>
      </c>
      <c r="Y116" s="335">
        <f t="shared" si="50"/>
        <v>36790</v>
      </c>
      <c r="Z116" s="345">
        <v>36831</v>
      </c>
      <c r="AA116" s="317">
        <f t="shared" si="42"/>
        <v>41</v>
      </c>
      <c r="AC116" s="346">
        <v>4.5602999999999998E-2</v>
      </c>
      <c r="AD116" s="339">
        <f>ROUND(((AD115*SUM($AA$10:AA115))+(AC116*AA116))/SUM($AA$10:AA116),5)</f>
        <v>3.6650000000000002E-2</v>
      </c>
      <c r="AE116" s="348">
        <v>66.47</v>
      </c>
      <c r="AH116" s="345"/>
      <c r="AK116" s="346"/>
      <c r="AO116" s="335">
        <f t="shared" si="52"/>
        <v>0</v>
      </c>
      <c r="AQ116" s="317">
        <f t="shared" si="62"/>
        <v>0</v>
      </c>
      <c r="AS116" s="346"/>
      <c r="AT116" s="339">
        <f>ROUND(((AT115*SUM($AQ$10:AQ115))+(AS116*AQ116))/SUM($AQ$10:AQ116),5)</f>
        <v>-1.5E-3</v>
      </c>
      <c r="BB116" s="352"/>
      <c r="BC116" s="348"/>
      <c r="BE116" s="335">
        <f t="shared" si="44"/>
        <v>34499</v>
      </c>
      <c r="BF116" s="335">
        <v>34506</v>
      </c>
      <c r="BG116" s="317">
        <f t="shared" si="33"/>
        <v>7</v>
      </c>
      <c r="BH116" s="336">
        <v>2.41E-2</v>
      </c>
      <c r="BI116" s="337">
        <f t="shared" si="56"/>
        <v>13865.75</v>
      </c>
      <c r="BJ116" s="317"/>
      <c r="BK116" s="317"/>
      <c r="BL116" s="317"/>
      <c r="BM116" s="317"/>
      <c r="BN116" s="317"/>
      <c r="BO116" s="335">
        <f t="shared" si="45"/>
        <v>36454</v>
      </c>
      <c r="BP116" s="345">
        <v>36461</v>
      </c>
      <c r="BQ116" s="317">
        <f t="shared" si="34"/>
        <v>7</v>
      </c>
      <c r="BR116" s="346">
        <v>3.3799999999999997E-2</v>
      </c>
      <c r="BS116" s="337">
        <f t="shared" si="32"/>
        <v>11019.73</v>
      </c>
      <c r="BW116" s="335">
        <f t="shared" si="55"/>
        <v>36671</v>
      </c>
      <c r="BX116" s="345">
        <v>36678</v>
      </c>
      <c r="BY116" s="317">
        <f t="shared" si="35"/>
        <v>7</v>
      </c>
      <c r="BZ116" s="346">
        <v>4.2999999999999997E-2</v>
      </c>
      <c r="CA116" s="337">
        <f t="shared" si="61"/>
        <v>41120.218579</v>
      </c>
      <c r="CB116" s="341">
        <f>SUM(CA112:CA116)</f>
        <v>212827.86885299999</v>
      </c>
      <c r="CD116" s="335">
        <f t="shared" si="53"/>
        <v>36671</v>
      </c>
      <c r="CE116" s="345">
        <v>36678</v>
      </c>
      <c r="CF116" s="317">
        <f t="shared" si="37"/>
        <v>7</v>
      </c>
      <c r="CG116" s="346">
        <v>4.2999999999999997E-2</v>
      </c>
      <c r="CH116" s="337">
        <f t="shared" si="58"/>
        <v>41120.218579</v>
      </c>
      <c r="CI116" s="341">
        <f>SUM(CH112:CH116)</f>
        <v>212827.86885299999</v>
      </c>
      <c r="CL116" s="335">
        <f t="shared" si="46"/>
        <v>37371</v>
      </c>
      <c r="CM116" s="345">
        <v>37377</v>
      </c>
      <c r="CN116" s="317">
        <f t="shared" si="59"/>
        <v>6</v>
      </c>
      <c r="CO116" s="346">
        <v>1.6799999999999999E-2</v>
      </c>
      <c r="CP116" s="346"/>
      <c r="CQ116" s="346"/>
      <c r="CR116" s="346"/>
      <c r="CS116" s="346"/>
      <c r="CT116" s="346"/>
      <c r="CU116" s="346"/>
      <c r="CV116" s="337">
        <f t="shared" si="60"/>
        <v>23014.16</v>
      </c>
      <c r="CW116" s="341">
        <f>SUM(CV112:CV116)</f>
        <v>102833.11000000002</v>
      </c>
      <c r="CX116" s="350"/>
    </row>
    <row r="117" spans="1:102" hidden="1" x14ac:dyDescent="0.25">
      <c r="A117" s="335">
        <f t="shared" si="47"/>
        <v>34481</v>
      </c>
      <c r="B117" s="335">
        <v>34487</v>
      </c>
      <c r="C117" s="317">
        <f t="shared" si="39"/>
        <v>6</v>
      </c>
      <c r="E117" s="336">
        <v>2.8819999999999998E-2</v>
      </c>
      <c r="F117" s="339">
        <f>ROUND(((F116*SUM($C$10:C116))+(E117*C117))/SUM($C$10:C117),5)</f>
        <v>2.4930000000000001E-2</v>
      </c>
      <c r="G117" s="340">
        <v>83.3</v>
      </c>
      <c r="I117" s="335">
        <f t="shared" si="48"/>
        <v>34430</v>
      </c>
      <c r="J117" s="335">
        <v>34431</v>
      </c>
      <c r="K117" s="317">
        <f t="shared" si="40"/>
        <v>1</v>
      </c>
      <c r="M117" s="336">
        <v>2.504E-2</v>
      </c>
      <c r="N117" s="339">
        <f>ROUND(((N116*SUM($K$10:K116))+(M117*K117))/SUM($K$10:K117),5)</f>
        <v>2.4830000000000001E-2</v>
      </c>
      <c r="O117" s="340">
        <v>85.1</v>
      </c>
      <c r="Q117" s="335">
        <f t="shared" si="49"/>
        <v>34926</v>
      </c>
      <c r="R117" s="353">
        <v>34928</v>
      </c>
      <c r="S117" s="317">
        <f t="shared" si="41"/>
        <v>2</v>
      </c>
      <c r="U117" s="339">
        <v>3.6540000000000003E-2</v>
      </c>
      <c r="V117" s="339">
        <f>ROUND(((V116*SUM($S$10:S116))+(U117*S117))/SUM($S$10:S117),5)</f>
        <v>3.2079999999999997E-2</v>
      </c>
      <c r="W117" s="316">
        <v>88.8</v>
      </c>
      <c r="Y117" s="335">
        <f t="shared" si="50"/>
        <v>36831</v>
      </c>
      <c r="Z117" s="345">
        <v>36850</v>
      </c>
      <c r="AA117" s="317">
        <f t="shared" si="42"/>
        <v>19</v>
      </c>
      <c r="AC117" s="346">
        <v>4.6150999999999998E-2</v>
      </c>
      <c r="AD117" s="339">
        <f>ROUND(((AD116*SUM($AA$10:AA116))+(AC117*AA117))/SUM($AA$10:AA117),5)</f>
        <v>3.6769999999999997E-2</v>
      </c>
      <c r="AE117" s="348">
        <v>57.13</v>
      </c>
      <c r="AH117" s="345"/>
      <c r="AK117" s="346"/>
      <c r="AO117" s="335">
        <f t="shared" si="52"/>
        <v>0</v>
      </c>
      <c r="AQ117" s="317">
        <f t="shared" si="62"/>
        <v>0</v>
      </c>
      <c r="AS117" s="346"/>
      <c r="AT117" s="339">
        <f>ROUND(((AT116*SUM($AQ$10:AQ116))+(AS117*AQ117))/SUM($AQ$10:AQ117),5)</f>
        <v>-1.5E-3</v>
      </c>
      <c r="BB117" s="352"/>
      <c r="BC117" s="348"/>
      <c r="BE117" s="335">
        <f t="shared" si="44"/>
        <v>34506</v>
      </c>
      <c r="BF117" s="335">
        <v>34513</v>
      </c>
      <c r="BG117" s="317">
        <f t="shared" si="33"/>
        <v>7</v>
      </c>
      <c r="BH117" s="336">
        <v>2.6100000000000002E-2</v>
      </c>
      <c r="BI117" s="337">
        <f t="shared" si="56"/>
        <v>15016.44</v>
      </c>
      <c r="BJ117" s="317"/>
      <c r="BK117" s="317"/>
      <c r="BL117" s="317"/>
      <c r="BM117" s="317"/>
      <c r="BN117" s="317"/>
      <c r="BO117" s="335">
        <f t="shared" si="45"/>
        <v>36461</v>
      </c>
      <c r="BP117" s="345">
        <v>36465</v>
      </c>
      <c r="BQ117" s="317">
        <f t="shared" si="34"/>
        <v>4</v>
      </c>
      <c r="BR117" s="346">
        <v>3.4700000000000002E-2</v>
      </c>
      <c r="BS117" s="337">
        <f t="shared" si="32"/>
        <v>6464.66</v>
      </c>
      <c r="BT117" s="341">
        <f>SUM(BS113:BS117)</f>
        <v>49439.73000000001</v>
      </c>
      <c r="BW117" s="335">
        <f t="shared" si="55"/>
        <v>36678</v>
      </c>
      <c r="BX117" s="345">
        <v>36685</v>
      </c>
      <c r="BY117" s="317">
        <f t="shared" si="35"/>
        <v>7</v>
      </c>
      <c r="BZ117" s="346">
        <v>4.1200000000000001E-2</v>
      </c>
      <c r="CA117" s="337">
        <f t="shared" si="61"/>
        <v>39398.907103999998</v>
      </c>
      <c r="CD117" s="335">
        <f t="shared" si="53"/>
        <v>36678</v>
      </c>
      <c r="CE117" s="345">
        <v>36685</v>
      </c>
      <c r="CF117" s="317">
        <f t="shared" si="37"/>
        <v>7</v>
      </c>
      <c r="CG117" s="346">
        <v>4.1200000000000001E-2</v>
      </c>
      <c r="CH117" s="337">
        <f t="shared" si="58"/>
        <v>39398.907103999998</v>
      </c>
      <c r="CL117" s="335">
        <f t="shared" si="46"/>
        <v>37377</v>
      </c>
      <c r="CM117" s="345">
        <v>37378</v>
      </c>
      <c r="CN117" s="317">
        <f t="shared" si="59"/>
        <v>1</v>
      </c>
      <c r="CO117" s="346">
        <v>1.6799999999999999E-2</v>
      </c>
      <c r="CP117" s="346"/>
      <c r="CQ117" s="346"/>
      <c r="CR117" s="346"/>
      <c r="CS117" s="346"/>
      <c r="CT117" s="346"/>
      <c r="CU117" s="346"/>
      <c r="CV117" s="337">
        <f t="shared" si="60"/>
        <v>3835.69</v>
      </c>
    </row>
    <row r="118" spans="1:102" hidden="1" x14ac:dyDescent="0.25">
      <c r="A118" s="335">
        <f t="shared" si="47"/>
        <v>34487</v>
      </c>
      <c r="B118" s="335">
        <v>34491</v>
      </c>
      <c r="C118" s="317">
        <f t="shared" si="39"/>
        <v>4</v>
      </c>
      <c r="E118" s="336">
        <v>2.921E-2</v>
      </c>
      <c r="F118" s="339">
        <f>ROUND(((F117*SUM($C$10:C117))+(E118*C118))/SUM($C$10:C118),5)</f>
        <v>2.496E-2</v>
      </c>
      <c r="G118" s="340">
        <v>85.9</v>
      </c>
      <c r="I118" s="335">
        <f t="shared" si="48"/>
        <v>34431</v>
      </c>
      <c r="J118" s="335">
        <v>34432</v>
      </c>
      <c r="K118" s="317">
        <f t="shared" si="40"/>
        <v>1</v>
      </c>
      <c r="M118" s="336">
        <v>2.511E-2</v>
      </c>
      <c r="N118" s="339">
        <f>ROUND(((N117*SUM($K$10:K117))+(M118*K118))/SUM($K$10:K118),5)</f>
        <v>2.4830000000000001E-2</v>
      </c>
      <c r="O118" s="340">
        <v>80.3</v>
      </c>
      <c r="Q118" s="335">
        <f t="shared" si="49"/>
        <v>34928</v>
      </c>
      <c r="R118" s="353">
        <v>34949</v>
      </c>
      <c r="S118" s="317">
        <f t="shared" si="41"/>
        <v>21</v>
      </c>
      <c r="U118" s="339">
        <v>3.6670000000000001E-2</v>
      </c>
      <c r="V118" s="339">
        <f>ROUND(((V117*SUM($S$10:S117))+(U118*S118))/SUM($S$10:S118),5)</f>
        <v>3.2210000000000003E-2</v>
      </c>
      <c r="W118" s="316">
        <v>88.9</v>
      </c>
      <c r="Y118" s="335">
        <f t="shared" si="50"/>
        <v>36850</v>
      </c>
      <c r="Z118" s="345">
        <v>36866</v>
      </c>
      <c r="AA118" s="317">
        <f t="shared" si="42"/>
        <v>16</v>
      </c>
      <c r="AC118" s="346">
        <v>4.6515000000000001E-2</v>
      </c>
      <c r="AD118" s="339">
        <f>ROUND(((AD117*SUM($AA$10:AA117))+(AC118*AA118))/SUM($AA$10:AA118),5)</f>
        <v>3.687E-2</v>
      </c>
      <c r="AE118" s="348">
        <v>53.93</v>
      </c>
      <c r="AH118" s="345"/>
      <c r="AK118" s="346"/>
      <c r="AQ118" s="317">
        <f t="shared" si="62"/>
        <v>0</v>
      </c>
      <c r="AS118" s="346"/>
      <c r="AT118" s="339">
        <f>ROUND(((AT117*SUM($AQ$10:AQ117))+(AS118*AQ118))/SUM($AQ$10:AQ118),5)</f>
        <v>-1.5E-3</v>
      </c>
      <c r="BB118" s="352"/>
      <c r="BC118" s="348"/>
      <c r="BE118" s="335">
        <f t="shared" si="44"/>
        <v>34513</v>
      </c>
      <c r="BF118" s="335">
        <v>34516</v>
      </c>
      <c r="BG118" s="317">
        <f t="shared" si="33"/>
        <v>3</v>
      </c>
      <c r="BH118" s="336">
        <v>2.4900000000000002E-2</v>
      </c>
      <c r="BI118" s="337">
        <f t="shared" si="56"/>
        <v>6139.73</v>
      </c>
      <c r="BJ118" s="341">
        <f>SUM(BI114:BI118)</f>
        <v>60410.960000000006</v>
      </c>
      <c r="BK118" s="341">
        <v>72063.289999999994</v>
      </c>
      <c r="BL118" s="341">
        <f>BJ118-BK118</f>
        <v>-11652.329999999987</v>
      </c>
      <c r="BM118" s="341">
        <f>BM113+BL118</f>
        <v>-17289.419999999995</v>
      </c>
      <c r="BO118" s="335">
        <f t="shared" si="45"/>
        <v>36465</v>
      </c>
      <c r="BP118" s="345">
        <v>36468</v>
      </c>
      <c r="BQ118" s="317">
        <f t="shared" si="34"/>
        <v>3</v>
      </c>
      <c r="BR118" s="346">
        <v>3.4700000000000002E-2</v>
      </c>
      <c r="BS118" s="337">
        <f t="shared" si="32"/>
        <v>4848.49</v>
      </c>
      <c r="BW118" s="335">
        <f t="shared" si="55"/>
        <v>36685</v>
      </c>
      <c r="BX118" s="345">
        <v>36692</v>
      </c>
      <c r="BY118" s="317">
        <f t="shared" si="35"/>
        <v>7</v>
      </c>
      <c r="BZ118" s="346">
        <v>3.8100000000000002E-2</v>
      </c>
      <c r="CA118" s="337">
        <f t="shared" si="61"/>
        <v>36434.426229999997</v>
      </c>
      <c r="CD118" s="335">
        <f t="shared" si="53"/>
        <v>36685</v>
      </c>
      <c r="CE118" s="345">
        <v>36692</v>
      </c>
      <c r="CF118" s="317">
        <f t="shared" si="37"/>
        <v>7</v>
      </c>
      <c r="CG118" s="346">
        <v>3.8100000000000002E-2</v>
      </c>
      <c r="CH118" s="337">
        <f t="shared" si="58"/>
        <v>36434.426229999997</v>
      </c>
      <c r="CL118" s="335">
        <f t="shared" si="46"/>
        <v>37378</v>
      </c>
      <c r="CM118" s="345">
        <v>37385</v>
      </c>
      <c r="CN118" s="317">
        <f t="shared" si="59"/>
        <v>7</v>
      </c>
      <c r="CO118" s="346">
        <v>1.5800000000000002E-2</v>
      </c>
      <c r="CP118" s="346"/>
      <c r="CQ118" s="346"/>
      <c r="CR118" s="346"/>
      <c r="CS118" s="346"/>
      <c r="CT118" s="346"/>
      <c r="CU118" s="346"/>
      <c r="CV118" s="337">
        <f t="shared" si="60"/>
        <v>25251.65</v>
      </c>
    </row>
    <row r="119" spans="1:102" hidden="1" x14ac:dyDescent="0.25">
      <c r="A119" s="335">
        <f t="shared" si="47"/>
        <v>34491</v>
      </c>
      <c r="B119" s="335">
        <v>34492</v>
      </c>
      <c r="C119" s="317">
        <f t="shared" si="39"/>
        <v>1</v>
      </c>
      <c r="E119" s="336">
        <v>2.9219999999999999E-2</v>
      </c>
      <c r="F119" s="339">
        <f>ROUND(((F118*SUM($C$10:C118))+(E119*C119))/SUM($C$10:C119),5)</f>
        <v>2.4969999999999999E-2</v>
      </c>
      <c r="G119" s="340">
        <v>86</v>
      </c>
      <c r="I119" s="335">
        <f t="shared" si="48"/>
        <v>34432</v>
      </c>
      <c r="J119" s="335">
        <v>34438</v>
      </c>
      <c r="K119" s="317">
        <f t="shared" si="40"/>
        <v>6</v>
      </c>
      <c r="M119" s="336">
        <v>2.5219999999999999E-2</v>
      </c>
      <c r="N119" s="339">
        <f>ROUND(((N118*SUM($K$10:K118))+(M119*K119))/SUM($K$10:K119),5)</f>
        <v>2.4830000000000001E-2</v>
      </c>
      <c r="O119" s="340">
        <v>79.400000000000006</v>
      </c>
      <c r="Q119" s="335">
        <f t="shared" si="49"/>
        <v>34949</v>
      </c>
      <c r="R119" s="353">
        <v>34950</v>
      </c>
      <c r="S119" s="317">
        <f t="shared" si="41"/>
        <v>1</v>
      </c>
      <c r="U119" s="339">
        <v>3.671E-2</v>
      </c>
      <c r="V119" s="339">
        <f>ROUND(((V118*SUM($S$10:S118))+(U119*S119))/SUM($S$10:S119),5)</f>
        <v>3.2219999999999999E-2</v>
      </c>
      <c r="W119" s="316">
        <v>83.6</v>
      </c>
      <c r="Y119" s="335">
        <f t="shared" si="50"/>
        <v>36866</v>
      </c>
      <c r="Z119" s="345">
        <v>36871</v>
      </c>
      <c r="AA119" s="317">
        <f t="shared" si="42"/>
        <v>5</v>
      </c>
      <c r="AC119" s="346">
        <v>4.6716000000000001E-2</v>
      </c>
      <c r="AD119" s="339">
        <f>ROUND(((AD118*SUM($AA$10:AA118))+(AC119*AA119))/SUM($AA$10:AA119),5)</f>
        <v>3.6900000000000002E-2</v>
      </c>
      <c r="AE119" s="348">
        <v>53.27</v>
      </c>
      <c r="AH119" s="345"/>
      <c r="AK119" s="346"/>
      <c r="AQ119" s="317">
        <f t="shared" si="62"/>
        <v>0</v>
      </c>
      <c r="AS119" s="346"/>
      <c r="AT119" s="339">
        <f>ROUND(((AT118*SUM($AQ$10:AQ118))+(AS119*AQ119))/SUM($AQ$10:AQ119),5)</f>
        <v>-1.5E-3</v>
      </c>
      <c r="BB119" s="352"/>
      <c r="BC119" s="348"/>
      <c r="BE119" s="335">
        <f t="shared" si="44"/>
        <v>34516</v>
      </c>
      <c r="BF119" s="335">
        <v>34520</v>
      </c>
      <c r="BG119" s="317">
        <f t="shared" si="33"/>
        <v>4</v>
      </c>
      <c r="BH119" s="336">
        <v>2.4900000000000002E-2</v>
      </c>
      <c r="BI119" s="337">
        <f t="shared" si="56"/>
        <v>8186.3</v>
      </c>
      <c r="BK119" s="341"/>
      <c r="BL119" s="341"/>
      <c r="BM119" s="341"/>
      <c r="BO119" s="335">
        <f t="shared" si="45"/>
        <v>36468</v>
      </c>
      <c r="BP119" s="345">
        <v>36476</v>
      </c>
      <c r="BQ119" s="317">
        <f t="shared" si="34"/>
        <v>8</v>
      </c>
      <c r="BR119" s="346">
        <v>3.3399999999999999E-2</v>
      </c>
      <c r="BS119" s="337">
        <f t="shared" si="32"/>
        <v>12444.93</v>
      </c>
      <c r="BW119" s="335">
        <f t="shared" si="55"/>
        <v>36692</v>
      </c>
      <c r="BX119" s="345">
        <v>36699</v>
      </c>
      <c r="BY119" s="317">
        <f t="shared" si="35"/>
        <v>7</v>
      </c>
      <c r="BZ119" s="346">
        <v>4.4499999999999998E-2</v>
      </c>
      <c r="CA119" s="337">
        <f t="shared" si="61"/>
        <v>42554.644808999998</v>
      </c>
      <c r="CD119" s="335">
        <f t="shared" si="53"/>
        <v>36692</v>
      </c>
      <c r="CE119" s="345">
        <v>36699</v>
      </c>
      <c r="CF119" s="317">
        <f t="shared" si="37"/>
        <v>7</v>
      </c>
      <c r="CG119" s="346">
        <v>4.4499999999999998E-2</v>
      </c>
      <c r="CH119" s="337">
        <f t="shared" si="58"/>
        <v>42554.644808999998</v>
      </c>
      <c r="CL119" s="335">
        <f t="shared" si="46"/>
        <v>37385</v>
      </c>
      <c r="CM119" s="345">
        <v>37392</v>
      </c>
      <c r="CN119" s="317">
        <f t="shared" si="59"/>
        <v>7</v>
      </c>
      <c r="CO119" s="346">
        <v>1.55E-2</v>
      </c>
      <c r="CP119" s="346"/>
      <c r="CQ119" s="346"/>
      <c r="CR119" s="346"/>
      <c r="CS119" s="346"/>
      <c r="CT119" s="346"/>
      <c r="CU119" s="346"/>
      <c r="CV119" s="337">
        <f t="shared" si="60"/>
        <v>24772.18</v>
      </c>
    </row>
    <row r="120" spans="1:102" hidden="1" x14ac:dyDescent="0.25">
      <c r="A120" s="335">
        <f t="shared" si="47"/>
        <v>34492</v>
      </c>
      <c r="B120" s="335">
        <v>34521</v>
      </c>
      <c r="C120" s="317">
        <f t="shared" si="39"/>
        <v>29</v>
      </c>
      <c r="E120" s="336">
        <v>2.9150000000000002E-2</v>
      </c>
      <c r="F120" s="339">
        <f>ROUND(((F119*SUM($C$10:C119))+(E120*C120))/SUM($C$10:C120),5)</f>
        <v>2.5149999999999999E-2</v>
      </c>
      <c r="G120" s="340">
        <v>88.5</v>
      </c>
      <c r="I120" s="335">
        <f t="shared" si="48"/>
        <v>34438</v>
      </c>
      <c r="J120" s="335">
        <v>34445</v>
      </c>
      <c r="K120" s="317">
        <f t="shared" si="40"/>
        <v>7</v>
      </c>
      <c r="M120" s="336">
        <v>2.521E-2</v>
      </c>
      <c r="N120" s="339">
        <f>ROUND(((N119*SUM($K$10:K119))+(M120*K120))/SUM($K$10:K120),5)</f>
        <v>2.4830000000000001E-2</v>
      </c>
      <c r="O120" s="340">
        <v>79.5</v>
      </c>
      <c r="Q120" s="335">
        <f t="shared" si="49"/>
        <v>34950</v>
      </c>
      <c r="R120" s="353">
        <v>34953</v>
      </c>
      <c r="S120" s="317">
        <f t="shared" si="41"/>
        <v>3</v>
      </c>
      <c r="U120" s="339">
        <v>3.6799999999999999E-2</v>
      </c>
      <c r="V120" s="339">
        <f>ROUND(((V119*SUM($S$10:S119))+(U120*S120))/SUM($S$10:S120),5)</f>
        <v>3.2239999999999998E-2</v>
      </c>
      <c r="W120" s="316">
        <v>84.7</v>
      </c>
      <c r="Y120" s="335">
        <f t="shared" si="50"/>
        <v>36871</v>
      </c>
      <c r="Z120" s="345">
        <v>36879</v>
      </c>
      <c r="AA120" s="317">
        <f t="shared" si="42"/>
        <v>8</v>
      </c>
      <c r="AC120" s="346">
        <v>4.6738000000000002E-2</v>
      </c>
      <c r="AD120" s="339">
        <f>ROUND(((AD119*SUM($AA$10:AA119))+(AC120*AA120))/SUM($AA$10:AA120),5)</f>
        <v>3.6949999999999997E-2</v>
      </c>
      <c r="AE120" s="348">
        <v>38.67</v>
      </c>
      <c r="AH120" s="345"/>
      <c r="AK120" s="346"/>
      <c r="AQ120" s="317">
        <f t="shared" si="62"/>
        <v>0</v>
      </c>
      <c r="AS120" s="346"/>
      <c r="AT120" s="339">
        <f>ROUND(((AT119*SUM($AQ$10:AQ119))+(AS120*AQ120))/SUM($AQ$10:AQ120),5)</f>
        <v>-1.5E-3</v>
      </c>
      <c r="BB120" s="352"/>
      <c r="BC120" s="348"/>
      <c r="BE120" s="335">
        <f t="shared" si="44"/>
        <v>34520</v>
      </c>
      <c r="BF120" s="335">
        <v>34527</v>
      </c>
      <c r="BG120" s="317">
        <f t="shared" si="33"/>
        <v>7</v>
      </c>
      <c r="BH120" s="336">
        <v>1.9700000000000002E-2</v>
      </c>
      <c r="BI120" s="337">
        <f t="shared" si="56"/>
        <v>11334.25</v>
      </c>
      <c r="BK120" s="341"/>
      <c r="BL120" s="341"/>
      <c r="BM120" s="341"/>
      <c r="BO120" s="335">
        <f t="shared" si="45"/>
        <v>36476</v>
      </c>
      <c r="BP120" s="345">
        <v>36482</v>
      </c>
      <c r="BQ120" s="317">
        <f t="shared" si="34"/>
        <v>6</v>
      </c>
      <c r="BR120" s="346">
        <v>3.6799999999999999E-2</v>
      </c>
      <c r="BS120" s="337">
        <f>ROUND($BS$5*BR120*BQ120/365,2)</f>
        <v>10283.84</v>
      </c>
      <c r="BW120" s="335">
        <f t="shared" si="55"/>
        <v>36699</v>
      </c>
      <c r="BX120" s="345">
        <v>36706</v>
      </c>
      <c r="BY120" s="317">
        <f t="shared" si="35"/>
        <v>7</v>
      </c>
      <c r="BZ120" s="346">
        <v>4.6199999999999998E-2</v>
      </c>
      <c r="CA120" s="337">
        <f t="shared" si="61"/>
        <v>44180.327869000001</v>
      </c>
      <c r="CD120" s="335">
        <f t="shared" si="53"/>
        <v>36699</v>
      </c>
      <c r="CE120" s="345">
        <v>36706</v>
      </c>
      <c r="CF120" s="317">
        <f t="shared" si="37"/>
        <v>7</v>
      </c>
      <c r="CG120" s="346">
        <v>4.6199999999999998E-2</v>
      </c>
      <c r="CH120" s="337">
        <f t="shared" si="58"/>
        <v>44180.327869000001</v>
      </c>
      <c r="CL120" s="335">
        <f t="shared" si="46"/>
        <v>37392</v>
      </c>
      <c r="CM120" s="345">
        <v>37399</v>
      </c>
      <c r="CN120" s="317">
        <f t="shared" si="59"/>
        <v>7</v>
      </c>
      <c r="CO120" s="346">
        <v>1.5699999999999999E-2</v>
      </c>
      <c r="CP120" s="346"/>
      <c r="CQ120" s="346"/>
      <c r="CR120" s="346"/>
      <c r="CS120" s="346"/>
      <c r="CT120" s="346"/>
      <c r="CU120" s="346"/>
      <c r="CV120" s="337">
        <f t="shared" si="60"/>
        <v>25091.83</v>
      </c>
    </row>
    <row r="121" spans="1:102" hidden="1" x14ac:dyDescent="0.25">
      <c r="A121" s="335">
        <f t="shared" si="47"/>
        <v>34521</v>
      </c>
      <c r="B121" s="335">
        <v>34522</v>
      </c>
      <c r="C121" s="317">
        <f t="shared" si="39"/>
        <v>1</v>
      </c>
      <c r="E121" s="336">
        <v>2.904E-2</v>
      </c>
      <c r="F121" s="339">
        <f>ROUND(((F120*SUM($C$10:C120))+(E121*C121))/SUM($C$10:C121),5)</f>
        <v>2.5159999999999998E-2</v>
      </c>
      <c r="G121" s="340">
        <v>89.2</v>
      </c>
      <c r="I121" s="335">
        <f t="shared" si="48"/>
        <v>34445</v>
      </c>
      <c r="J121" s="335">
        <v>34460</v>
      </c>
      <c r="K121" s="317">
        <f t="shared" si="40"/>
        <v>15</v>
      </c>
      <c r="M121" s="336">
        <v>2.5270000000000001E-2</v>
      </c>
      <c r="N121" s="339">
        <f>ROUND(((N120*SUM($K$10:K120))+(M121*K121))/SUM($K$10:K121),5)</f>
        <v>2.4840000000000001E-2</v>
      </c>
      <c r="O121" s="340">
        <v>79.8</v>
      </c>
      <c r="Q121" s="335">
        <f t="shared" si="49"/>
        <v>34953</v>
      </c>
      <c r="R121" s="353">
        <v>34967</v>
      </c>
      <c r="S121" s="317">
        <f t="shared" si="41"/>
        <v>14</v>
      </c>
      <c r="U121" s="339">
        <v>3.6990000000000002E-2</v>
      </c>
      <c r="V121" s="339">
        <f>ROUND(((V120*SUM($S$10:S120))+(U121*S121))/SUM($S$10:S121),5)</f>
        <v>3.2329999999999998E-2</v>
      </c>
      <c r="W121" s="316">
        <v>89.8</v>
      </c>
      <c r="Y121" s="335">
        <f t="shared" si="50"/>
        <v>36879</v>
      </c>
      <c r="Z121" s="345">
        <v>36900</v>
      </c>
      <c r="AA121" s="317">
        <f t="shared" si="42"/>
        <v>21</v>
      </c>
      <c r="AC121" s="346">
        <v>4.7149999999999997E-2</v>
      </c>
      <c r="AD121" s="339">
        <f>ROUND(((AD120*SUM($AA$10:AA120))+(AC121*AA121))/SUM($AA$10:AA121),5)</f>
        <v>3.7089999999999998E-2</v>
      </c>
      <c r="AE121" s="348">
        <v>49.87</v>
      </c>
      <c r="AH121" s="345"/>
      <c r="AK121" s="346"/>
      <c r="AQ121" s="317">
        <f t="shared" si="62"/>
        <v>0</v>
      </c>
      <c r="AS121" s="346"/>
      <c r="AT121" s="339">
        <f>ROUND(((AT120*SUM($AQ$10:AQ120))+(AS121*AQ121))/SUM($AQ$10:AQ121),5)</f>
        <v>-1.5E-3</v>
      </c>
      <c r="BB121" s="352"/>
      <c r="BC121" s="348"/>
      <c r="BE121" s="335">
        <f t="shared" si="44"/>
        <v>34527</v>
      </c>
      <c r="BF121" s="335">
        <v>34534</v>
      </c>
      <c r="BG121" s="317">
        <f t="shared" si="33"/>
        <v>7</v>
      </c>
      <c r="BH121" s="336">
        <v>2.0800000000000003E-2</v>
      </c>
      <c r="BI121" s="337">
        <f t="shared" si="56"/>
        <v>11967.12</v>
      </c>
      <c r="BK121" s="341"/>
      <c r="BL121" s="341"/>
      <c r="BM121" s="341"/>
      <c r="BO121" s="335">
        <f t="shared" si="45"/>
        <v>36482</v>
      </c>
      <c r="BP121" s="345">
        <v>36490</v>
      </c>
      <c r="BQ121" s="317">
        <f>BP121-BO121</f>
        <v>8</v>
      </c>
      <c r="BR121" s="346">
        <v>3.8399999999999997E-2</v>
      </c>
      <c r="BS121" s="337">
        <f>ROUND($BS$5*BR121*BQ121/365,2)</f>
        <v>14307.95</v>
      </c>
      <c r="BW121" s="335">
        <f t="shared" si="55"/>
        <v>36706</v>
      </c>
      <c r="BX121" s="345">
        <v>36708</v>
      </c>
      <c r="BY121" s="317">
        <f t="shared" si="35"/>
        <v>2</v>
      </c>
      <c r="BZ121" s="346">
        <v>4.7699999999999999E-2</v>
      </c>
      <c r="CA121" s="337">
        <f t="shared" si="61"/>
        <v>13032.786885</v>
      </c>
      <c r="CB121" s="341">
        <f>SUM(CA117:CA121)</f>
        <v>175601.09289699999</v>
      </c>
      <c r="CD121" s="335">
        <f t="shared" si="53"/>
        <v>36706</v>
      </c>
      <c r="CE121" s="345">
        <v>36708</v>
      </c>
      <c r="CF121" s="317">
        <f t="shared" si="37"/>
        <v>2</v>
      </c>
      <c r="CG121" s="346">
        <v>4.7699999999999999E-2</v>
      </c>
      <c r="CH121" s="337">
        <f t="shared" si="58"/>
        <v>13032.786885</v>
      </c>
      <c r="CI121" s="341">
        <f>SUM(CH117:CH121)</f>
        <v>175601.09289699999</v>
      </c>
      <c r="CL121" s="335">
        <f t="shared" si="46"/>
        <v>37399</v>
      </c>
      <c r="CM121" s="345">
        <v>37406</v>
      </c>
      <c r="CN121" s="317">
        <f t="shared" si="59"/>
        <v>7</v>
      </c>
      <c r="CO121" s="346">
        <v>1.5299999999999999E-2</v>
      </c>
      <c r="CP121" s="346"/>
      <c r="CQ121" s="346"/>
      <c r="CR121" s="346"/>
      <c r="CS121" s="346"/>
      <c r="CT121" s="346"/>
      <c r="CU121" s="346"/>
      <c r="CV121" s="337">
        <f t="shared" si="60"/>
        <v>24452.54</v>
      </c>
    </row>
    <row r="122" spans="1:102" hidden="1" x14ac:dyDescent="0.25">
      <c r="A122" s="335">
        <f t="shared" si="47"/>
        <v>34522</v>
      </c>
      <c r="B122" s="335">
        <v>34523</v>
      </c>
      <c r="C122" s="317">
        <f t="shared" si="39"/>
        <v>1</v>
      </c>
      <c r="E122" s="336">
        <v>2.886E-2</v>
      </c>
      <c r="F122" s="339">
        <f>ROUND(((F121*SUM($C$10:C121))+(E122*C122))/SUM($C$10:C122),5)</f>
        <v>2.5170000000000001E-2</v>
      </c>
      <c r="G122" s="351">
        <v>91.6</v>
      </c>
      <c r="I122" s="335">
        <f t="shared" si="48"/>
        <v>34460</v>
      </c>
      <c r="J122" s="335">
        <v>34463</v>
      </c>
      <c r="K122" s="317">
        <f t="shared" si="40"/>
        <v>3</v>
      </c>
      <c r="M122" s="336">
        <v>2.5309999999999999E-2</v>
      </c>
      <c r="N122" s="339">
        <f>ROUND(((N121*SUM($K$10:K121))+(M122*K122))/SUM($K$10:K122),5)</f>
        <v>2.4840000000000001E-2</v>
      </c>
      <c r="O122" s="340">
        <v>80.099999999999994</v>
      </c>
      <c r="Q122" s="335">
        <f t="shared" si="49"/>
        <v>34967</v>
      </c>
      <c r="R122" s="353">
        <v>34968</v>
      </c>
      <c r="S122" s="317">
        <f t="shared" si="41"/>
        <v>1</v>
      </c>
      <c r="U122" s="339">
        <v>3.739E-2</v>
      </c>
      <c r="V122" s="339">
        <f>ROUND(((V121*SUM($S$10:S121))+(U122*S122))/SUM($S$10:S122),5)</f>
        <v>3.2340000000000001E-2</v>
      </c>
      <c r="W122" s="316">
        <v>76.3</v>
      </c>
      <c r="Y122" s="335">
        <f t="shared" si="50"/>
        <v>36900</v>
      </c>
      <c r="Z122" s="345">
        <v>36908</v>
      </c>
      <c r="AA122" s="317">
        <f t="shared" si="42"/>
        <v>8</v>
      </c>
      <c r="AC122" s="346">
        <v>4.7024999999999997E-2</v>
      </c>
      <c r="AD122" s="339">
        <f>ROUND(((AD121*SUM($AA$10:AA121))+(AC122*AA122))/SUM($AA$10:AA122),5)</f>
        <v>3.7139999999999999E-2</v>
      </c>
      <c r="AE122" s="348">
        <v>32.53</v>
      </c>
      <c r="AH122" s="345"/>
      <c r="AK122" s="346"/>
      <c r="AQ122" s="317">
        <f t="shared" si="62"/>
        <v>0</v>
      </c>
      <c r="AS122" s="346"/>
      <c r="AT122" s="339">
        <f>ROUND(((AT121*SUM($AQ$10:AQ121))+(AS122*AQ122))/SUM($AQ$10:AQ122),5)</f>
        <v>-1.5E-3</v>
      </c>
      <c r="BB122" s="352"/>
      <c r="BC122" s="348"/>
      <c r="BE122" s="335">
        <f t="shared" si="44"/>
        <v>34534</v>
      </c>
      <c r="BF122" s="335">
        <v>34541</v>
      </c>
      <c r="BG122" s="317">
        <f t="shared" si="33"/>
        <v>7</v>
      </c>
      <c r="BH122" s="336">
        <v>2.9000000000000001E-2</v>
      </c>
      <c r="BI122" s="337">
        <f t="shared" si="56"/>
        <v>16684.93</v>
      </c>
      <c r="BK122" s="341"/>
      <c r="BL122" s="341"/>
      <c r="BM122" s="341"/>
      <c r="BO122" s="335">
        <f t="shared" si="45"/>
        <v>36490</v>
      </c>
      <c r="BP122" s="345">
        <v>36495</v>
      </c>
      <c r="BQ122" s="317">
        <f>BP122-BO122</f>
        <v>5</v>
      </c>
      <c r="BR122" s="346">
        <v>3.8699999999999998E-2</v>
      </c>
      <c r="BS122" s="337">
        <f>ROUND($BS$5*BR122*BQ122/365,2)</f>
        <v>9012.33</v>
      </c>
      <c r="BT122" s="341">
        <f>SUM(BS118:BS122)</f>
        <v>50897.54</v>
      </c>
      <c r="BW122" s="335">
        <f t="shared" si="55"/>
        <v>36708</v>
      </c>
      <c r="BX122" s="345">
        <v>36713</v>
      </c>
      <c r="BY122" s="317">
        <f t="shared" si="35"/>
        <v>5</v>
      </c>
      <c r="BZ122" s="346">
        <v>4.7699999999999999E-2</v>
      </c>
      <c r="CA122" s="337">
        <f t="shared" si="61"/>
        <v>32581.967213</v>
      </c>
      <c r="CD122" s="335">
        <f t="shared" si="53"/>
        <v>36708</v>
      </c>
      <c r="CE122" s="345">
        <v>36713</v>
      </c>
      <c r="CF122" s="317">
        <f t="shared" si="37"/>
        <v>5</v>
      </c>
      <c r="CG122" s="346">
        <v>4.7699999999999999E-2</v>
      </c>
      <c r="CH122" s="337">
        <f t="shared" si="58"/>
        <v>32581.967213</v>
      </c>
      <c r="CL122" s="335">
        <f t="shared" si="46"/>
        <v>37406</v>
      </c>
      <c r="CM122" s="345">
        <v>37408</v>
      </c>
      <c r="CN122" s="317">
        <f t="shared" si="59"/>
        <v>2</v>
      </c>
      <c r="CO122" s="346">
        <v>1.4E-2</v>
      </c>
      <c r="CP122" s="346"/>
      <c r="CQ122" s="346"/>
      <c r="CR122" s="346"/>
      <c r="CS122" s="346"/>
      <c r="CT122" s="346"/>
      <c r="CU122" s="346"/>
      <c r="CV122" s="337">
        <f t="shared" si="60"/>
        <v>6392.82</v>
      </c>
      <c r="CW122" s="341">
        <f>SUM(CV117:CV122)</f>
        <v>109796.71000000002</v>
      </c>
    </row>
    <row r="123" spans="1:102" hidden="1" x14ac:dyDescent="0.25">
      <c r="A123" s="335">
        <f t="shared" si="47"/>
        <v>34523</v>
      </c>
      <c r="B123" s="335">
        <v>34535</v>
      </c>
      <c r="C123" s="317">
        <f t="shared" si="39"/>
        <v>12</v>
      </c>
      <c r="E123" s="339">
        <v>2.853E-2</v>
      </c>
      <c r="F123" s="339">
        <f>ROUND(((F122*SUM($C$10:C122))+(E123*C123))/SUM($C$10:C123),5)</f>
        <v>2.5229999999999999E-2</v>
      </c>
      <c r="G123" s="351">
        <v>86.8</v>
      </c>
      <c r="I123" s="335">
        <f t="shared" si="48"/>
        <v>34463</v>
      </c>
      <c r="J123" s="335">
        <v>34464</v>
      </c>
      <c r="K123" s="317">
        <f t="shared" si="40"/>
        <v>1</v>
      </c>
      <c r="M123" s="336">
        <v>2.5819999999999999E-2</v>
      </c>
      <c r="N123" s="339">
        <f>ROUND(((N122*SUM($K$10:K122))+(M123*K123))/SUM($K$10:K123),5)</f>
        <v>2.4840000000000001E-2</v>
      </c>
      <c r="O123" s="340">
        <v>82.8</v>
      </c>
      <c r="Q123" s="335">
        <f t="shared" si="49"/>
        <v>34968</v>
      </c>
      <c r="R123" s="353">
        <v>34978</v>
      </c>
      <c r="S123" s="317">
        <f t="shared" si="41"/>
        <v>10</v>
      </c>
      <c r="U123" s="339">
        <v>3.7510000000000002E-2</v>
      </c>
      <c r="V123" s="339">
        <f>ROUND(((V122*SUM($S$10:S122))+(U123*S123))/SUM($S$10:S123),5)</f>
        <v>3.2410000000000001E-2</v>
      </c>
      <c r="W123" s="316">
        <v>82.7</v>
      </c>
      <c r="Y123" s="335">
        <f t="shared" si="50"/>
        <v>36908</v>
      </c>
      <c r="Z123" s="345">
        <v>36915</v>
      </c>
      <c r="AA123" s="317">
        <f t="shared" si="42"/>
        <v>7</v>
      </c>
      <c r="AC123" s="346">
        <v>3.6225E-2</v>
      </c>
      <c r="AD123" s="339">
        <f>ROUND(((AD122*SUM($AA$10:AA122))+(AC123*AA123))/SUM($AA$10:AA123),5)</f>
        <v>3.7139999999999999E-2</v>
      </c>
      <c r="AE123" s="348">
        <v>34.39</v>
      </c>
      <c r="AH123" s="345"/>
      <c r="AK123" s="346"/>
      <c r="AQ123" s="317">
        <f t="shared" si="62"/>
        <v>0</v>
      </c>
      <c r="AS123" s="346"/>
      <c r="AT123" s="339">
        <f>ROUND(((AT122*SUM($AQ$10:AQ122))+(AS123*AQ123))/SUM($AQ$10:AQ123),5)</f>
        <v>-1.5E-3</v>
      </c>
      <c r="BB123" s="352"/>
      <c r="BC123" s="348"/>
      <c r="BE123" s="335">
        <f t="shared" si="44"/>
        <v>34541</v>
      </c>
      <c r="BF123" s="335">
        <v>34547</v>
      </c>
      <c r="BG123" s="317">
        <f t="shared" si="33"/>
        <v>6</v>
      </c>
      <c r="BH123" s="339">
        <v>2.9500000000000002E-2</v>
      </c>
      <c r="BI123" s="337">
        <f t="shared" si="56"/>
        <v>14547.95</v>
      </c>
      <c r="BJ123" s="341">
        <f>SUM(BI119:BI123)</f>
        <v>62720.55</v>
      </c>
      <c r="BK123" s="341">
        <v>72124.070000000007</v>
      </c>
      <c r="BL123" s="341">
        <f>BJ123-BK123</f>
        <v>-9403.5200000000041</v>
      </c>
      <c r="BM123" s="341">
        <f>BM118+BL123</f>
        <v>-26692.94</v>
      </c>
      <c r="BO123" s="335">
        <f t="shared" si="45"/>
        <v>36495</v>
      </c>
      <c r="BP123" s="345">
        <v>36496</v>
      </c>
      <c r="BQ123" s="317">
        <f t="shared" ref="BQ123:BQ188" si="63">BP123-BO123</f>
        <v>1</v>
      </c>
      <c r="BR123" s="346">
        <v>3.8699999999999998E-2</v>
      </c>
      <c r="BS123" s="337">
        <f t="shared" ref="BS123:BS128" si="64">ROUND($BS$5*BR123*BQ123/365,2)</f>
        <v>1802.47</v>
      </c>
      <c r="BW123" s="335">
        <f t="shared" si="55"/>
        <v>36713</v>
      </c>
      <c r="BX123" s="345">
        <v>36720</v>
      </c>
      <c r="BY123" s="317">
        <f t="shared" si="35"/>
        <v>7</v>
      </c>
      <c r="BZ123" s="346">
        <v>3.2099999999999997E-2</v>
      </c>
      <c r="CA123" s="337">
        <f t="shared" si="61"/>
        <v>30696.721311000001</v>
      </c>
      <c r="CD123" s="335">
        <f t="shared" si="53"/>
        <v>36713</v>
      </c>
      <c r="CE123" s="345">
        <v>36720</v>
      </c>
      <c r="CF123" s="317">
        <f t="shared" si="37"/>
        <v>7</v>
      </c>
      <c r="CG123" s="346">
        <v>3.2099999999999997E-2</v>
      </c>
      <c r="CH123" s="337">
        <f t="shared" si="58"/>
        <v>30696.721311000001</v>
      </c>
      <c r="CL123" s="335">
        <f t="shared" si="46"/>
        <v>37408</v>
      </c>
      <c r="CM123" s="345">
        <v>37413</v>
      </c>
      <c r="CN123" s="317">
        <f t="shared" si="59"/>
        <v>5</v>
      </c>
      <c r="CO123" s="347">
        <v>1.4E-2</v>
      </c>
      <c r="CP123" s="347"/>
      <c r="CQ123" s="347"/>
      <c r="CR123" s="347"/>
      <c r="CS123" s="347"/>
      <c r="CT123" s="347"/>
      <c r="CU123" s="347"/>
      <c r="CV123" s="337">
        <f t="shared" ref="CV123:CV137" si="65">ROUND($CR$5*CO123*CN123/365,6)</f>
        <v>15982.054795</v>
      </c>
      <c r="CW123" s="341" t="s">
        <v>35</v>
      </c>
    </row>
    <row r="124" spans="1:102" hidden="1" x14ac:dyDescent="0.25">
      <c r="A124" s="335">
        <f t="shared" si="47"/>
        <v>34535</v>
      </c>
      <c r="B124" s="335">
        <v>34547</v>
      </c>
      <c r="C124" s="317">
        <f t="shared" si="39"/>
        <v>12</v>
      </c>
      <c r="E124" s="339">
        <v>2.8539999999999999E-2</v>
      </c>
      <c r="F124" s="339">
        <f>ROUND(((F123*SUM($C$10:C123))+(E124*C124))/SUM($C$10:C124),5)</f>
        <v>2.529E-2</v>
      </c>
      <c r="G124" s="351">
        <v>86.8</v>
      </c>
      <c r="I124" s="335">
        <f t="shared" si="48"/>
        <v>34464</v>
      </c>
      <c r="J124" s="335">
        <v>34465</v>
      </c>
      <c r="K124" s="317">
        <f t="shared" si="40"/>
        <v>1</v>
      </c>
      <c r="M124" s="336">
        <v>2.6100000000000002E-2</v>
      </c>
      <c r="N124" s="339">
        <f>ROUND(((N123*SUM($K$10:K123))+(M124*K124))/SUM($K$10:K124),5)</f>
        <v>2.4840000000000001E-2</v>
      </c>
      <c r="O124" s="340">
        <v>83.2</v>
      </c>
      <c r="Q124" s="335">
        <f t="shared" si="49"/>
        <v>34978</v>
      </c>
      <c r="R124" s="353">
        <v>34984</v>
      </c>
      <c r="S124" s="317">
        <f t="shared" si="41"/>
        <v>6</v>
      </c>
      <c r="U124" s="339">
        <v>3.755E-2</v>
      </c>
      <c r="V124" s="339">
        <f>ROUND(((V123*SUM($S$10:S123))+(U124*S124))/SUM($S$10:S124),5)</f>
        <v>3.245E-2</v>
      </c>
      <c r="W124" s="316">
        <v>88.4</v>
      </c>
      <c r="Y124" s="335">
        <f t="shared" si="50"/>
        <v>36915</v>
      </c>
      <c r="Z124" s="345">
        <v>36923</v>
      </c>
      <c r="AA124" s="317">
        <f t="shared" si="42"/>
        <v>8</v>
      </c>
      <c r="AC124" s="346">
        <v>4.8049000000000001E-2</v>
      </c>
      <c r="AD124" s="339">
        <f>ROUND(((AD123*SUM($AA$10:AA123))+(AC124*AA124))/SUM($AA$10:AA124),5)</f>
        <v>3.7199999999999997E-2</v>
      </c>
      <c r="AE124" s="348">
        <v>32.53</v>
      </c>
      <c r="AH124" s="345"/>
      <c r="AK124" s="346"/>
      <c r="AQ124" s="317">
        <f t="shared" si="62"/>
        <v>0</v>
      </c>
      <c r="AS124" s="346"/>
      <c r="AT124" s="339">
        <f>ROUND(((AT123*SUM($AQ$10:AQ123))+(AS124*AQ124))/SUM($AQ$10:AQ124),5)</f>
        <v>-1.5E-3</v>
      </c>
      <c r="BB124" s="352"/>
      <c r="BC124" s="348"/>
      <c r="BE124" s="335">
        <f t="shared" si="44"/>
        <v>34547</v>
      </c>
      <c r="BF124" s="335">
        <v>34548</v>
      </c>
      <c r="BG124" s="317">
        <f t="shared" si="33"/>
        <v>1</v>
      </c>
      <c r="BH124" s="339">
        <v>2.9500000000000002E-2</v>
      </c>
      <c r="BI124" s="337">
        <f t="shared" si="56"/>
        <v>2424.66</v>
      </c>
      <c r="BJ124" s="341" t="s">
        <v>35</v>
      </c>
      <c r="BK124" s="341"/>
      <c r="BL124" s="341"/>
      <c r="BM124" s="341"/>
      <c r="BO124" s="335">
        <f t="shared" si="45"/>
        <v>36496</v>
      </c>
      <c r="BP124" s="345">
        <v>36503</v>
      </c>
      <c r="BQ124" s="317">
        <f t="shared" si="63"/>
        <v>7</v>
      </c>
      <c r="BR124" s="346">
        <v>3.6700000000000003E-2</v>
      </c>
      <c r="BS124" s="337">
        <f t="shared" si="64"/>
        <v>11965.21</v>
      </c>
      <c r="BW124" s="335">
        <f t="shared" si="55"/>
        <v>36720</v>
      </c>
      <c r="BX124" s="345">
        <v>36727</v>
      </c>
      <c r="BY124" s="317">
        <f t="shared" si="35"/>
        <v>7</v>
      </c>
      <c r="BZ124" s="346">
        <v>3.8100000000000002E-2</v>
      </c>
      <c r="CA124" s="337">
        <f t="shared" si="61"/>
        <v>36434.426229999997</v>
      </c>
      <c r="CD124" s="335">
        <f t="shared" si="53"/>
        <v>36720</v>
      </c>
      <c r="CE124" s="345">
        <v>36727</v>
      </c>
      <c r="CF124" s="317">
        <f t="shared" si="37"/>
        <v>7</v>
      </c>
      <c r="CG124" s="346">
        <v>3.8100000000000002E-2</v>
      </c>
      <c r="CH124" s="337">
        <f t="shared" si="58"/>
        <v>36434.426229999997</v>
      </c>
      <c r="CL124" s="335">
        <f t="shared" si="46"/>
        <v>37413</v>
      </c>
      <c r="CM124" s="345">
        <v>37420</v>
      </c>
      <c r="CN124" s="317">
        <f t="shared" si="59"/>
        <v>7</v>
      </c>
      <c r="CO124" s="347">
        <v>1.15E-2</v>
      </c>
      <c r="CP124" s="347"/>
      <c r="CQ124" s="347"/>
      <c r="CR124" s="347"/>
      <c r="CS124" s="347"/>
      <c r="CT124" s="347"/>
      <c r="CU124" s="347"/>
      <c r="CV124" s="337">
        <f t="shared" si="65"/>
        <v>18379.363013999999</v>
      </c>
    </row>
    <row r="125" spans="1:102" hidden="1" x14ac:dyDescent="0.25">
      <c r="A125" s="335">
        <f t="shared" si="47"/>
        <v>34547</v>
      </c>
      <c r="B125" s="335">
        <v>34550</v>
      </c>
      <c r="C125" s="317">
        <f t="shared" si="39"/>
        <v>3</v>
      </c>
      <c r="E125" s="339">
        <v>2.8969999999999999E-2</v>
      </c>
      <c r="F125" s="339">
        <f>ROUND(((F124*SUM($C$10:C124))+(E125*C125))/SUM($C$10:C125),5)</f>
        <v>2.5309999999999999E-2</v>
      </c>
      <c r="G125" s="351">
        <v>94.9</v>
      </c>
      <c r="I125" s="335">
        <f t="shared" si="48"/>
        <v>34465</v>
      </c>
      <c r="J125" s="335">
        <v>34466</v>
      </c>
      <c r="K125" s="317">
        <f t="shared" si="40"/>
        <v>1</v>
      </c>
      <c r="M125" s="336">
        <v>2.759E-2</v>
      </c>
      <c r="N125" s="339">
        <f>ROUND(((N124*SUM($K$10:K124))+(M125*K125))/SUM($K$10:K125),5)</f>
        <v>2.4840000000000001E-2</v>
      </c>
      <c r="O125" s="340">
        <v>87.9</v>
      </c>
      <c r="Q125" s="335">
        <f t="shared" si="49"/>
        <v>34984</v>
      </c>
      <c r="R125" s="353">
        <v>34992</v>
      </c>
      <c r="S125" s="317">
        <f t="shared" si="41"/>
        <v>8</v>
      </c>
      <c r="U125" s="339">
        <v>3.7850000000000002E-2</v>
      </c>
      <c r="V125" s="339">
        <f>ROUND(((V124*SUM($S$10:S124))+(U125*S125))/SUM($S$10:S125),5)</f>
        <v>3.2509999999999997E-2</v>
      </c>
      <c r="W125" s="316">
        <v>88.9</v>
      </c>
      <c r="Y125" s="335">
        <f t="shared" si="50"/>
        <v>36923</v>
      </c>
      <c r="Z125" s="345">
        <v>36943</v>
      </c>
      <c r="AA125" s="317">
        <f t="shared" si="42"/>
        <v>20</v>
      </c>
      <c r="AC125" s="346">
        <v>4.6843000000000003E-2</v>
      </c>
      <c r="AD125" s="339">
        <f>ROUND(((AD124*SUM($AA$10:AA124))+(AC125*AA125))/SUM($AA$10:AA125),5)</f>
        <v>3.7319999999999999E-2</v>
      </c>
      <c r="AE125" s="348">
        <v>43.87</v>
      </c>
      <c r="AH125" s="345"/>
      <c r="AK125" s="346"/>
      <c r="AQ125" s="317">
        <f t="shared" si="62"/>
        <v>0</v>
      </c>
      <c r="AS125" s="346"/>
      <c r="AT125" s="339">
        <f>ROUND(((AT124*SUM($AQ$10:AQ124))+(AS125*AQ125))/SUM($AQ$10:AQ125),5)</f>
        <v>-1.5E-3</v>
      </c>
      <c r="BB125" s="352"/>
      <c r="BC125" s="348"/>
      <c r="BE125" s="335">
        <f t="shared" si="44"/>
        <v>34548</v>
      </c>
      <c r="BF125" s="335">
        <v>34555</v>
      </c>
      <c r="BG125" s="317">
        <f t="shared" si="33"/>
        <v>7</v>
      </c>
      <c r="BH125" s="339">
        <v>2.7800000000000002E-2</v>
      </c>
      <c r="BI125" s="337">
        <f t="shared" si="56"/>
        <v>15994.52</v>
      </c>
      <c r="BK125" s="341"/>
      <c r="BL125" s="341"/>
      <c r="BM125" s="341"/>
      <c r="BO125" s="335">
        <f t="shared" si="45"/>
        <v>36503</v>
      </c>
      <c r="BP125" s="345">
        <v>36510</v>
      </c>
      <c r="BQ125" s="317">
        <f t="shared" si="63"/>
        <v>7</v>
      </c>
      <c r="BR125" s="346">
        <v>3.2899999999999999E-2</v>
      </c>
      <c r="BS125" s="337">
        <f t="shared" si="64"/>
        <v>10726.3</v>
      </c>
      <c r="BW125" s="335">
        <f t="shared" si="55"/>
        <v>36727</v>
      </c>
      <c r="BX125" s="345">
        <v>36734</v>
      </c>
      <c r="BY125" s="317">
        <f t="shared" si="35"/>
        <v>7</v>
      </c>
      <c r="BZ125" s="346">
        <v>4.2299999999999997E-2</v>
      </c>
      <c r="CA125" s="337">
        <f t="shared" si="61"/>
        <v>40450.819671999998</v>
      </c>
      <c r="CD125" s="335">
        <f t="shared" si="53"/>
        <v>36727</v>
      </c>
      <c r="CE125" s="345">
        <v>36734</v>
      </c>
      <c r="CF125" s="317">
        <f t="shared" si="37"/>
        <v>7</v>
      </c>
      <c r="CG125" s="346">
        <v>4.2299999999999997E-2</v>
      </c>
      <c r="CH125" s="337">
        <f t="shared" si="58"/>
        <v>40450.819671999998</v>
      </c>
      <c r="CL125" s="335">
        <f t="shared" si="46"/>
        <v>37420</v>
      </c>
      <c r="CM125" s="345">
        <v>37427</v>
      </c>
      <c r="CN125" s="317">
        <f t="shared" si="59"/>
        <v>7</v>
      </c>
      <c r="CO125" s="347">
        <v>1.37E-2</v>
      </c>
      <c r="CP125" s="347"/>
      <c r="CQ125" s="347"/>
      <c r="CR125" s="347"/>
      <c r="CS125" s="347"/>
      <c r="CT125" s="347"/>
      <c r="CU125" s="347"/>
      <c r="CV125" s="337">
        <f t="shared" si="65"/>
        <v>21895.415067999998</v>
      </c>
    </row>
    <row r="126" spans="1:102" hidden="1" x14ac:dyDescent="0.25">
      <c r="A126" s="335">
        <f t="shared" si="47"/>
        <v>34550</v>
      </c>
      <c r="B126" s="335">
        <v>34555</v>
      </c>
      <c r="C126" s="317">
        <f t="shared" si="39"/>
        <v>5</v>
      </c>
      <c r="E126" s="339">
        <v>2.8979999999999999E-2</v>
      </c>
      <c r="F126" s="339">
        <f>ROUND(((F125*SUM($C$10:C125))+(E126*C126))/SUM($C$10:C126),5)</f>
        <v>2.5340000000000001E-2</v>
      </c>
      <c r="G126" s="351">
        <v>95</v>
      </c>
      <c r="I126" s="335">
        <f t="shared" si="48"/>
        <v>34466</v>
      </c>
      <c r="J126" s="335">
        <v>34471</v>
      </c>
      <c r="K126" s="317">
        <f t="shared" si="40"/>
        <v>5</v>
      </c>
      <c r="M126" s="336">
        <v>2.8750000000000001E-2</v>
      </c>
      <c r="N126" s="339">
        <f>ROUND(((N125*SUM($K$10:K125))+(M126*K126))/SUM($K$10:K126),5)</f>
        <v>2.487E-2</v>
      </c>
      <c r="O126" s="340">
        <v>83.1</v>
      </c>
      <c r="Q126" s="335">
        <f t="shared" si="49"/>
        <v>34992</v>
      </c>
      <c r="R126" s="353">
        <v>34995</v>
      </c>
      <c r="S126" s="317">
        <f t="shared" si="41"/>
        <v>3</v>
      </c>
      <c r="U126" s="339">
        <v>3.7850000000000002E-2</v>
      </c>
      <c r="V126" s="339">
        <f>ROUND(((V125*SUM($S$10:S125))+(U126*S126))/SUM($S$10:S126),5)</f>
        <v>3.2530000000000003E-2</v>
      </c>
      <c r="W126" s="316">
        <v>83.8</v>
      </c>
      <c r="Y126" s="335">
        <f t="shared" si="50"/>
        <v>36943</v>
      </c>
      <c r="Z126" s="345">
        <v>36948</v>
      </c>
      <c r="AA126" s="317">
        <f t="shared" si="42"/>
        <v>5</v>
      </c>
      <c r="AC126" s="346">
        <v>4.6156000000000003E-2</v>
      </c>
      <c r="AD126" s="339">
        <f>ROUND(((AD125*SUM($AA$10:AA125))+(AC126*AA126))/SUM($AA$10:AA126),5)</f>
        <v>3.7350000000000001E-2</v>
      </c>
      <c r="AE126" s="348">
        <v>42.27</v>
      </c>
      <c r="AH126" s="345"/>
      <c r="AK126" s="346"/>
      <c r="AQ126" s="317">
        <f t="shared" si="62"/>
        <v>0</v>
      </c>
      <c r="AS126" s="346"/>
      <c r="AT126" s="339">
        <f>ROUND(((AT125*SUM($AQ$10:AQ125))+(AS126*AQ126))/SUM($AQ$10:AQ126),5)</f>
        <v>-1.5E-3</v>
      </c>
      <c r="BB126" s="352"/>
      <c r="BC126" s="348"/>
      <c r="BE126" s="335">
        <f t="shared" si="44"/>
        <v>34555</v>
      </c>
      <c r="BF126" s="335">
        <v>34562</v>
      </c>
      <c r="BG126" s="317">
        <f t="shared" si="33"/>
        <v>7</v>
      </c>
      <c r="BH126" s="339">
        <v>2.8000000000000001E-2</v>
      </c>
      <c r="BI126" s="337">
        <f t="shared" si="56"/>
        <v>16109.59</v>
      </c>
      <c r="BK126" s="341"/>
      <c r="BL126" s="341"/>
      <c r="BM126" s="341"/>
      <c r="BO126" s="335">
        <f t="shared" si="45"/>
        <v>36510</v>
      </c>
      <c r="BP126" s="345">
        <v>36517</v>
      </c>
      <c r="BQ126" s="317">
        <f t="shared" si="63"/>
        <v>7</v>
      </c>
      <c r="BR126" s="346">
        <v>3.8899999999999997E-2</v>
      </c>
      <c r="BS126" s="337">
        <f t="shared" si="64"/>
        <v>12682.47</v>
      </c>
      <c r="BW126" s="335">
        <f t="shared" si="55"/>
        <v>36734</v>
      </c>
      <c r="BX126" s="345">
        <v>36739</v>
      </c>
      <c r="BY126" s="317">
        <f t="shared" si="35"/>
        <v>5</v>
      </c>
      <c r="BZ126" s="346">
        <v>4.2299999999999997E-2</v>
      </c>
      <c r="CA126" s="337">
        <f t="shared" si="61"/>
        <v>28893.442622999999</v>
      </c>
      <c r="CB126" s="341">
        <f>SUM(CA122:CA126)</f>
        <v>169057.377049</v>
      </c>
      <c r="CD126" s="335">
        <f t="shared" si="53"/>
        <v>36734</v>
      </c>
      <c r="CE126" s="345">
        <v>36739</v>
      </c>
      <c r="CF126" s="317">
        <f t="shared" si="37"/>
        <v>5</v>
      </c>
      <c r="CG126" s="346">
        <v>4.2299999999999997E-2</v>
      </c>
      <c r="CH126" s="337">
        <f t="shared" si="58"/>
        <v>28893.442622999999</v>
      </c>
      <c r="CI126" s="341">
        <f>SUM(CH122:CH126)</f>
        <v>169057.377049</v>
      </c>
      <c r="CL126" s="335">
        <f t="shared" si="46"/>
        <v>37427</v>
      </c>
      <c r="CM126" s="345">
        <v>37434</v>
      </c>
      <c r="CN126" s="317">
        <f t="shared" si="59"/>
        <v>7</v>
      </c>
      <c r="CO126" s="347">
        <v>1.38E-2</v>
      </c>
      <c r="CP126" s="347"/>
      <c r="CQ126" s="347"/>
      <c r="CR126" s="347"/>
      <c r="CS126" s="347"/>
      <c r="CT126" s="347"/>
      <c r="CU126" s="347"/>
      <c r="CV126" s="337">
        <f t="shared" si="65"/>
        <v>22055.235616000002</v>
      </c>
    </row>
    <row r="127" spans="1:102" hidden="1" x14ac:dyDescent="0.25">
      <c r="A127" s="335">
        <f t="shared" si="47"/>
        <v>34555</v>
      </c>
      <c r="B127" s="335">
        <v>34557</v>
      </c>
      <c r="C127" s="317">
        <f t="shared" si="39"/>
        <v>2</v>
      </c>
      <c r="E127" s="339">
        <v>3.0169999999999999E-2</v>
      </c>
      <c r="F127" s="339">
        <f>ROUND(((F126*SUM($C$10:C126))+(E127*C127))/SUM($C$10:C127),5)</f>
        <v>2.5350000000000001E-2</v>
      </c>
      <c r="G127" s="351">
        <v>86.5</v>
      </c>
      <c r="I127" s="335">
        <f t="shared" si="48"/>
        <v>34471</v>
      </c>
      <c r="J127" s="335">
        <v>34472</v>
      </c>
      <c r="K127" s="317">
        <f t="shared" si="40"/>
        <v>1</v>
      </c>
      <c r="M127" s="336">
        <v>2.9180000000000001E-2</v>
      </c>
      <c r="N127" s="339">
        <f>ROUND(((N126*SUM($K$10:K126))+(M127*K127))/SUM($K$10:K127),5)</f>
        <v>2.4879999999999999E-2</v>
      </c>
      <c r="O127" s="340">
        <v>80.400000000000006</v>
      </c>
      <c r="Q127" s="335">
        <f t="shared" si="49"/>
        <v>34995</v>
      </c>
      <c r="R127" s="353">
        <v>34997</v>
      </c>
      <c r="S127" s="317">
        <f t="shared" si="41"/>
        <v>2</v>
      </c>
      <c r="U127" s="339">
        <v>3.7940000000000002E-2</v>
      </c>
      <c r="V127" s="339">
        <f>ROUND(((V126*SUM($S$10:S126))+(U127*S127))/SUM($S$10:S127),5)</f>
        <v>3.2539999999999999E-2</v>
      </c>
      <c r="W127" s="316">
        <v>79.3</v>
      </c>
      <c r="Y127" s="335">
        <f t="shared" si="50"/>
        <v>36948</v>
      </c>
      <c r="Z127" s="345">
        <v>36958</v>
      </c>
      <c r="AA127" s="317">
        <f t="shared" si="42"/>
        <v>10</v>
      </c>
      <c r="AC127" s="346">
        <v>4.7530999999999997E-2</v>
      </c>
      <c r="AD127" s="339">
        <f>ROUND(((AD126*SUM($AA$10:AA126))+(AC127*AA127))/SUM($AA$10:AA127),5)</f>
        <v>3.7409999999999999E-2</v>
      </c>
      <c r="AE127" s="348">
        <v>48.93</v>
      </c>
      <c r="AH127" s="345"/>
      <c r="AQ127" s="317">
        <f t="shared" si="62"/>
        <v>0</v>
      </c>
      <c r="AS127" s="346"/>
      <c r="AT127" s="339">
        <f>ROUND(((AT126*SUM($AQ$10:AQ126))+(AS127*AQ127))/SUM($AQ$10:AQ127),5)</f>
        <v>-1.5E-3</v>
      </c>
      <c r="BB127" s="352"/>
      <c r="BC127" s="348"/>
      <c r="BE127" s="335">
        <f t="shared" si="44"/>
        <v>34562</v>
      </c>
      <c r="BF127" s="335">
        <v>34569</v>
      </c>
      <c r="BG127" s="317">
        <f t="shared" si="33"/>
        <v>7</v>
      </c>
      <c r="BH127" s="339">
        <v>2.8000000000000001E-2</v>
      </c>
      <c r="BI127" s="337">
        <f t="shared" si="56"/>
        <v>16109.59</v>
      </c>
      <c r="BK127" s="341"/>
      <c r="BL127" s="341"/>
      <c r="BM127" s="341"/>
      <c r="BO127" s="335">
        <f t="shared" si="45"/>
        <v>36517</v>
      </c>
      <c r="BP127" s="345">
        <v>36524</v>
      </c>
      <c r="BQ127" s="317">
        <f t="shared" si="63"/>
        <v>7</v>
      </c>
      <c r="BR127" s="346">
        <v>4.6600000000000003E-2</v>
      </c>
      <c r="BS127" s="337">
        <f t="shared" si="64"/>
        <v>15192.88</v>
      </c>
      <c r="BW127" s="335">
        <f t="shared" si="55"/>
        <v>36739</v>
      </c>
      <c r="BX127" s="345">
        <v>36741</v>
      </c>
      <c r="BY127" s="317">
        <f t="shared" si="35"/>
        <v>2</v>
      </c>
      <c r="BZ127" s="346">
        <v>4.2299999999999997E-2</v>
      </c>
      <c r="CA127" s="337">
        <f t="shared" si="61"/>
        <v>11557.377049000001</v>
      </c>
      <c r="CD127" s="335">
        <f t="shared" si="53"/>
        <v>36739</v>
      </c>
      <c r="CE127" s="345">
        <v>36741</v>
      </c>
      <c r="CF127" s="317">
        <f t="shared" si="37"/>
        <v>2</v>
      </c>
      <c r="CG127" s="346">
        <v>4.2299999999999997E-2</v>
      </c>
      <c r="CH127" s="337">
        <f t="shared" si="58"/>
        <v>11557.377049000001</v>
      </c>
      <c r="CL127" s="335">
        <f t="shared" si="46"/>
        <v>37434</v>
      </c>
      <c r="CM127" s="345">
        <v>37438</v>
      </c>
      <c r="CN127" s="317">
        <f t="shared" si="59"/>
        <v>4</v>
      </c>
      <c r="CO127" s="347">
        <v>1.23E-2</v>
      </c>
      <c r="CP127" s="347"/>
      <c r="CQ127" s="347"/>
      <c r="CR127" s="347"/>
      <c r="CS127" s="347"/>
      <c r="CT127" s="347"/>
      <c r="CU127" s="347"/>
      <c r="CV127" s="337">
        <f t="shared" si="65"/>
        <v>11233.10137</v>
      </c>
      <c r="CW127" s="341">
        <f>SUM(CV123:CV127)</f>
        <v>89545.169863000003</v>
      </c>
    </row>
    <row r="128" spans="1:102" hidden="1" x14ac:dyDescent="0.25">
      <c r="A128" s="335">
        <f t="shared" si="47"/>
        <v>34557</v>
      </c>
      <c r="B128" s="335">
        <v>34564</v>
      </c>
      <c r="C128" s="317">
        <f t="shared" si="39"/>
        <v>7</v>
      </c>
      <c r="E128" s="339">
        <v>3.015E-2</v>
      </c>
      <c r="F128" s="339">
        <f>ROUND(((F127*SUM($C$10:C127))+(E128*C128))/SUM($C$10:C128),5)</f>
        <v>2.5399999999999999E-2</v>
      </c>
      <c r="G128" s="351">
        <v>85.1</v>
      </c>
      <c r="I128" s="335">
        <f t="shared" si="48"/>
        <v>34472</v>
      </c>
      <c r="J128" s="335">
        <v>34473</v>
      </c>
      <c r="K128" s="317">
        <f t="shared" si="40"/>
        <v>1</v>
      </c>
      <c r="M128" s="336">
        <v>2.9659999999999999E-2</v>
      </c>
      <c r="N128" s="339">
        <f>ROUND(((N127*SUM($K$10:K127))+(M128*K128))/SUM($K$10:K128),5)</f>
        <v>2.4889999999999999E-2</v>
      </c>
      <c r="O128" s="340">
        <v>79.8</v>
      </c>
      <c r="Q128" s="335">
        <f t="shared" si="49"/>
        <v>34997</v>
      </c>
      <c r="R128" s="353">
        <v>34999</v>
      </c>
      <c r="S128" s="317">
        <f t="shared" si="41"/>
        <v>2</v>
      </c>
      <c r="U128" s="339">
        <v>3.823E-2</v>
      </c>
      <c r="V128" s="339">
        <f>ROUND(((V127*SUM($S$10:S127))+(U128*S128))/SUM($S$10:S128),5)</f>
        <v>3.2550000000000003E-2</v>
      </c>
      <c r="W128" s="316">
        <v>83.7</v>
      </c>
      <c r="Y128" s="335">
        <f t="shared" si="50"/>
        <v>36958</v>
      </c>
      <c r="Z128" s="345">
        <v>36983</v>
      </c>
      <c r="AA128" s="317">
        <f t="shared" si="42"/>
        <v>25</v>
      </c>
      <c r="AC128" s="346">
        <v>4.5862E-2</v>
      </c>
      <c r="AD128" s="339">
        <f>ROUND(((AD127*SUM($AA$10:AA127))+(AC128*AA128))/SUM($AA$10:AA128),5)</f>
        <v>3.7539999999999997E-2</v>
      </c>
      <c r="AE128" s="348">
        <v>47.2</v>
      </c>
      <c r="AH128" s="345"/>
      <c r="AQ128" s="317">
        <f t="shared" si="62"/>
        <v>0</v>
      </c>
      <c r="AS128" s="346"/>
      <c r="AT128" s="339">
        <f>ROUND(((AT127*SUM($AQ$10:AQ127))+(AS128*AQ128))/SUM($AQ$10:AQ128),5)</f>
        <v>-1.5E-3</v>
      </c>
      <c r="BB128" s="352"/>
      <c r="BC128" s="348"/>
      <c r="BE128" s="335">
        <f t="shared" si="44"/>
        <v>34569</v>
      </c>
      <c r="BF128" s="335">
        <v>34576</v>
      </c>
      <c r="BG128" s="317">
        <f t="shared" si="33"/>
        <v>7</v>
      </c>
      <c r="BH128" s="339">
        <v>3.0800000000000001E-2</v>
      </c>
      <c r="BI128" s="337">
        <f t="shared" si="56"/>
        <v>17720.55</v>
      </c>
      <c r="BK128" s="341"/>
      <c r="BL128" s="341"/>
      <c r="BM128" s="341"/>
      <c r="BO128" s="335">
        <f t="shared" si="45"/>
        <v>36524</v>
      </c>
      <c r="BP128" s="345">
        <v>36526</v>
      </c>
      <c r="BQ128" s="317">
        <f t="shared" si="63"/>
        <v>2</v>
      </c>
      <c r="BR128" s="346">
        <v>5.4600000000000003E-2</v>
      </c>
      <c r="BS128" s="337">
        <f t="shared" si="64"/>
        <v>5086.03</v>
      </c>
      <c r="BT128" s="341">
        <f>SUM(BS123:BS128)</f>
        <v>57455.359999999993</v>
      </c>
      <c r="BW128" s="335">
        <f t="shared" si="55"/>
        <v>36741</v>
      </c>
      <c r="BX128" s="345">
        <v>36748</v>
      </c>
      <c r="BY128" s="317">
        <f t="shared" si="35"/>
        <v>7</v>
      </c>
      <c r="BZ128" s="346">
        <v>3.9899999999999998E-2</v>
      </c>
      <c r="CA128" s="337">
        <f t="shared" si="61"/>
        <v>38155.737705</v>
      </c>
      <c r="CD128" s="335">
        <f t="shared" si="53"/>
        <v>36741</v>
      </c>
      <c r="CE128" s="345">
        <v>36748</v>
      </c>
      <c r="CF128" s="317">
        <f t="shared" si="37"/>
        <v>7</v>
      </c>
      <c r="CG128" s="346">
        <v>3.9899999999999998E-2</v>
      </c>
      <c r="CH128" s="337">
        <f t="shared" si="58"/>
        <v>38155.737705</v>
      </c>
      <c r="CL128" s="335">
        <f t="shared" si="46"/>
        <v>37438</v>
      </c>
      <c r="CM128" s="345">
        <v>37441</v>
      </c>
      <c r="CN128" s="317">
        <f t="shared" si="59"/>
        <v>3</v>
      </c>
      <c r="CO128" s="347">
        <v>1.23E-2</v>
      </c>
      <c r="CP128" s="347"/>
      <c r="CQ128" s="347"/>
      <c r="CR128" s="347"/>
      <c r="CS128" s="347"/>
      <c r="CT128" s="347"/>
      <c r="CU128" s="347"/>
      <c r="CV128" s="337">
        <f t="shared" si="65"/>
        <v>8424.8260269999992</v>
      </c>
    </row>
    <row r="129" spans="1:101" hidden="1" x14ac:dyDescent="0.25">
      <c r="A129" s="335">
        <f t="shared" si="47"/>
        <v>34564</v>
      </c>
      <c r="B129" s="335">
        <v>34568</v>
      </c>
      <c r="C129" s="317">
        <f t="shared" si="39"/>
        <v>4</v>
      </c>
      <c r="E129" s="339">
        <v>3.0429999999999999E-2</v>
      </c>
      <c r="F129" s="339">
        <f>ROUND(((F128*SUM($C$10:C128))+(E129*C129))/SUM($C$10:C129),5)</f>
        <v>2.5430000000000001E-2</v>
      </c>
      <c r="G129" s="351">
        <v>80.3</v>
      </c>
      <c r="I129" s="335">
        <f t="shared" si="48"/>
        <v>34473</v>
      </c>
      <c r="J129" s="335">
        <v>34486</v>
      </c>
      <c r="K129" s="317">
        <f t="shared" si="40"/>
        <v>13</v>
      </c>
      <c r="M129" s="336">
        <v>2.989E-2</v>
      </c>
      <c r="N129" s="339">
        <f>ROUND(((N128*SUM($K$10:K128))+(M129*K129))/SUM($K$10:K129),5)</f>
        <v>2.4989999999999998E-2</v>
      </c>
      <c r="O129" s="317">
        <v>80.2</v>
      </c>
      <c r="Q129" s="335">
        <f t="shared" si="49"/>
        <v>34999</v>
      </c>
      <c r="R129" s="353">
        <v>35003</v>
      </c>
      <c r="S129" s="317">
        <f t="shared" si="41"/>
        <v>4</v>
      </c>
      <c r="U129" s="339">
        <v>3.805E-2</v>
      </c>
      <c r="V129" s="339">
        <f>ROUND(((V128*SUM($S$10:S128))+(U129*S129))/SUM($S$10:S129),5)</f>
        <v>3.2579999999999998E-2</v>
      </c>
      <c r="W129" s="316">
        <v>80.3</v>
      </c>
      <c r="Y129" s="335">
        <f t="shared" si="50"/>
        <v>36983</v>
      </c>
      <c r="Z129" s="345">
        <v>36999</v>
      </c>
      <c r="AA129" s="317">
        <f t="shared" si="42"/>
        <v>16</v>
      </c>
      <c r="AC129" s="346">
        <v>4.5975000000000002E-2</v>
      </c>
      <c r="AD129" s="339">
        <f>ROUND(((AD128*SUM($AA$10:AA128))+(AC129*AA129))/SUM($AA$10:AA129),5)</f>
        <v>3.7620000000000001E-2</v>
      </c>
      <c r="AE129" s="348">
        <v>48.53</v>
      </c>
      <c r="AH129" s="345"/>
      <c r="AQ129" s="317">
        <f t="shared" si="62"/>
        <v>0</v>
      </c>
      <c r="AS129" s="346"/>
      <c r="AT129" s="339">
        <f>ROUND(((AT128*SUM($AQ$10:AQ128))+(AS129*AQ129))/SUM($AQ$10:AQ129),5)</f>
        <v>-1.5E-3</v>
      </c>
      <c r="BB129" s="352"/>
      <c r="BC129" s="348"/>
      <c r="BE129" s="335">
        <f t="shared" si="44"/>
        <v>34576</v>
      </c>
      <c r="BF129" s="335">
        <v>34578</v>
      </c>
      <c r="BG129" s="317">
        <f t="shared" si="33"/>
        <v>2</v>
      </c>
      <c r="BH129" s="339">
        <v>3.1600000000000003E-2</v>
      </c>
      <c r="BI129" s="337">
        <f t="shared" si="56"/>
        <v>5194.5200000000004</v>
      </c>
      <c r="BJ129" s="341">
        <f>SUM(BI124:BI129)</f>
        <v>73553.430000000008</v>
      </c>
      <c r="BK129" s="341">
        <v>76798.67</v>
      </c>
      <c r="BL129" s="341">
        <f>BJ129-BK129</f>
        <v>-3245.2399999999907</v>
      </c>
      <c r="BM129" s="341">
        <f>BM123+BL129</f>
        <v>-29938.179999999989</v>
      </c>
      <c r="BO129" s="335">
        <f t="shared" si="45"/>
        <v>36526</v>
      </c>
      <c r="BP129" s="345">
        <v>36531</v>
      </c>
      <c r="BQ129" s="317">
        <f t="shared" si="63"/>
        <v>5</v>
      </c>
      <c r="BR129" s="346">
        <v>5.4600000000000003E-2</v>
      </c>
      <c r="BS129" s="337">
        <f>ROUND($BS$5*BR129*BQ129/366,2)</f>
        <v>12680.33</v>
      </c>
      <c r="BW129" s="335">
        <f t="shared" si="55"/>
        <v>36748</v>
      </c>
      <c r="BX129" s="345">
        <v>36755</v>
      </c>
      <c r="BY129" s="317">
        <f t="shared" si="35"/>
        <v>7</v>
      </c>
      <c r="BZ129" s="346">
        <v>4.19E-2</v>
      </c>
      <c r="CA129" s="337">
        <f t="shared" si="61"/>
        <v>40068.306011000001</v>
      </c>
      <c r="CD129" s="335">
        <f t="shared" si="53"/>
        <v>36748</v>
      </c>
      <c r="CE129" s="345">
        <v>36755</v>
      </c>
      <c r="CF129" s="317">
        <f t="shared" si="37"/>
        <v>7</v>
      </c>
      <c r="CG129" s="346">
        <v>4.19E-2</v>
      </c>
      <c r="CH129" s="337">
        <f t="shared" si="58"/>
        <v>40068.306011000001</v>
      </c>
      <c r="CL129" s="335">
        <f t="shared" si="46"/>
        <v>37441</v>
      </c>
      <c r="CM129" s="345">
        <v>37448</v>
      </c>
      <c r="CN129" s="317">
        <f t="shared" si="59"/>
        <v>7</v>
      </c>
      <c r="CO129" s="347">
        <v>1.09E-2</v>
      </c>
      <c r="CP129" s="347"/>
      <c r="CQ129" s="347"/>
      <c r="CR129" s="347"/>
      <c r="CS129" s="347"/>
      <c r="CT129" s="347"/>
      <c r="CU129" s="347"/>
      <c r="CV129" s="337">
        <f t="shared" si="65"/>
        <v>17420.439726000001</v>
      </c>
    </row>
    <row r="130" spans="1:101" hidden="1" x14ac:dyDescent="0.25">
      <c r="A130" s="335">
        <f t="shared" si="47"/>
        <v>34568</v>
      </c>
      <c r="B130" s="335">
        <v>34569</v>
      </c>
      <c r="C130" s="317">
        <f t="shared" si="39"/>
        <v>1</v>
      </c>
      <c r="E130" s="339">
        <v>3.0790000000000001E-2</v>
      </c>
      <c r="F130" s="339">
        <f>ROUND(((F129*SUM($C$10:C129))+(E130*C130))/SUM($C$10:C130),5)</f>
        <v>2.5440000000000001E-2</v>
      </c>
      <c r="G130" s="351">
        <v>78.5</v>
      </c>
      <c r="I130" s="335">
        <f t="shared" si="48"/>
        <v>34486</v>
      </c>
      <c r="J130" s="335">
        <v>34487</v>
      </c>
      <c r="K130" s="317">
        <f t="shared" si="40"/>
        <v>1</v>
      </c>
      <c r="M130" s="336">
        <v>3.0079999999999999E-2</v>
      </c>
      <c r="N130" s="339">
        <f>ROUND(((N129*SUM($K$10:K129))+(M130*K130))/SUM($K$10:K130),5)</f>
        <v>2.5000000000000001E-2</v>
      </c>
      <c r="O130" s="317">
        <v>79.5</v>
      </c>
      <c r="Q130" s="335">
        <f t="shared" si="49"/>
        <v>35003</v>
      </c>
      <c r="R130" s="353">
        <v>35011</v>
      </c>
      <c r="S130" s="317">
        <f t="shared" si="41"/>
        <v>8</v>
      </c>
      <c r="U130" s="339">
        <v>3.798E-2</v>
      </c>
      <c r="V130" s="339">
        <f>ROUND(((V129*SUM($S$10:S129))+(U130*S130))/SUM($S$10:S130),5)</f>
        <v>3.2629999999999999E-2</v>
      </c>
      <c r="W130" s="316">
        <v>86.2</v>
      </c>
      <c r="Y130" s="335">
        <f t="shared" si="50"/>
        <v>36999</v>
      </c>
      <c r="Z130" s="345">
        <v>37020</v>
      </c>
      <c r="AA130" s="317">
        <f t="shared" si="42"/>
        <v>21</v>
      </c>
      <c r="AC130" s="346">
        <v>4.6358000000000003E-2</v>
      </c>
      <c r="AD130" s="339">
        <f>ROUND(((AD129*SUM($AA$10:AA129))+(AC130*AA130))/SUM($AA$10:AA130),5)</f>
        <v>3.773E-2</v>
      </c>
      <c r="AE130" s="348">
        <v>60.93</v>
      </c>
      <c r="AH130" s="345"/>
      <c r="AQ130" s="317">
        <f t="shared" si="62"/>
        <v>0</v>
      </c>
      <c r="AS130" s="346"/>
      <c r="AT130" s="339">
        <f>ROUND(((AT129*SUM($AQ$10:AQ129))+(AS130*AQ130))/SUM($AQ$10:AQ130),5)</f>
        <v>-1.5E-3</v>
      </c>
      <c r="BB130" s="352"/>
      <c r="BC130" s="348"/>
      <c r="BE130" s="335">
        <f t="shared" si="44"/>
        <v>34578</v>
      </c>
      <c r="BF130" s="335">
        <v>34583</v>
      </c>
      <c r="BG130" s="317">
        <f t="shared" si="33"/>
        <v>5</v>
      </c>
      <c r="BH130" s="339">
        <v>3.1600000000000003E-2</v>
      </c>
      <c r="BI130" s="337">
        <f t="shared" si="56"/>
        <v>12986.3</v>
      </c>
      <c r="BK130" s="341"/>
      <c r="BL130" s="341"/>
      <c r="BM130" s="341"/>
      <c r="BO130" s="335">
        <f t="shared" si="45"/>
        <v>36531</v>
      </c>
      <c r="BP130" s="345">
        <v>36538</v>
      </c>
      <c r="BQ130" s="317">
        <f t="shared" si="63"/>
        <v>7</v>
      </c>
      <c r="BR130" s="346">
        <v>2.93E-2</v>
      </c>
      <c r="BS130" s="337">
        <f t="shared" ref="BS130:BS165" si="66">ROUND($BS$5*BR130*BQ130/366,2)</f>
        <v>9526.5</v>
      </c>
      <c r="BW130" s="335">
        <f t="shared" si="55"/>
        <v>36755</v>
      </c>
      <c r="BX130" s="345">
        <v>36762</v>
      </c>
      <c r="BY130" s="317">
        <f t="shared" si="35"/>
        <v>7</v>
      </c>
      <c r="BZ130" s="346">
        <v>4.19E-2</v>
      </c>
      <c r="CA130" s="337">
        <f t="shared" si="61"/>
        <v>40068.306011000001</v>
      </c>
      <c r="CD130" s="335">
        <f t="shared" si="53"/>
        <v>36755</v>
      </c>
      <c r="CE130" s="345">
        <v>36762</v>
      </c>
      <c r="CF130" s="317">
        <f t="shared" si="37"/>
        <v>7</v>
      </c>
      <c r="CG130" s="346">
        <v>4.19E-2</v>
      </c>
      <c r="CH130" s="337">
        <f t="shared" si="58"/>
        <v>40068.306011000001</v>
      </c>
      <c r="CL130" s="335">
        <f t="shared" si="46"/>
        <v>37448</v>
      </c>
      <c r="CM130" s="345">
        <v>37455</v>
      </c>
      <c r="CN130" s="317">
        <f t="shared" si="59"/>
        <v>7</v>
      </c>
      <c r="CO130" s="347">
        <v>1.2200000000000001E-2</v>
      </c>
      <c r="CP130" s="347"/>
      <c r="CQ130" s="347"/>
      <c r="CR130" s="347"/>
      <c r="CS130" s="347"/>
      <c r="CT130" s="347"/>
      <c r="CU130" s="347"/>
      <c r="CV130" s="337">
        <f t="shared" si="65"/>
        <v>19498.106849</v>
      </c>
    </row>
    <row r="131" spans="1:101" hidden="1" x14ac:dyDescent="0.25">
      <c r="A131" s="335">
        <f t="shared" si="47"/>
        <v>34569</v>
      </c>
      <c r="B131" s="335">
        <v>34570</v>
      </c>
      <c r="C131" s="317">
        <f t="shared" si="39"/>
        <v>1</v>
      </c>
      <c r="E131" s="339">
        <v>3.0880000000000001E-2</v>
      </c>
      <c r="F131" s="339">
        <f>ROUND(((F130*SUM($C$10:C130))+(E131*C131))/SUM($C$10:C131),5)</f>
        <v>2.545E-2</v>
      </c>
      <c r="G131" s="351">
        <v>77.5</v>
      </c>
      <c r="I131" s="335">
        <f t="shared" si="48"/>
        <v>34487</v>
      </c>
      <c r="J131" s="335">
        <v>34493</v>
      </c>
      <c r="K131" s="317">
        <f t="shared" si="40"/>
        <v>6</v>
      </c>
      <c r="M131" s="336">
        <v>3.031E-2</v>
      </c>
      <c r="N131" s="339">
        <f>ROUND(((N130*SUM($K$10:K130))+(M131*K131))/SUM($K$10:K131),5)</f>
        <v>2.5049999999999999E-2</v>
      </c>
      <c r="O131" s="317">
        <v>81.599999999999994</v>
      </c>
      <c r="Q131" s="335">
        <f t="shared" si="49"/>
        <v>35011</v>
      </c>
      <c r="R131" s="353">
        <v>35012</v>
      </c>
      <c r="S131" s="317">
        <f t="shared" si="41"/>
        <v>1</v>
      </c>
      <c r="U131" s="339">
        <v>3.8039999999999997E-2</v>
      </c>
      <c r="V131" s="339">
        <f>ROUND(((V130*SUM($S$10:S130))+(U131*S131))/SUM($S$10:S131),5)</f>
        <v>3.2640000000000002E-2</v>
      </c>
      <c r="W131" s="316">
        <v>81.2</v>
      </c>
      <c r="Y131" s="335">
        <f t="shared" si="50"/>
        <v>37020</v>
      </c>
      <c r="Z131" s="345">
        <v>37053</v>
      </c>
      <c r="AA131" s="317">
        <f t="shared" si="42"/>
        <v>33</v>
      </c>
      <c r="AC131" s="346">
        <v>4.0747999999999999E-2</v>
      </c>
      <c r="AD131" s="339">
        <f>ROUND(((AD130*SUM($AA$10:AA130))+(AC131*AA131))/SUM($AA$10:AA131),5)</f>
        <v>3.7789999999999997E-2</v>
      </c>
      <c r="AE131" s="348">
        <v>77.599999999999994</v>
      </c>
      <c r="AH131" s="345"/>
      <c r="AQ131" s="317">
        <f t="shared" si="62"/>
        <v>0</v>
      </c>
      <c r="AS131" s="346"/>
      <c r="AT131" s="339">
        <f>ROUND(((AT130*SUM($AQ$10:AQ130))+(AS131*AQ131))/SUM($AQ$10:AQ131),5)</f>
        <v>-1.5E-3</v>
      </c>
      <c r="BB131" s="352"/>
      <c r="BC131" s="348"/>
      <c r="BE131" s="335">
        <f t="shared" si="44"/>
        <v>34583</v>
      </c>
      <c r="BF131" s="335">
        <v>34590</v>
      </c>
      <c r="BG131" s="317">
        <f t="shared" si="33"/>
        <v>7</v>
      </c>
      <c r="BH131" s="339">
        <v>3.1E-2</v>
      </c>
      <c r="BI131" s="337">
        <f t="shared" si="56"/>
        <v>17835.62</v>
      </c>
      <c r="BK131" s="341"/>
      <c r="BL131" s="341"/>
      <c r="BM131" s="341"/>
      <c r="BO131" s="335">
        <f t="shared" si="45"/>
        <v>36538</v>
      </c>
      <c r="BP131" s="345">
        <v>36545</v>
      </c>
      <c r="BQ131" s="317">
        <f t="shared" si="63"/>
        <v>7</v>
      </c>
      <c r="BR131" s="346">
        <v>2.9700000000000001E-2</v>
      </c>
      <c r="BS131" s="337">
        <f t="shared" si="66"/>
        <v>9656.56</v>
      </c>
      <c r="BW131" s="335">
        <f t="shared" si="55"/>
        <v>36762</v>
      </c>
      <c r="BX131" s="345">
        <v>36769</v>
      </c>
      <c r="BY131" s="317">
        <f t="shared" si="35"/>
        <v>7</v>
      </c>
      <c r="BZ131" s="346">
        <v>4.19E-2</v>
      </c>
      <c r="CA131" s="337">
        <f t="shared" si="61"/>
        <v>40068.306011000001</v>
      </c>
      <c r="CD131" s="335">
        <f t="shared" si="53"/>
        <v>36762</v>
      </c>
      <c r="CE131" s="345">
        <v>36769</v>
      </c>
      <c r="CF131" s="317">
        <f t="shared" si="37"/>
        <v>7</v>
      </c>
      <c r="CG131" s="346">
        <v>4.19E-2</v>
      </c>
      <c r="CH131" s="337">
        <f t="shared" si="58"/>
        <v>40068.306011000001</v>
      </c>
      <c r="CL131" s="335">
        <f t="shared" si="46"/>
        <v>37455</v>
      </c>
      <c r="CM131" s="345">
        <v>37462</v>
      </c>
      <c r="CN131" s="317">
        <f t="shared" si="59"/>
        <v>7</v>
      </c>
      <c r="CO131" s="347">
        <v>1.3299999999999999E-2</v>
      </c>
      <c r="CP131" s="347"/>
      <c r="CQ131" s="347"/>
      <c r="CR131" s="347"/>
      <c r="CS131" s="347"/>
      <c r="CT131" s="347"/>
      <c r="CU131" s="347"/>
      <c r="CV131" s="337">
        <f t="shared" si="65"/>
        <v>21256.132877</v>
      </c>
    </row>
    <row r="132" spans="1:101" hidden="1" x14ac:dyDescent="0.25">
      <c r="A132" s="335">
        <f t="shared" si="47"/>
        <v>34570</v>
      </c>
      <c r="B132" s="335">
        <v>34589</v>
      </c>
      <c r="C132" s="317">
        <f t="shared" si="39"/>
        <v>19</v>
      </c>
      <c r="E132" s="339">
        <v>3.0890000000000001E-2</v>
      </c>
      <c r="F132" s="339">
        <f>ROUND(((F131*SUM($C$10:C131))+(E132*C132))/SUM($C$10:C132),5)</f>
        <v>2.5590000000000002E-2</v>
      </c>
      <c r="G132" s="351">
        <v>77.2</v>
      </c>
      <c r="I132" s="335">
        <f t="shared" si="48"/>
        <v>34493</v>
      </c>
      <c r="J132" s="335">
        <v>34494</v>
      </c>
      <c r="K132" s="317">
        <f t="shared" si="40"/>
        <v>1</v>
      </c>
      <c r="M132" s="336">
        <v>3.032E-2</v>
      </c>
      <c r="N132" s="339">
        <f>ROUND(((N131*SUM($K$10:K131))+(M132*K132))/SUM($K$10:K132),5)</f>
        <v>2.5059999999999999E-2</v>
      </c>
      <c r="O132" s="317">
        <v>81.7</v>
      </c>
      <c r="Q132" s="335">
        <f t="shared" si="49"/>
        <v>35012</v>
      </c>
      <c r="R132" s="353">
        <v>35016</v>
      </c>
      <c r="S132" s="317">
        <f t="shared" si="41"/>
        <v>4</v>
      </c>
      <c r="U132" s="339">
        <v>3.8059999999999997E-2</v>
      </c>
      <c r="V132" s="339">
        <f>ROUND(((V131*SUM($S$10:S131))+(U132*S132))/SUM($S$10:S132),5)</f>
        <v>3.2669999999999998E-2</v>
      </c>
      <c r="W132" s="351">
        <v>82</v>
      </c>
      <c r="Y132" s="335">
        <f t="shared" si="50"/>
        <v>37053</v>
      </c>
      <c r="Z132" s="345">
        <v>37082</v>
      </c>
      <c r="AA132" s="317">
        <f t="shared" si="42"/>
        <v>29</v>
      </c>
      <c r="AC132" s="346">
        <v>3.9737000000000001E-2</v>
      </c>
      <c r="AD132" s="339">
        <f>ROUND(((AD131*SUM($AA$10:AA131))+(AC132*AA132))/SUM($AA$10:AA132),5)</f>
        <v>3.7819999999999999E-2</v>
      </c>
      <c r="AE132" s="348">
        <v>77.069999999999993</v>
      </c>
      <c r="AH132" s="345"/>
      <c r="AQ132" s="317">
        <f t="shared" si="62"/>
        <v>0</v>
      </c>
      <c r="AS132" s="346"/>
      <c r="AT132" s="339">
        <f>ROUND(((AT131*SUM($AQ$10:AQ131))+(AS132*AQ132))/SUM($AQ$10:AQ132),5)</f>
        <v>-1.5E-3</v>
      </c>
      <c r="BB132" s="352"/>
      <c r="BC132" s="348"/>
      <c r="BE132" s="335">
        <f t="shared" si="44"/>
        <v>34590</v>
      </c>
      <c r="BF132" s="335">
        <v>34597</v>
      </c>
      <c r="BG132" s="317">
        <f t="shared" si="33"/>
        <v>7</v>
      </c>
      <c r="BH132" s="339">
        <v>3.1200000000000002E-2</v>
      </c>
      <c r="BI132" s="337">
        <f t="shared" si="56"/>
        <v>17950.68</v>
      </c>
      <c r="BK132" s="341"/>
      <c r="BL132" s="341"/>
      <c r="BM132" s="341"/>
      <c r="BO132" s="335">
        <f t="shared" si="45"/>
        <v>36545</v>
      </c>
      <c r="BP132" s="345">
        <v>36552</v>
      </c>
      <c r="BQ132" s="317">
        <f t="shared" si="63"/>
        <v>7</v>
      </c>
      <c r="BR132" s="346">
        <v>3.1699999999999999E-2</v>
      </c>
      <c r="BS132" s="337">
        <f t="shared" si="66"/>
        <v>10306.83</v>
      </c>
      <c r="BW132" s="335">
        <f t="shared" si="55"/>
        <v>36769</v>
      </c>
      <c r="BX132" s="345">
        <v>36770</v>
      </c>
      <c r="BY132" s="317">
        <f t="shared" si="35"/>
        <v>1</v>
      </c>
      <c r="BZ132" s="346">
        <v>4.2299999999999997E-2</v>
      </c>
      <c r="CA132" s="337">
        <f t="shared" si="61"/>
        <v>5778.6885249999996</v>
      </c>
      <c r="CB132" s="341">
        <f>SUM(CA127:CA132)</f>
        <v>175696.72131200001</v>
      </c>
      <c r="CD132" s="335">
        <f t="shared" si="53"/>
        <v>36769</v>
      </c>
      <c r="CE132" s="345">
        <v>36770</v>
      </c>
      <c r="CF132" s="317">
        <f t="shared" si="37"/>
        <v>1</v>
      </c>
      <c r="CG132" s="346">
        <v>4.2299999999999997E-2</v>
      </c>
      <c r="CH132" s="337">
        <f t="shared" si="58"/>
        <v>5778.6885249999996</v>
      </c>
      <c r="CI132" s="341">
        <f>SUM(CH127:CH132)</f>
        <v>175696.72131200001</v>
      </c>
      <c r="CL132" s="335">
        <f t="shared" si="46"/>
        <v>37462</v>
      </c>
      <c r="CM132" s="345">
        <v>37469</v>
      </c>
      <c r="CN132" s="317">
        <f t="shared" si="59"/>
        <v>7</v>
      </c>
      <c r="CO132" s="347">
        <v>1.44E-2</v>
      </c>
      <c r="CP132" s="347"/>
      <c r="CQ132" s="347"/>
      <c r="CR132" s="347"/>
      <c r="CS132" s="347"/>
      <c r="CT132" s="347"/>
      <c r="CU132" s="347"/>
      <c r="CV132" s="337">
        <f t="shared" si="65"/>
        <v>23014.158904</v>
      </c>
      <c r="CW132" s="341">
        <f>SUM(CV128:CV132)</f>
        <v>89613.664382999996</v>
      </c>
    </row>
    <row r="133" spans="1:101" hidden="1" x14ac:dyDescent="0.25">
      <c r="A133" s="335">
        <f t="shared" si="47"/>
        <v>34589</v>
      </c>
      <c r="B133" s="335">
        <v>34591</v>
      </c>
      <c r="C133" s="317">
        <f t="shared" si="39"/>
        <v>2</v>
      </c>
      <c r="E133" s="339">
        <v>3.0589999999999999E-2</v>
      </c>
      <c r="F133" s="339">
        <f>ROUND(((F132*SUM($C$10:C132))+(E133*C133))/SUM($C$10:C133),5)</f>
        <v>2.5600000000000001E-2</v>
      </c>
      <c r="G133" s="351">
        <v>73.3</v>
      </c>
      <c r="I133" s="335">
        <f t="shared" si="48"/>
        <v>34494</v>
      </c>
      <c r="J133" s="335">
        <v>34498</v>
      </c>
      <c r="K133" s="317">
        <f t="shared" si="40"/>
        <v>4</v>
      </c>
      <c r="M133" s="336">
        <v>3.0290000000000001E-2</v>
      </c>
      <c r="N133" s="339">
        <f>ROUND(((N132*SUM($K$10:K132))+(M133*K133))/SUM($K$10:K133),5)</f>
        <v>2.5090000000000001E-2</v>
      </c>
      <c r="O133" s="317">
        <v>81.099999999999994</v>
      </c>
      <c r="Q133" s="335">
        <f t="shared" si="49"/>
        <v>35016</v>
      </c>
      <c r="R133" s="353">
        <v>35038</v>
      </c>
      <c r="S133" s="317">
        <f t="shared" si="41"/>
        <v>22</v>
      </c>
      <c r="U133" s="339">
        <v>3.807E-2</v>
      </c>
      <c r="V133" s="339">
        <f>ROUND(((V132*SUM($S$10:S132))+(U133*S133))/SUM($S$10:S133),5)</f>
        <v>3.2809999999999999E-2</v>
      </c>
      <c r="W133" s="351">
        <v>85.9</v>
      </c>
      <c r="Y133" s="335">
        <f t="shared" si="50"/>
        <v>37082</v>
      </c>
      <c r="Z133" s="345">
        <v>37117</v>
      </c>
      <c r="AA133" s="317">
        <f t="shared" si="42"/>
        <v>35</v>
      </c>
      <c r="AC133" s="346">
        <v>3.5271999999999998E-2</v>
      </c>
      <c r="AD133" s="339">
        <f>ROUND(((AD132*SUM($AA$10:AA132))+(AC133*AA133))/SUM($AA$10:AA133),5)</f>
        <v>3.7769999999999998E-2</v>
      </c>
      <c r="AE133" s="348">
        <v>97.07</v>
      </c>
      <c r="AH133" s="345"/>
      <c r="AQ133" s="317">
        <f t="shared" si="62"/>
        <v>0</v>
      </c>
      <c r="AS133" s="346"/>
      <c r="AT133" s="339">
        <f>ROUND(((AT132*SUM($AQ$10:AQ132))+(AS133*AQ133))/SUM($AQ$10:AQ133),5)</f>
        <v>-1.5E-3</v>
      </c>
      <c r="BB133" s="352"/>
      <c r="BC133" s="348"/>
      <c r="BE133" s="335">
        <f t="shared" si="44"/>
        <v>34597</v>
      </c>
      <c r="BF133" s="335">
        <v>34604</v>
      </c>
      <c r="BG133" s="317">
        <f t="shared" si="33"/>
        <v>7</v>
      </c>
      <c r="BH133" s="339">
        <v>3.3300000000000003E-2</v>
      </c>
      <c r="BI133" s="337">
        <f t="shared" si="56"/>
        <v>19158.900000000001</v>
      </c>
      <c r="BK133" s="341"/>
      <c r="BL133" s="341"/>
      <c r="BM133" s="341"/>
      <c r="BO133" s="335">
        <f t="shared" si="45"/>
        <v>36552</v>
      </c>
      <c r="BP133" s="345">
        <v>36557</v>
      </c>
      <c r="BQ133" s="317">
        <f t="shared" si="63"/>
        <v>5</v>
      </c>
      <c r="BR133" s="346">
        <v>3.2000000000000001E-2</v>
      </c>
      <c r="BS133" s="337">
        <f t="shared" si="66"/>
        <v>7431.69</v>
      </c>
      <c r="BT133" s="341">
        <f>SUM(BS129:BS133)</f>
        <v>49601.91</v>
      </c>
      <c r="BW133" s="335">
        <f t="shared" si="55"/>
        <v>36770</v>
      </c>
      <c r="BX133" s="345">
        <v>36776</v>
      </c>
      <c r="BY133" s="317">
        <f t="shared" si="35"/>
        <v>6</v>
      </c>
      <c r="BZ133" s="346">
        <v>4.2299999999999997E-2</v>
      </c>
      <c r="CA133" s="337">
        <f t="shared" si="61"/>
        <v>34672.131148</v>
      </c>
      <c r="CD133" s="335">
        <f t="shared" si="53"/>
        <v>36770</v>
      </c>
      <c r="CE133" s="345">
        <v>36776</v>
      </c>
      <c r="CF133" s="317">
        <f t="shared" si="37"/>
        <v>6</v>
      </c>
      <c r="CG133" s="346">
        <v>4.2299999999999997E-2</v>
      </c>
      <c r="CH133" s="337">
        <f t="shared" si="58"/>
        <v>34672.131148</v>
      </c>
      <c r="CL133" s="335">
        <f t="shared" si="46"/>
        <v>37469</v>
      </c>
      <c r="CM133" s="345">
        <v>37476</v>
      </c>
      <c r="CN133" s="317">
        <f t="shared" si="59"/>
        <v>7</v>
      </c>
      <c r="CO133" s="347">
        <v>1.3299999999999999E-2</v>
      </c>
      <c r="CP133" s="347"/>
      <c r="CQ133" s="347"/>
      <c r="CR133" s="347"/>
      <c r="CS133" s="347"/>
      <c r="CT133" s="347"/>
      <c r="CU133" s="347"/>
      <c r="CV133" s="337">
        <f t="shared" si="65"/>
        <v>21256.132877</v>
      </c>
    </row>
    <row r="134" spans="1:101" hidden="1" x14ac:dyDescent="0.25">
      <c r="A134" s="335">
        <f t="shared" si="47"/>
        <v>34591</v>
      </c>
      <c r="B134" s="335">
        <v>34611</v>
      </c>
      <c r="C134" s="317">
        <f t="shared" si="39"/>
        <v>20</v>
      </c>
      <c r="E134" s="339">
        <v>3.0669999999999999E-2</v>
      </c>
      <c r="F134" s="339">
        <f>ROUND(((F133*SUM($C$10:C133))+(E134*C134))/SUM($C$10:C134),5)</f>
        <v>2.5739999999999999E-2</v>
      </c>
      <c r="G134" s="351">
        <v>74.2</v>
      </c>
      <c r="I134" s="335">
        <f t="shared" si="48"/>
        <v>34498</v>
      </c>
      <c r="J134" s="335">
        <v>34502</v>
      </c>
      <c r="K134" s="317">
        <f t="shared" si="40"/>
        <v>4</v>
      </c>
      <c r="M134" s="336">
        <v>3.0329999999999999E-2</v>
      </c>
      <c r="N134" s="339">
        <f>ROUND(((N133*SUM($K$10:K133))+(M134*K134))/SUM($K$10:K134),5)</f>
        <v>2.512E-2</v>
      </c>
      <c r="O134" s="340">
        <v>81</v>
      </c>
      <c r="Q134" s="335">
        <f t="shared" si="49"/>
        <v>35038</v>
      </c>
      <c r="R134" s="353">
        <v>35041</v>
      </c>
      <c r="S134" s="317">
        <f t="shared" si="41"/>
        <v>3</v>
      </c>
      <c r="U134" s="339">
        <v>3.8059999999999997E-2</v>
      </c>
      <c r="V134" s="339">
        <f>ROUND(((V133*SUM($S$10:S133))+(U134*S134))/SUM($S$10:S134),5)</f>
        <v>3.2829999999999998E-2</v>
      </c>
      <c r="W134" s="351">
        <v>85.6</v>
      </c>
      <c r="Y134" s="335">
        <f t="shared" si="50"/>
        <v>37117</v>
      </c>
      <c r="Z134" s="345">
        <v>37138</v>
      </c>
      <c r="AA134" s="317">
        <f t="shared" si="42"/>
        <v>21</v>
      </c>
      <c r="AC134" s="346">
        <v>3.1548E-2</v>
      </c>
      <c r="AD134" s="339">
        <f>ROUND(((AD133*SUM($AA$10:AA133))+(AC134*AA134))/SUM($AA$10:AA134),5)</f>
        <v>3.7699999999999997E-2</v>
      </c>
      <c r="AE134" s="348">
        <v>77.67</v>
      </c>
      <c r="AH134" s="345"/>
      <c r="AQ134" s="317">
        <f t="shared" si="62"/>
        <v>0</v>
      </c>
      <c r="AS134" s="346"/>
      <c r="AT134" s="339">
        <f>ROUND(((AT133*SUM($AQ$10:AQ133))+(AS134*AQ134))/SUM($AQ$10:AQ134),5)</f>
        <v>-1.5E-3</v>
      </c>
      <c r="BB134" s="352"/>
      <c r="BC134" s="348"/>
      <c r="BE134" s="335">
        <f t="shared" si="44"/>
        <v>34604</v>
      </c>
      <c r="BF134" s="335">
        <v>34608</v>
      </c>
      <c r="BG134" s="317">
        <f t="shared" si="33"/>
        <v>4</v>
      </c>
      <c r="BH134" s="339">
        <v>3.7400000000000003E-2</v>
      </c>
      <c r="BI134" s="337">
        <f t="shared" si="56"/>
        <v>12295.89</v>
      </c>
      <c r="BJ134" s="341">
        <f>SUM(BI130:BI134)</f>
        <v>80227.39</v>
      </c>
      <c r="BK134" s="341">
        <v>76200.070000000007</v>
      </c>
      <c r="BL134" s="341">
        <f>BJ134-BK134</f>
        <v>4027.3199999999924</v>
      </c>
      <c r="BM134" s="341">
        <f>BM129+BL134</f>
        <v>-25910.859999999997</v>
      </c>
      <c r="BO134" s="335">
        <f t="shared" si="45"/>
        <v>36557</v>
      </c>
      <c r="BP134" s="345">
        <v>36559</v>
      </c>
      <c r="BQ134" s="317">
        <f t="shared" si="63"/>
        <v>2</v>
      </c>
      <c r="BR134" s="346">
        <v>3.2000000000000001E-2</v>
      </c>
      <c r="BS134" s="337">
        <f t="shared" si="66"/>
        <v>2972.68</v>
      </c>
      <c r="BW134" s="335">
        <f t="shared" si="55"/>
        <v>36776</v>
      </c>
      <c r="BX134" s="345">
        <v>36783</v>
      </c>
      <c r="BY134" s="317">
        <f t="shared" si="35"/>
        <v>7</v>
      </c>
      <c r="BZ134" s="346">
        <v>3.8800000000000001E-2</v>
      </c>
      <c r="CA134" s="337">
        <f t="shared" si="61"/>
        <v>37103.825137</v>
      </c>
      <c r="CD134" s="335">
        <f t="shared" si="53"/>
        <v>36776</v>
      </c>
      <c r="CE134" s="345">
        <v>36783</v>
      </c>
      <c r="CF134" s="317">
        <f t="shared" si="37"/>
        <v>7</v>
      </c>
      <c r="CG134" s="347">
        <v>3.8800000000000001E-2</v>
      </c>
      <c r="CH134" s="337">
        <f t="shared" si="58"/>
        <v>37103.825137</v>
      </c>
      <c r="CL134" s="335">
        <f t="shared" si="46"/>
        <v>37476</v>
      </c>
      <c r="CM134" s="345">
        <v>37483</v>
      </c>
      <c r="CN134" s="317">
        <f t="shared" si="59"/>
        <v>7</v>
      </c>
      <c r="CO134" s="347">
        <v>1.21E-2</v>
      </c>
      <c r="CP134" s="347"/>
      <c r="CQ134" s="347"/>
      <c r="CR134" s="347"/>
      <c r="CS134" s="347"/>
      <c r="CT134" s="347"/>
      <c r="CU134" s="347"/>
      <c r="CV134" s="337">
        <f t="shared" si="65"/>
        <v>19338.286301</v>
      </c>
    </row>
    <row r="135" spans="1:101" hidden="1" x14ac:dyDescent="0.25">
      <c r="A135" s="335">
        <f t="shared" si="47"/>
        <v>34611</v>
      </c>
      <c r="B135" s="335">
        <v>34613</v>
      </c>
      <c r="C135" s="317">
        <f t="shared" si="39"/>
        <v>2</v>
      </c>
      <c r="E135" s="339">
        <v>3.0870000000000002E-2</v>
      </c>
      <c r="F135" s="339">
        <f>ROUND(((F134*SUM($C$10:C134))+(E135*C135))/SUM($C$10:C135),5)</f>
        <v>2.5749999999999999E-2</v>
      </c>
      <c r="G135" s="351">
        <v>73.7</v>
      </c>
      <c r="I135" s="335">
        <f t="shared" si="48"/>
        <v>34502</v>
      </c>
      <c r="J135" s="335">
        <v>34505</v>
      </c>
      <c r="K135" s="317">
        <f t="shared" si="40"/>
        <v>3</v>
      </c>
      <c r="M135" s="336">
        <v>3.0500000000000003E-2</v>
      </c>
      <c r="N135" s="339">
        <f>ROUND(((N134*SUM($K$10:K134))+(M135*K135))/SUM($K$10:K135),5)</f>
        <v>2.5149999999999999E-2</v>
      </c>
      <c r="O135" s="340">
        <v>79.099999999999994</v>
      </c>
      <c r="Q135" s="335">
        <f t="shared" si="49"/>
        <v>35041</v>
      </c>
      <c r="R135" s="353">
        <v>35046</v>
      </c>
      <c r="S135" s="317">
        <f t="shared" si="41"/>
        <v>5</v>
      </c>
      <c r="U135" s="339">
        <v>3.8080000000000003E-2</v>
      </c>
      <c r="V135" s="339">
        <f>ROUND(((V134*SUM($S$10:S134))+(U135*S135))/SUM($S$10:S135),5)</f>
        <v>3.286E-2</v>
      </c>
      <c r="W135" s="351">
        <v>83.8</v>
      </c>
      <c r="Y135" s="335">
        <f t="shared" si="50"/>
        <v>37138</v>
      </c>
      <c r="Z135" s="345"/>
      <c r="AA135" s="317">
        <f t="shared" si="42"/>
        <v>-37138</v>
      </c>
      <c r="AC135" s="346"/>
      <c r="AD135" s="339">
        <f>ROUND(((AD134*SUM($AA$10:AA134))+(AC135*AA135))/SUM($AA$10:AA135),5)</f>
        <v>-1.92E-3</v>
      </c>
      <c r="AE135" s="348"/>
      <c r="AH135" s="345"/>
      <c r="AQ135" s="317">
        <f t="shared" si="62"/>
        <v>0</v>
      </c>
      <c r="AS135" s="346"/>
      <c r="BB135" s="352"/>
      <c r="BC135" s="348"/>
      <c r="BE135" s="335">
        <f t="shared" si="44"/>
        <v>34608</v>
      </c>
      <c r="BF135" s="335">
        <v>34611</v>
      </c>
      <c r="BG135" s="317">
        <f t="shared" si="33"/>
        <v>3</v>
      </c>
      <c r="BH135" s="339">
        <v>3.7400000000000003E-2</v>
      </c>
      <c r="BI135" s="337">
        <f t="shared" si="56"/>
        <v>9221.92</v>
      </c>
      <c r="BK135" s="341"/>
      <c r="BL135" s="341"/>
      <c r="BM135" s="341"/>
      <c r="BO135" s="335">
        <f t="shared" si="45"/>
        <v>36559</v>
      </c>
      <c r="BP135" s="345">
        <v>36566</v>
      </c>
      <c r="BQ135" s="317">
        <f t="shared" si="63"/>
        <v>7</v>
      </c>
      <c r="BR135" s="346">
        <v>2.9700000000000001E-2</v>
      </c>
      <c r="BS135" s="337">
        <f t="shared" si="66"/>
        <v>9656.56</v>
      </c>
      <c r="BW135" s="335">
        <f t="shared" si="55"/>
        <v>36783</v>
      </c>
      <c r="BX135" s="345">
        <v>36790</v>
      </c>
      <c r="BY135" s="317">
        <f t="shared" si="35"/>
        <v>7</v>
      </c>
      <c r="BZ135" s="346">
        <v>4.1399999999999999E-2</v>
      </c>
      <c r="CA135" s="337">
        <f t="shared" si="61"/>
        <v>39590.163933999997</v>
      </c>
      <c r="CD135" s="335">
        <f t="shared" si="53"/>
        <v>36783</v>
      </c>
      <c r="CE135" s="345">
        <v>36790</v>
      </c>
      <c r="CF135" s="317">
        <f t="shared" si="37"/>
        <v>7</v>
      </c>
      <c r="CG135" s="346">
        <v>4.1399999999999999E-2</v>
      </c>
      <c r="CH135" s="337">
        <f t="shared" si="58"/>
        <v>39590.163933999997</v>
      </c>
      <c r="CL135" s="335">
        <f t="shared" si="46"/>
        <v>37483</v>
      </c>
      <c r="CM135" s="345">
        <v>37490</v>
      </c>
      <c r="CN135" s="317">
        <f t="shared" si="59"/>
        <v>7</v>
      </c>
      <c r="CO135" s="347">
        <v>1.3100000000000001E-2</v>
      </c>
      <c r="CP135" s="347"/>
      <c r="CQ135" s="347"/>
      <c r="CR135" s="347"/>
      <c r="CS135" s="347"/>
      <c r="CT135" s="347"/>
      <c r="CU135" s="347"/>
      <c r="CV135" s="337">
        <f t="shared" si="65"/>
        <v>20936.491781000001</v>
      </c>
    </row>
    <row r="136" spans="1:101" hidden="1" x14ac:dyDescent="0.25">
      <c r="A136" s="335">
        <f t="shared" si="47"/>
        <v>34613</v>
      </c>
      <c r="B136" s="335">
        <v>34633</v>
      </c>
      <c r="C136" s="317">
        <f t="shared" si="39"/>
        <v>20</v>
      </c>
      <c r="E136" s="339">
        <v>3.159E-2</v>
      </c>
      <c r="F136" s="339">
        <f>ROUND(((F135*SUM($C$10:C135))+(E136*C136))/SUM($C$10:C136),5)</f>
        <v>2.5899999999999999E-2</v>
      </c>
      <c r="G136" s="351">
        <v>81.099999999999994</v>
      </c>
      <c r="I136" s="335">
        <f t="shared" si="48"/>
        <v>34505</v>
      </c>
      <c r="J136" s="335">
        <v>34506</v>
      </c>
      <c r="K136" s="317">
        <f t="shared" si="40"/>
        <v>1</v>
      </c>
      <c r="M136" s="336">
        <v>3.0500000000000003E-2</v>
      </c>
      <c r="N136" s="339">
        <f>ROUND(((N135*SUM($K$10:K135))+(M136*K136))/SUM($K$10:K136),5)</f>
        <v>2.5159999999999998E-2</v>
      </c>
      <c r="O136" s="340">
        <v>79.099999999999994</v>
      </c>
      <c r="Q136" s="335">
        <f t="shared" si="49"/>
        <v>35046</v>
      </c>
      <c r="R136" s="353">
        <v>35052</v>
      </c>
      <c r="S136" s="317">
        <f t="shared" si="41"/>
        <v>6</v>
      </c>
      <c r="U136" s="339">
        <v>3.798E-2</v>
      </c>
      <c r="V136" s="339">
        <f>ROUND(((V135*SUM($S$10:S135))+(U136*S136))/SUM($S$10:S136),5)</f>
        <v>3.2899999999999999E-2</v>
      </c>
      <c r="W136" s="351">
        <v>80.5</v>
      </c>
      <c r="Y136" s="335">
        <f t="shared" si="50"/>
        <v>0</v>
      </c>
      <c r="Z136" s="345"/>
      <c r="AA136" s="317">
        <f t="shared" si="42"/>
        <v>0</v>
      </c>
      <c r="AC136" s="346"/>
      <c r="AD136" s="339">
        <f>ROUND(((AD135*SUM($AA$10:AA135))+(AC136*AA136))/SUM($AA$10:AA136),5)</f>
        <v>-1.92E-3</v>
      </c>
      <c r="AE136" s="348"/>
      <c r="AH136" s="345"/>
      <c r="AQ136" s="317">
        <f t="shared" si="62"/>
        <v>0</v>
      </c>
      <c r="AS136" s="346"/>
      <c r="BB136" s="352"/>
      <c r="BC136" s="348"/>
      <c r="BE136" s="335">
        <f t="shared" si="44"/>
        <v>34611</v>
      </c>
      <c r="BF136" s="335">
        <v>34618</v>
      </c>
      <c r="BG136" s="317">
        <f t="shared" si="33"/>
        <v>7</v>
      </c>
      <c r="BH136" s="339">
        <v>3.2000000000000001E-2</v>
      </c>
      <c r="BI136" s="337">
        <f t="shared" si="56"/>
        <v>18410.96</v>
      </c>
      <c r="BK136" s="341"/>
      <c r="BL136" s="341"/>
      <c r="BM136" s="341"/>
      <c r="BO136" s="335">
        <f t="shared" si="45"/>
        <v>36566</v>
      </c>
      <c r="BP136" s="345">
        <v>36573</v>
      </c>
      <c r="BQ136" s="317">
        <f t="shared" si="63"/>
        <v>7</v>
      </c>
      <c r="BR136" s="346">
        <v>3.5299999999999998E-2</v>
      </c>
      <c r="BS136" s="337">
        <f t="shared" si="66"/>
        <v>11477.32</v>
      </c>
      <c r="BW136" s="335">
        <f t="shared" si="55"/>
        <v>36790</v>
      </c>
      <c r="BX136" s="345">
        <v>36797</v>
      </c>
      <c r="BY136" s="317">
        <f t="shared" si="35"/>
        <v>7</v>
      </c>
      <c r="BZ136" s="346">
        <v>4.3400000000000001E-2</v>
      </c>
      <c r="CA136" s="337">
        <f t="shared" si="61"/>
        <v>41502.732239999998</v>
      </c>
      <c r="CB136" s="341" t="s">
        <v>35</v>
      </c>
      <c r="CD136" s="335">
        <f t="shared" si="53"/>
        <v>36790</v>
      </c>
      <c r="CE136" s="345">
        <v>36797</v>
      </c>
      <c r="CF136" s="317">
        <f t="shared" si="37"/>
        <v>7</v>
      </c>
      <c r="CG136" s="346">
        <v>4.3400000000000001E-2</v>
      </c>
      <c r="CH136" s="337">
        <f t="shared" si="58"/>
        <v>41502.732239999998</v>
      </c>
      <c r="CL136" s="335">
        <f t="shared" si="46"/>
        <v>37490</v>
      </c>
      <c r="CM136" s="345">
        <v>37497</v>
      </c>
      <c r="CN136" s="317">
        <f t="shared" si="59"/>
        <v>7</v>
      </c>
      <c r="CO136" s="347">
        <v>1.2800000000000001E-2</v>
      </c>
      <c r="CP136" s="347"/>
      <c r="CQ136" s="347"/>
      <c r="CR136" s="347"/>
      <c r="CS136" s="347"/>
      <c r="CT136" s="347"/>
      <c r="CU136" s="347"/>
      <c r="CV136" s="337">
        <f t="shared" si="65"/>
        <v>20457.030137000002</v>
      </c>
    </row>
    <row r="137" spans="1:101" hidden="1" x14ac:dyDescent="0.25">
      <c r="A137" s="335">
        <f t="shared" si="47"/>
        <v>34633</v>
      </c>
      <c r="B137" s="335">
        <v>34634</v>
      </c>
      <c r="C137" s="317">
        <f t="shared" si="39"/>
        <v>1</v>
      </c>
      <c r="E137" s="339">
        <v>3.2579999999999998E-2</v>
      </c>
      <c r="F137" s="339">
        <f>ROUND(((F136*SUM($C$10:C136))+(E137*C137))/SUM($C$10:C137),5)</f>
        <v>2.5909999999999999E-2</v>
      </c>
      <c r="G137" s="351">
        <v>75.599999999999994</v>
      </c>
      <c r="I137" s="335">
        <f t="shared" si="48"/>
        <v>34506</v>
      </c>
      <c r="J137" s="335">
        <v>34508</v>
      </c>
      <c r="K137" s="317">
        <f t="shared" si="40"/>
        <v>2</v>
      </c>
      <c r="M137" s="336">
        <v>3.0500000000000003E-2</v>
      </c>
      <c r="N137" s="339">
        <f>ROUND(((N136*SUM($K$10:K136))+(M137*K137))/SUM($K$10:K137),5)</f>
        <v>2.5180000000000001E-2</v>
      </c>
      <c r="O137" s="340">
        <v>78.400000000000006</v>
      </c>
      <c r="Q137" s="335">
        <f t="shared" si="49"/>
        <v>35052</v>
      </c>
      <c r="R137" s="353">
        <v>35054</v>
      </c>
      <c r="S137" s="317">
        <f t="shared" si="41"/>
        <v>2</v>
      </c>
      <c r="U137" s="339">
        <v>3.7819999999999999E-2</v>
      </c>
      <c r="V137" s="339">
        <f>ROUND(((V136*SUM($S$10:S136))+(U137*S137))/SUM($S$10:S137),5)</f>
        <v>3.2910000000000002E-2</v>
      </c>
      <c r="W137" s="351">
        <v>86.8</v>
      </c>
      <c r="Y137" s="335">
        <f t="shared" si="50"/>
        <v>0</v>
      </c>
      <c r="Z137" s="345"/>
      <c r="AA137" s="317">
        <f t="shared" si="42"/>
        <v>0</v>
      </c>
      <c r="AC137" s="346"/>
      <c r="AD137" s="339">
        <f>ROUND(((AD136*SUM($AA$10:AA136))+(AC137*AA137))/SUM($AA$10:AA137),5)</f>
        <v>-1.92E-3</v>
      </c>
      <c r="AE137" s="348"/>
      <c r="AH137" s="345"/>
      <c r="AQ137" s="317">
        <f t="shared" si="62"/>
        <v>0</v>
      </c>
      <c r="AS137" s="346"/>
      <c r="BB137" s="352"/>
      <c r="BC137" s="348"/>
      <c r="BE137" s="335">
        <f t="shared" si="44"/>
        <v>34618</v>
      </c>
      <c r="BF137" s="353">
        <v>34625</v>
      </c>
      <c r="BG137" s="317">
        <f t="shared" ref="BG137:BG200" si="67">BF137-BE137</f>
        <v>7</v>
      </c>
      <c r="BH137" s="339">
        <v>2.8000000000000001E-2</v>
      </c>
      <c r="BI137" s="337">
        <f t="shared" si="56"/>
        <v>16109.59</v>
      </c>
      <c r="BK137" s="341"/>
      <c r="BL137" s="341"/>
      <c r="BM137" s="341"/>
      <c r="BO137" s="335">
        <f t="shared" si="45"/>
        <v>36573</v>
      </c>
      <c r="BP137" s="345">
        <v>36580</v>
      </c>
      <c r="BQ137" s="317">
        <f t="shared" si="63"/>
        <v>7</v>
      </c>
      <c r="BR137" s="346">
        <v>3.8399999999999997E-2</v>
      </c>
      <c r="BS137" s="337">
        <f t="shared" si="66"/>
        <v>12485.25</v>
      </c>
      <c r="BW137" s="335">
        <f t="shared" si="55"/>
        <v>36797</v>
      </c>
      <c r="BX137" s="345">
        <v>36800</v>
      </c>
      <c r="BY137" s="317">
        <f t="shared" ref="BY137:BY196" si="68">BX137-BW137</f>
        <v>3</v>
      </c>
      <c r="BZ137" s="346">
        <v>5.5199999999999999E-2</v>
      </c>
      <c r="CA137" s="337">
        <f t="shared" si="61"/>
        <v>22622.950819999998</v>
      </c>
      <c r="CB137" s="341">
        <f>SUM(CA133:CA137)</f>
        <v>175491.80327899999</v>
      </c>
      <c r="CD137" s="335">
        <f t="shared" si="53"/>
        <v>36797</v>
      </c>
      <c r="CE137" s="345">
        <v>36800</v>
      </c>
      <c r="CF137" s="317">
        <f t="shared" ref="CF137:CF196" si="69">CE137-CD137</f>
        <v>3</v>
      </c>
      <c r="CG137" s="346">
        <v>5.5199999999999999E-2</v>
      </c>
      <c r="CH137" s="337">
        <f t="shared" si="58"/>
        <v>22622.950819999998</v>
      </c>
      <c r="CI137" s="341">
        <f>SUM(CH133:CH137)</f>
        <v>175491.80327899999</v>
      </c>
      <c r="CL137" s="335">
        <f t="shared" si="46"/>
        <v>37497</v>
      </c>
      <c r="CM137" s="345">
        <v>37500</v>
      </c>
      <c r="CN137" s="317">
        <f t="shared" si="59"/>
        <v>3</v>
      </c>
      <c r="CO137" s="347">
        <v>1.3599999999999999E-2</v>
      </c>
      <c r="CP137" s="347"/>
      <c r="CQ137" s="347"/>
      <c r="CR137" s="347"/>
      <c r="CS137" s="347"/>
      <c r="CT137" s="347"/>
      <c r="CU137" s="347"/>
      <c r="CV137" s="337">
        <f t="shared" si="65"/>
        <v>9315.2547950000007</v>
      </c>
      <c r="CW137" s="341">
        <f>SUM(CV133:CV137)</f>
        <v>91303.195890999996</v>
      </c>
    </row>
    <row r="138" spans="1:101" hidden="1" x14ac:dyDescent="0.25">
      <c r="A138" s="335">
        <f t="shared" si="47"/>
        <v>34634</v>
      </c>
      <c r="B138" s="335">
        <v>34638</v>
      </c>
      <c r="C138" s="317">
        <f t="shared" ref="C138:C201" si="70">B138-A138</f>
        <v>4</v>
      </c>
      <c r="E138" s="339">
        <v>3.3090000000000001E-2</v>
      </c>
      <c r="F138" s="339">
        <f>ROUND(((F137*SUM($C$10:C137))+(E138*C138))/SUM($C$10:C138),5)</f>
        <v>2.5950000000000001E-2</v>
      </c>
      <c r="G138" s="351">
        <v>66.099999999999994</v>
      </c>
      <c r="I138" s="335">
        <f t="shared" si="48"/>
        <v>34508</v>
      </c>
      <c r="J138" s="335">
        <v>34509</v>
      </c>
      <c r="K138" s="317">
        <f t="shared" ref="K138:K201" si="71">J138-I138</f>
        <v>1</v>
      </c>
      <c r="M138" s="336">
        <v>3.0550000000000001E-2</v>
      </c>
      <c r="N138" s="339">
        <f>ROUND(((N137*SUM($K$10:K137))+(M138*K138))/SUM($K$10:K138),5)</f>
        <v>2.5190000000000001E-2</v>
      </c>
      <c r="O138" s="340">
        <v>77.099999999999994</v>
      </c>
      <c r="Q138" s="335">
        <f t="shared" si="49"/>
        <v>35054</v>
      </c>
      <c r="R138" s="353">
        <v>35055</v>
      </c>
      <c r="S138" s="317">
        <f t="shared" ref="S138:S201" si="72">R138-Q138</f>
        <v>1</v>
      </c>
      <c r="U138" s="339">
        <v>3.7850000000000002E-2</v>
      </c>
      <c r="V138" s="339">
        <f>ROUND(((V137*SUM($S$10:S137))+(U138*S138))/SUM($S$10:S138),5)</f>
        <v>3.2919999999999998E-2</v>
      </c>
      <c r="W138" s="351">
        <v>83.8</v>
      </c>
      <c r="Y138" s="335">
        <f t="shared" si="50"/>
        <v>0</v>
      </c>
      <c r="Z138" s="345"/>
      <c r="AA138" s="317">
        <f>Z138-Y138</f>
        <v>0</v>
      </c>
      <c r="AC138" s="346"/>
      <c r="AD138" s="339">
        <f>ROUND(((AD137*SUM($AA$10:AA137))+(AC138*AA138))/SUM($AA$10:AA138),5)</f>
        <v>-1.92E-3</v>
      </c>
      <c r="AE138" s="348"/>
      <c r="AH138" s="345"/>
      <c r="AQ138" s="317">
        <f t="shared" si="62"/>
        <v>0</v>
      </c>
      <c r="AS138" s="346"/>
      <c r="BB138" s="352"/>
      <c r="BC138" s="348"/>
      <c r="BE138" s="335">
        <f t="shared" ref="BE138:BE201" si="73">BF137</f>
        <v>34625</v>
      </c>
      <c r="BF138" s="353">
        <v>34632</v>
      </c>
      <c r="BG138" s="317">
        <f t="shared" si="67"/>
        <v>7</v>
      </c>
      <c r="BH138" s="339">
        <v>3.09E-2</v>
      </c>
      <c r="BI138" s="337">
        <f t="shared" si="56"/>
        <v>17778.080000000002</v>
      </c>
      <c r="BK138" s="341"/>
      <c r="BL138" s="341"/>
      <c r="BM138" s="341"/>
      <c r="BO138" s="335">
        <f t="shared" ref="BO138:BO201" si="74">BP137</f>
        <v>36580</v>
      </c>
      <c r="BP138" s="345">
        <v>36586</v>
      </c>
      <c r="BQ138" s="317">
        <f t="shared" si="63"/>
        <v>6</v>
      </c>
      <c r="BR138" s="346">
        <v>3.8600000000000002E-2</v>
      </c>
      <c r="BS138" s="337">
        <f t="shared" si="66"/>
        <v>10757.38</v>
      </c>
      <c r="BT138" s="341">
        <f>SUM(BS134:BS138)</f>
        <v>47349.189999999995</v>
      </c>
      <c r="BW138" s="335">
        <f t="shared" si="55"/>
        <v>36800</v>
      </c>
      <c r="BX138" s="345">
        <v>36804</v>
      </c>
      <c r="BY138" s="317">
        <f t="shared" si="68"/>
        <v>4</v>
      </c>
      <c r="BZ138" s="346">
        <v>5.5199999999999999E-2</v>
      </c>
      <c r="CA138" s="337">
        <f t="shared" si="61"/>
        <v>30163.934426</v>
      </c>
      <c r="CD138" s="335">
        <f t="shared" si="53"/>
        <v>36800</v>
      </c>
      <c r="CE138" s="345">
        <v>36804</v>
      </c>
      <c r="CF138" s="317">
        <f t="shared" si="69"/>
        <v>4</v>
      </c>
      <c r="CG138" s="346">
        <v>5.5199999999999999E-2</v>
      </c>
      <c r="CH138" s="337">
        <f t="shared" si="58"/>
        <v>30163.934426</v>
      </c>
      <c r="CL138" s="335">
        <f t="shared" ref="CL138:CL201" si="75">CM137</f>
        <v>37500</v>
      </c>
      <c r="CM138" s="345">
        <v>37504</v>
      </c>
      <c r="CN138" s="317">
        <f t="shared" si="59"/>
        <v>4</v>
      </c>
      <c r="CO138" s="346">
        <v>1.3599999999999999E-2</v>
      </c>
      <c r="CP138" s="346"/>
      <c r="CQ138" s="346"/>
      <c r="CR138" s="346"/>
      <c r="CS138" s="346"/>
      <c r="CT138" s="346"/>
      <c r="CU138" s="346"/>
      <c r="CV138" s="337">
        <f t="shared" ref="CV138:CV174" si="76">ROUND($CR$5*CO138*CN138/365,2)</f>
        <v>12420.34</v>
      </c>
    </row>
    <row r="139" spans="1:101" hidden="1" x14ac:dyDescent="0.25">
      <c r="A139" s="335">
        <f t="shared" ref="A139:A202" si="77">B138</f>
        <v>34638</v>
      </c>
      <c r="B139" s="335">
        <v>34640</v>
      </c>
      <c r="C139" s="317">
        <f t="shared" si="70"/>
        <v>2</v>
      </c>
      <c r="E139" s="339">
        <v>3.313E-2</v>
      </c>
      <c r="F139" s="339">
        <f>ROUND(((F138*SUM($C$10:C138))+(E139*C139))/SUM($C$10:C139),5)</f>
        <v>2.597E-2</v>
      </c>
      <c r="G139" s="351">
        <v>63.1</v>
      </c>
      <c r="I139" s="335">
        <f t="shared" ref="I139:I202" si="78">J138</f>
        <v>34509</v>
      </c>
      <c r="J139" s="335">
        <v>34515</v>
      </c>
      <c r="K139" s="317">
        <f t="shared" si="71"/>
        <v>6</v>
      </c>
      <c r="M139" s="336">
        <v>3.058E-2</v>
      </c>
      <c r="N139" s="339">
        <f>ROUND(((N138*SUM($K$10:K138))+(M139*K139))/SUM($K$10:K139),5)</f>
        <v>2.5239999999999999E-2</v>
      </c>
      <c r="O139" s="340">
        <v>76.400000000000006</v>
      </c>
      <c r="Q139" s="335">
        <f t="shared" ref="Q139:Q202" si="79">R138</f>
        <v>35055</v>
      </c>
      <c r="R139" s="353">
        <v>35059</v>
      </c>
      <c r="S139" s="317">
        <f t="shared" si="72"/>
        <v>4</v>
      </c>
      <c r="U139" s="339">
        <v>3.7879999999999997E-2</v>
      </c>
      <c r="V139" s="339">
        <f>ROUND(((V138*SUM($S$10:S138))+(U139*S139))/SUM($S$10:S139),5)</f>
        <v>3.2939999999999997E-2</v>
      </c>
      <c r="W139" s="351">
        <v>84</v>
      </c>
      <c r="Y139" s="335">
        <f t="shared" ref="Y139:Y170" si="80">Z138</f>
        <v>0</v>
      </c>
      <c r="Z139" s="345"/>
      <c r="AC139" s="346"/>
      <c r="AD139" s="339">
        <f>ROUND(((AD138*SUM($AA$10:AA138))+(AC139*AA139))/SUM($AA$10:AA139),5)</f>
        <v>-1.92E-3</v>
      </c>
      <c r="AE139" s="348"/>
      <c r="AH139" s="345"/>
      <c r="AQ139" s="317">
        <f t="shared" si="62"/>
        <v>0</v>
      </c>
      <c r="AS139" s="346"/>
      <c r="BB139" s="352"/>
      <c r="BC139" s="348"/>
      <c r="BE139" s="335">
        <f t="shared" si="73"/>
        <v>34632</v>
      </c>
      <c r="BF139" s="353">
        <v>34639</v>
      </c>
      <c r="BG139" s="317">
        <f t="shared" si="67"/>
        <v>7</v>
      </c>
      <c r="BH139" s="339">
        <v>3.3800000000000004E-2</v>
      </c>
      <c r="BI139" s="337">
        <f t="shared" si="56"/>
        <v>19446.580000000002</v>
      </c>
      <c r="BJ139" s="341">
        <f>SUM(BI135:BI139)</f>
        <v>80967.13</v>
      </c>
      <c r="BK139" s="341">
        <v>81221.990000000005</v>
      </c>
      <c r="BL139" s="341">
        <f>BJ139-BK139</f>
        <v>-254.86000000000058</v>
      </c>
      <c r="BM139" s="341">
        <f>BM134+BL139</f>
        <v>-26165.719999999998</v>
      </c>
      <c r="BO139" s="335">
        <f t="shared" si="74"/>
        <v>36586</v>
      </c>
      <c r="BP139" s="345">
        <v>36587</v>
      </c>
      <c r="BQ139" s="317">
        <f t="shared" si="63"/>
        <v>1</v>
      </c>
      <c r="BR139" s="346">
        <v>3.8600000000000002E-2</v>
      </c>
      <c r="BS139" s="337">
        <f t="shared" si="66"/>
        <v>1792.9</v>
      </c>
      <c r="BW139" s="335">
        <f t="shared" si="55"/>
        <v>36804</v>
      </c>
      <c r="BX139" s="345">
        <v>36811</v>
      </c>
      <c r="BY139" s="317">
        <f t="shared" si="68"/>
        <v>7</v>
      </c>
      <c r="BZ139" s="346">
        <v>4.1599999999999998E-2</v>
      </c>
      <c r="CA139" s="337">
        <f t="shared" si="61"/>
        <v>39781.420765000003</v>
      </c>
      <c r="CD139" s="335">
        <f>CE138</f>
        <v>36804</v>
      </c>
      <c r="CE139" s="345">
        <v>36811</v>
      </c>
      <c r="CF139" s="317">
        <f t="shared" si="69"/>
        <v>7</v>
      </c>
      <c r="CG139" s="346">
        <v>4.1599999999999998E-2</v>
      </c>
      <c r="CH139" s="337">
        <f t="shared" si="58"/>
        <v>39781.420765000003</v>
      </c>
      <c r="CL139" s="335">
        <f t="shared" si="75"/>
        <v>37504</v>
      </c>
      <c r="CM139" s="345">
        <v>37511</v>
      </c>
      <c r="CN139" s="317">
        <f t="shared" si="59"/>
        <v>7</v>
      </c>
      <c r="CO139" s="346">
        <v>1.29E-2</v>
      </c>
      <c r="CP139" s="346"/>
      <c r="CQ139" s="346"/>
      <c r="CR139" s="346"/>
      <c r="CS139" s="346"/>
      <c r="CT139" s="346"/>
      <c r="CU139" s="346"/>
      <c r="CV139" s="337">
        <f t="shared" si="76"/>
        <v>20616.849999999999</v>
      </c>
    </row>
    <row r="140" spans="1:101" hidden="1" x14ac:dyDescent="0.25">
      <c r="A140" s="335">
        <f t="shared" si="77"/>
        <v>34640</v>
      </c>
      <c r="B140" s="335">
        <v>34645</v>
      </c>
      <c r="C140" s="317">
        <f t="shared" si="70"/>
        <v>5</v>
      </c>
      <c r="E140" s="339">
        <v>3.381E-2</v>
      </c>
      <c r="F140" s="339">
        <f>ROUND(((F139*SUM($C$10:C139))+(E140*C140))/SUM($C$10:C140),5)</f>
        <v>2.6020000000000001E-2</v>
      </c>
      <c r="G140" s="351">
        <v>59.4</v>
      </c>
      <c r="I140" s="335">
        <f t="shared" si="78"/>
        <v>34515</v>
      </c>
      <c r="J140" s="335">
        <v>34523</v>
      </c>
      <c r="K140" s="317">
        <f t="shared" si="71"/>
        <v>8</v>
      </c>
      <c r="M140" s="336">
        <v>3.057E-2</v>
      </c>
      <c r="N140" s="339">
        <f>ROUND(((N139*SUM($K$10:K139))+(M140*K140))/SUM($K$10:K140),5)</f>
        <v>2.53E-2</v>
      </c>
      <c r="O140" s="340">
        <v>76.400000000000006</v>
      </c>
      <c r="Q140" s="335">
        <f t="shared" si="79"/>
        <v>35059</v>
      </c>
      <c r="R140" s="353">
        <v>35072</v>
      </c>
      <c r="S140" s="317">
        <f t="shared" si="72"/>
        <v>13</v>
      </c>
      <c r="U140" s="339">
        <v>3.7659999999999999E-2</v>
      </c>
      <c r="V140" s="339">
        <f>ROUND(((V139*SUM($S$10:S139))+(U140*S140))/SUM($S$10:S140),5)</f>
        <v>3.3009999999999998E-2</v>
      </c>
      <c r="W140" s="351">
        <v>91.1</v>
      </c>
      <c r="Y140" s="335">
        <f t="shared" si="80"/>
        <v>0</v>
      </c>
      <c r="Z140" s="345"/>
      <c r="AC140" s="346"/>
      <c r="AD140" s="339">
        <f>ROUND(((AD139*SUM($AA$10:AA139))+(AC140*AA140))/SUM($AA$10:AA140),5)</f>
        <v>-1.92E-3</v>
      </c>
      <c r="AE140" s="348"/>
      <c r="AH140" s="345"/>
      <c r="AQ140" s="317">
        <f t="shared" si="62"/>
        <v>0</v>
      </c>
      <c r="AS140" s="346"/>
      <c r="BB140" s="352"/>
      <c r="BC140" s="348"/>
      <c r="BE140" s="335">
        <f t="shared" si="73"/>
        <v>34639</v>
      </c>
      <c r="BF140" s="353">
        <v>34646</v>
      </c>
      <c r="BG140" s="317">
        <f t="shared" si="67"/>
        <v>7</v>
      </c>
      <c r="BH140" s="339">
        <v>3.2399999999999998E-2</v>
      </c>
      <c r="BI140" s="337">
        <f t="shared" si="56"/>
        <v>18641.099999999999</v>
      </c>
      <c r="BO140" s="335">
        <f t="shared" si="74"/>
        <v>36587</v>
      </c>
      <c r="BP140" s="345">
        <v>36594</v>
      </c>
      <c r="BQ140" s="317">
        <f t="shared" si="63"/>
        <v>7</v>
      </c>
      <c r="BR140" s="346">
        <v>3.7699999999999997E-2</v>
      </c>
      <c r="BS140" s="337">
        <f t="shared" si="66"/>
        <v>12257.65</v>
      </c>
      <c r="BW140" s="335">
        <f t="shared" si="55"/>
        <v>36811</v>
      </c>
      <c r="BX140" s="345">
        <v>36818</v>
      </c>
      <c r="BY140" s="317">
        <f t="shared" si="68"/>
        <v>7</v>
      </c>
      <c r="BZ140" s="346">
        <v>4.2099999999999999E-2</v>
      </c>
      <c r="CA140" s="337">
        <f t="shared" si="61"/>
        <v>40259.562841999999</v>
      </c>
      <c r="CD140" s="335">
        <f>CE139</f>
        <v>36811</v>
      </c>
      <c r="CE140" s="345">
        <v>36818</v>
      </c>
      <c r="CF140" s="317">
        <f t="shared" si="69"/>
        <v>7</v>
      </c>
      <c r="CG140" s="346">
        <v>4.2099999999999999E-2</v>
      </c>
      <c r="CH140" s="337">
        <f t="shared" si="58"/>
        <v>40259.562841999999</v>
      </c>
      <c r="CL140" s="335">
        <f t="shared" si="75"/>
        <v>37511</v>
      </c>
      <c r="CM140" s="345">
        <v>37518</v>
      </c>
      <c r="CN140" s="317">
        <f t="shared" si="59"/>
        <v>7</v>
      </c>
      <c r="CO140" s="346">
        <v>1.46E-2</v>
      </c>
      <c r="CP140" s="346"/>
      <c r="CQ140" s="346"/>
      <c r="CR140" s="346"/>
      <c r="CS140" s="346"/>
      <c r="CT140" s="346"/>
      <c r="CU140" s="346"/>
      <c r="CV140" s="337">
        <f t="shared" si="76"/>
        <v>23333.8</v>
      </c>
    </row>
    <row r="141" spans="1:101" hidden="1" x14ac:dyDescent="0.25">
      <c r="A141" s="335">
        <f t="shared" si="77"/>
        <v>34645</v>
      </c>
      <c r="B141" s="335">
        <v>34646</v>
      </c>
      <c r="C141" s="317">
        <f t="shared" si="70"/>
        <v>1</v>
      </c>
      <c r="E141" s="339">
        <v>3.4209999999999997E-2</v>
      </c>
      <c r="F141" s="339">
        <f>ROUND(((F140*SUM($C$10:C140))+(E141*C141))/SUM($C$10:C141),5)</f>
        <v>2.6030000000000001E-2</v>
      </c>
      <c r="G141" s="351">
        <v>68.099999999999994</v>
      </c>
      <c r="I141" s="335">
        <f t="shared" si="78"/>
        <v>34523</v>
      </c>
      <c r="J141" s="335">
        <v>34526</v>
      </c>
      <c r="K141" s="317">
        <f t="shared" si="71"/>
        <v>3</v>
      </c>
      <c r="M141" s="336">
        <v>3.0540000000000001E-2</v>
      </c>
      <c r="N141" s="339">
        <f>ROUND(((N140*SUM($K$10:K140))+(M141*K141))/SUM($K$10:K141),5)</f>
        <v>2.5319999999999999E-2</v>
      </c>
      <c r="O141" s="340">
        <v>77.2</v>
      </c>
      <c r="Q141" s="335">
        <f t="shared" si="79"/>
        <v>35072</v>
      </c>
      <c r="R141" s="353">
        <v>35073</v>
      </c>
      <c r="S141" s="317">
        <f t="shared" si="72"/>
        <v>1</v>
      </c>
      <c r="U141" s="339">
        <v>3.7620000000000001E-2</v>
      </c>
      <c r="V141" s="339">
        <f>ROUND(((V140*SUM($S$10:S140))+(U141*S141))/SUM($S$10:S141),5)</f>
        <v>3.3020000000000001E-2</v>
      </c>
      <c r="W141" s="351">
        <v>87.8</v>
      </c>
      <c r="Y141" s="335">
        <f t="shared" si="80"/>
        <v>0</v>
      </c>
      <c r="Z141" s="345"/>
      <c r="AC141" s="346"/>
      <c r="AD141" s="339">
        <f>ROUND(((AD140*SUM($AA$10:AA140))+(AC141*AA141))/SUM($AA$10:AA141),5)</f>
        <v>-1.92E-3</v>
      </c>
      <c r="AE141" s="348"/>
      <c r="AH141" s="345"/>
      <c r="AQ141" s="317">
        <f t="shared" si="62"/>
        <v>0</v>
      </c>
      <c r="AS141" s="346"/>
      <c r="BB141" s="352"/>
      <c r="BC141" s="348"/>
      <c r="BE141" s="335">
        <f t="shared" si="73"/>
        <v>34646</v>
      </c>
      <c r="BF141" s="353">
        <v>34653</v>
      </c>
      <c r="BG141" s="317">
        <f t="shared" si="67"/>
        <v>7</v>
      </c>
      <c r="BH141" s="339">
        <v>3.3700000000000001E-2</v>
      </c>
      <c r="BI141" s="337">
        <f t="shared" si="56"/>
        <v>19389.04</v>
      </c>
      <c r="BO141" s="335">
        <f t="shared" si="74"/>
        <v>36594</v>
      </c>
      <c r="BP141" s="345">
        <v>36601</v>
      </c>
      <c r="BQ141" s="317">
        <f t="shared" si="63"/>
        <v>7</v>
      </c>
      <c r="BR141" s="346">
        <v>3.7400000000000003E-2</v>
      </c>
      <c r="BS141" s="337">
        <f t="shared" si="66"/>
        <v>12160.11</v>
      </c>
      <c r="BW141" s="335">
        <f t="shared" si="55"/>
        <v>36818</v>
      </c>
      <c r="BX141" s="345">
        <v>36825</v>
      </c>
      <c r="BY141" s="317">
        <f t="shared" si="68"/>
        <v>7</v>
      </c>
      <c r="BZ141" s="346">
        <v>4.2299999999999997E-2</v>
      </c>
      <c r="CA141" s="337">
        <f t="shared" si="61"/>
        <v>40450.819671999998</v>
      </c>
      <c r="CD141" s="335">
        <f t="shared" ref="CD141:CD196" si="81">CE140</f>
        <v>36818</v>
      </c>
      <c r="CE141" s="345">
        <v>36825</v>
      </c>
      <c r="CF141" s="317">
        <f t="shared" si="69"/>
        <v>7</v>
      </c>
      <c r="CG141" s="346">
        <v>4.2299999999999997E-2</v>
      </c>
      <c r="CH141" s="337">
        <f t="shared" si="58"/>
        <v>40450.819671999998</v>
      </c>
      <c r="CL141" s="335">
        <f t="shared" si="75"/>
        <v>37518</v>
      </c>
      <c r="CM141" s="345">
        <v>37525</v>
      </c>
      <c r="CN141" s="317">
        <f t="shared" si="59"/>
        <v>7</v>
      </c>
      <c r="CO141" s="346">
        <v>1.54E-2</v>
      </c>
      <c r="CP141" s="346"/>
      <c r="CQ141" s="346"/>
      <c r="CR141" s="346"/>
      <c r="CS141" s="346"/>
      <c r="CT141" s="346"/>
      <c r="CU141" s="346"/>
      <c r="CV141" s="337">
        <f t="shared" si="76"/>
        <v>24612.36</v>
      </c>
    </row>
    <row r="142" spans="1:101" hidden="1" x14ac:dyDescent="0.25">
      <c r="A142" s="335">
        <f t="shared" si="77"/>
        <v>34646</v>
      </c>
      <c r="B142" s="335">
        <v>34647</v>
      </c>
      <c r="C142" s="317">
        <f t="shared" si="70"/>
        <v>1</v>
      </c>
      <c r="E142" s="339">
        <v>3.4209999999999997E-2</v>
      </c>
      <c r="F142" s="339">
        <f>ROUND(((F141*SUM($C$10:C141))+(E142*C142))/SUM($C$10:C142),5)</f>
        <v>2.6040000000000001E-2</v>
      </c>
      <c r="G142" s="351">
        <v>67.8</v>
      </c>
      <c r="I142" s="335">
        <f t="shared" si="78"/>
        <v>34526</v>
      </c>
      <c r="J142" s="335">
        <v>34527</v>
      </c>
      <c r="K142" s="317">
        <f t="shared" si="71"/>
        <v>1</v>
      </c>
      <c r="M142" s="336">
        <v>3.049E-2</v>
      </c>
      <c r="N142" s="339">
        <f>ROUND(((N141*SUM($K$10:K141))+(M142*K142))/SUM($K$10:K142),5)</f>
        <v>2.5329999999999998E-2</v>
      </c>
      <c r="O142" s="340">
        <v>80.599999999999994</v>
      </c>
      <c r="Q142" s="335">
        <f t="shared" si="79"/>
        <v>35073</v>
      </c>
      <c r="R142" s="353">
        <v>35074</v>
      </c>
      <c r="S142" s="317">
        <f t="shared" si="72"/>
        <v>1</v>
      </c>
      <c r="U142" s="339">
        <v>3.746E-2</v>
      </c>
      <c r="V142" s="339">
        <f>ROUND(((V141*SUM($S$10:S141))+(U142*S142))/SUM($S$10:S142),5)</f>
        <v>3.3029999999999997E-2</v>
      </c>
      <c r="W142" s="351">
        <v>91.3</v>
      </c>
      <c r="Y142" s="335">
        <f t="shared" si="80"/>
        <v>0</v>
      </c>
      <c r="Z142" s="345"/>
      <c r="AC142" s="346"/>
      <c r="AD142" s="339">
        <f>ROUND(((AD141*SUM($AA$10:AA141))+(AC142*AA142))/SUM($AA$10:AA142),5)</f>
        <v>-1.92E-3</v>
      </c>
      <c r="AH142" s="345"/>
      <c r="AQ142" s="317">
        <f t="shared" si="62"/>
        <v>0</v>
      </c>
      <c r="AS142" s="346"/>
      <c r="BB142" s="352"/>
      <c r="BC142" s="348"/>
      <c r="BE142" s="335">
        <f t="shared" si="73"/>
        <v>34653</v>
      </c>
      <c r="BF142" s="353">
        <v>34660</v>
      </c>
      <c r="BG142" s="317">
        <f t="shared" si="67"/>
        <v>7</v>
      </c>
      <c r="BH142" s="339">
        <v>3.6200000000000003E-2</v>
      </c>
      <c r="BI142" s="337">
        <f t="shared" si="56"/>
        <v>20827.400000000001</v>
      </c>
      <c r="BO142" s="335">
        <f t="shared" si="74"/>
        <v>36601</v>
      </c>
      <c r="BP142" s="345">
        <v>36608</v>
      </c>
      <c r="BQ142" s="317">
        <f t="shared" si="63"/>
        <v>7</v>
      </c>
      <c r="BR142" s="346">
        <v>3.7499999999999999E-2</v>
      </c>
      <c r="BS142" s="337">
        <f t="shared" si="66"/>
        <v>12192.62</v>
      </c>
      <c r="BW142" s="335">
        <f t="shared" ref="BW142:BW196" si="82">BX141</f>
        <v>36825</v>
      </c>
      <c r="BX142" s="345">
        <v>36831</v>
      </c>
      <c r="BY142" s="317">
        <f t="shared" si="68"/>
        <v>6</v>
      </c>
      <c r="BZ142" s="346">
        <v>4.3299999999999998E-2</v>
      </c>
      <c r="CA142" s="337">
        <f t="shared" si="61"/>
        <v>35491.803279</v>
      </c>
      <c r="CB142" s="341">
        <f>SUM(CA138:CA142)</f>
        <v>186147.54098400002</v>
      </c>
      <c r="CD142" s="335">
        <f t="shared" si="81"/>
        <v>36825</v>
      </c>
      <c r="CE142" s="345">
        <v>36831</v>
      </c>
      <c r="CF142" s="317">
        <f t="shared" si="69"/>
        <v>6</v>
      </c>
      <c r="CG142" s="346">
        <v>4.3299999999999998E-2</v>
      </c>
      <c r="CH142" s="337">
        <f t="shared" si="58"/>
        <v>35491.803279</v>
      </c>
      <c r="CI142" s="341">
        <f>SUM(CH138:CH142)</f>
        <v>186147.54098400002</v>
      </c>
      <c r="CL142" s="335">
        <f t="shared" si="75"/>
        <v>37525</v>
      </c>
      <c r="CM142" s="345">
        <v>37530</v>
      </c>
      <c r="CN142" s="317">
        <f t="shared" si="59"/>
        <v>5</v>
      </c>
      <c r="CO142" s="346">
        <v>1.6799999999999999E-2</v>
      </c>
      <c r="CP142" s="346"/>
      <c r="CQ142" s="346"/>
      <c r="CR142" s="346"/>
      <c r="CS142" s="346"/>
      <c r="CT142" s="346"/>
      <c r="CU142" s="346"/>
      <c r="CV142" s="337">
        <f t="shared" si="76"/>
        <v>19178.47</v>
      </c>
      <c r="CW142" s="341">
        <f>SUM(CV138:CV142)</f>
        <v>100161.82</v>
      </c>
    </row>
    <row r="143" spans="1:101" hidden="1" x14ac:dyDescent="0.25">
      <c r="A143" s="335">
        <f t="shared" si="77"/>
        <v>34647</v>
      </c>
      <c r="B143" s="335">
        <v>34648</v>
      </c>
      <c r="C143" s="317">
        <f t="shared" si="70"/>
        <v>1</v>
      </c>
      <c r="E143" s="339">
        <v>3.4209999999999997E-2</v>
      </c>
      <c r="F143" s="339">
        <f>ROUND(((F142*SUM($C$10:C142))+(E143*C143))/SUM($C$10:C143),5)</f>
        <v>2.605E-2</v>
      </c>
      <c r="G143" s="351">
        <v>67.8</v>
      </c>
      <c r="I143" s="335">
        <f t="shared" si="78"/>
        <v>34527</v>
      </c>
      <c r="J143" s="335">
        <v>34528</v>
      </c>
      <c r="K143" s="317">
        <f t="shared" si="71"/>
        <v>1</v>
      </c>
      <c r="M143" s="336">
        <v>3.0470000000000001E-2</v>
      </c>
      <c r="N143" s="339">
        <f>ROUND(((N142*SUM($K$10:K142))+(M143*K143))/SUM($K$10:K143),5)</f>
        <v>2.5340000000000001E-2</v>
      </c>
      <c r="O143" s="340">
        <v>80.400000000000006</v>
      </c>
      <c r="Q143" s="335">
        <f t="shared" si="79"/>
        <v>35074</v>
      </c>
      <c r="R143" s="353">
        <v>35080</v>
      </c>
      <c r="S143" s="317">
        <f t="shared" si="72"/>
        <v>6</v>
      </c>
      <c r="U143" s="339">
        <v>3.7400000000000003E-2</v>
      </c>
      <c r="V143" s="339">
        <f>ROUND(((V142*SUM($S$10:S142))+(U143*S143))/SUM($S$10:S143),5)</f>
        <v>3.3059999999999999E-2</v>
      </c>
      <c r="W143" s="351">
        <v>92</v>
      </c>
      <c r="Y143" s="335">
        <f t="shared" si="80"/>
        <v>0</v>
      </c>
      <c r="Z143" s="345"/>
      <c r="AC143" s="346"/>
      <c r="AD143" s="339">
        <f>ROUND(((AD142*SUM($AA$10:AA142))+(AC143*AA143))/SUM($AA$10:AA143),5)</f>
        <v>-1.92E-3</v>
      </c>
      <c r="AH143" s="345"/>
      <c r="AS143" s="346"/>
      <c r="BB143" s="352"/>
      <c r="BC143" s="348"/>
      <c r="BE143" s="335">
        <f t="shared" si="73"/>
        <v>34660</v>
      </c>
      <c r="BF143" s="353">
        <v>34667</v>
      </c>
      <c r="BG143" s="317">
        <f t="shared" si="67"/>
        <v>7</v>
      </c>
      <c r="BH143" s="339">
        <v>3.73E-2</v>
      </c>
      <c r="BI143" s="337">
        <f t="shared" si="56"/>
        <v>21460.27</v>
      </c>
      <c r="BO143" s="335">
        <f t="shared" si="74"/>
        <v>36608</v>
      </c>
      <c r="BP143" s="345">
        <v>36615</v>
      </c>
      <c r="BQ143" s="317">
        <f t="shared" si="63"/>
        <v>7</v>
      </c>
      <c r="BR143" s="346">
        <v>3.7199999999999997E-2</v>
      </c>
      <c r="BS143" s="337">
        <f t="shared" si="66"/>
        <v>12095.08</v>
      </c>
      <c r="BW143" s="335">
        <f t="shared" si="82"/>
        <v>36831</v>
      </c>
      <c r="BX143" s="345">
        <v>36832</v>
      </c>
      <c r="BY143" s="317">
        <f t="shared" si="68"/>
        <v>1</v>
      </c>
      <c r="BZ143" s="346">
        <v>4.3299999999999998E-2</v>
      </c>
      <c r="CA143" s="337">
        <f t="shared" si="61"/>
        <v>5915.3005460000004</v>
      </c>
      <c r="CD143" s="335">
        <f t="shared" si="81"/>
        <v>36831</v>
      </c>
      <c r="CE143" s="345">
        <v>36832</v>
      </c>
      <c r="CF143" s="317">
        <f t="shared" si="69"/>
        <v>1</v>
      </c>
      <c r="CG143" s="346">
        <v>4.3299999999999998E-2</v>
      </c>
      <c r="CH143" s="337">
        <f t="shared" si="58"/>
        <v>5915.3005460000004</v>
      </c>
      <c r="CL143" s="335">
        <f t="shared" si="75"/>
        <v>37530</v>
      </c>
      <c r="CM143" s="345">
        <v>37532</v>
      </c>
      <c r="CN143" s="317">
        <f t="shared" si="59"/>
        <v>2</v>
      </c>
      <c r="CO143" s="346">
        <v>1.6799999999999999E-2</v>
      </c>
      <c r="CP143" s="346"/>
      <c r="CQ143" s="346"/>
      <c r="CR143" s="346"/>
      <c r="CS143" s="346"/>
      <c r="CT143" s="346"/>
      <c r="CU143" s="346"/>
      <c r="CV143" s="337">
        <f t="shared" si="76"/>
        <v>7671.39</v>
      </c>
    </row>
    <row r="144" spans="1:101" hidden="1" x14ac:dyDescent="0.25">
      <c r="A144" s="335">
        <f t="shared" si="77"/>
        <v>34648</v>
      </c>
      <c r="B144" s="335">
        <v>34654</v>
      </c>
      <c r="C144" s="317">
        <f t="shared" si="70"/>
        <v>6</v>
      </c>
      <c r="E144" s="339">
        <v>3.4410000000000003E-2</v>
      </c>
      <c r="F144" s="339">
        <f>ROUND(((F143*SUM($C$10:C143))+(E144*C144))/SUM($C$10:C144),5)</f>
        <v>2.6110000000000001E-2</v>
      </c>
      <c r="G144" s="351">
        <v>71.5</v>
      </c>
      <c r="I144" s="335">
        <f t="shared" si="78"/>
        <v>34528</v>
      </c>
      <c r="J144" s="335">
        <v>34535</v>
      </c>
      <c r="K144" s="317">
        <f t="shared" si="71"/>
        <v>7</v>
      </c>
      <c r="M144" s="336">
        <v>3.0460000000000001E-2</v>
      </c>
      <c r="N144" s="339">
        <f>ROUND(((N143*SUM($K$10:K143))+(M144*K144))/SUM($K$10:K144),5)</f>
        <v>2.5389999999999999E-2</v>
      </c>
      <c r="O144" s="340">
        <v>81.900000000000006</v>
      </c>
      <c r="Q144" s="335">
        <f t="shared" si="79"/>
        <v>35080</v>
      </c>
      <c r="R144" s="353">
        <v>35081</v>
      </c>
      <c r="S144" s="317">
        <f t="shared" si="72"/>
        <v>1</v>
      </c>
      <c r="U144" s="339">
        <v>3.7130000000000003E-2</v>
      </c>
      <c r="V144" s="339">
        <f>ROUND(((V143*SUM($S$10:S143))+(U144*S144))/SUM($S$10:S144),5)</f>
        <v>3.3059999999999999E-2</v>
      </c>
      <c r="W144" s="351">
        <v>88</v>
      </c>
      <c r="Y144" s="335">
        <f t="shared" si="80"/>
        <v>0</v>
      </c>
      <c r="Z144" s="345"/>
      <c r="AC144" s="346"/>
      <c r="AD144" s="339">
        <f>ROUND(((AD143*SUM($AA$10:AA143))+(AC144*AA144))/SUM($AA$10:AA144),5)</f>
        <v>-1.92E-3</v>
      </c>
      <c r="AH144" s="345"/>
      <c r="AS144" s="346"/>
      <c r="BB144" s="352"/>
      <c r="BC144" s="348"/>
      <c r="BE144" s="335">
        <f t="shared" si="73"/>
        <v>34667</v>
      </c>
      <c r="BF144" s="353">
        <v>34669</v>
      </c>
      <c r="BG144" s="317">
        <f t="shared" si="67"/>
        <v>2</v>
      </c>
      <c r="BH144" s="339">
        <v>3.6400000000000002E-2</v>
      </c>
      <c r="BI144" s="337">
        <f t="shared" si="56"/>
        <v>5983.56</v>
      </c>
      <c r="BJ144" s="341">
        <f>SUM(BI140:BI144)</f>
        <v>86301.37</v>
      </c>
      <c r="BK144" s="337">
        <v>85205.3</v>
      </c>
      <c r="BL144" s="341">
        <f>BJ144-BK144</f>
        <v>1096.0699999999924</v>
      </c>
      <c r="BM144" s="341">
        <f>BM139+BL144</f>
        <v>-25069.650000000005</v>
      </c>
      <c r="BO144" s="335">
        <f t="shared" si="74"/>
        <v>36615</v>
      </c>
      <c r="BP144" s="345">
        <v>36617</v>
      </c>
      <c r="BQ144" s="317">
        <f t="shared" si="63"/>
        <v>2</v>
      </c>
      <c r="BR144" s="346">
        <v>3.8600000000000002E-2</v>
      </c>
      <c r="BS144" s="337">
        <f t="shared" si="66"/>
        <v>3585.79</v>
      </c>
      <c r="BT144" s="341">
        <f>SUM(BS139:BS144)</f>
        <v>54084.15</v>
      </c>
      <c r="BW144" s="335">
        <f t="shared" si="82"/>
        <v>36832</v>
      </c>
      <c r="BX144" s="345">
        <v>36839</v>
      </c>
      <c r="BY144" s="317">
        <f t="shared" si="68"/>
        <v>7</v>
      </c>
      <c r="BZ144" s="346">
        <v>4.2799999999999998E-2</v>
      </c>
      <c r="CA144" s="337">
        <f t="shared" si="61"/>
        <v>40928.961749000002</v>
      </c>
      <c r="CD144" s="335">
        <f t="shared" si="81"/>
        <v>36832</v>
      </c>
      <c r="CE144" s="345">
        <v>36839</v>
      </c>
      <c r="CF144" s="317">
        <f t="shared" si="69"/>
        <v>7</v>
      </c>
      <c r="CG144" s="346">
        <v>4.2799999999999998E-2</v>
      </c>
      <c r="CH144" s="337">
        <f t="shared" si="58"/>
        <v>40928.961749000002</v>
      </c>
      <c r="CL144" s="335">
        <f t="shared" si="75"/>
        <v>37532</v>
      </c>
      <c r="CM144" s="345">
        <v>37539</v>
      </c>
      <c r="CN144" s="317">
        <f t="shared" si="59"/>
        <v>7</v>
      </c>
      <c r="CO144" s="346">
        <v>1.5699999999999999E-2</v>
      </c>
      <c r="CP144" s="346"/>
      <c r="CQ144" s="346"/>
      <c r="CR144" s="346"/>
      <c r="CS144" s="346"/>
      <c r="CT144" s="346"/>
      <c r="CU144" s="346"/>
      <c r="CV144" s="337">
        <f t="shared" si="76"/>
        <v>25091.83</v>
      </c>
    </row>
    <row r="145" spans="1:101" hidden="1" x14ac:dyDescent="0.25">
      <c r="A145" s="335">
        <f t="shared" si="77"/>
        <v>34654</v>
      </c>
      <c r="B145" s="335">
        <v>34660</v>
      </c>
      <c r="C145" s="317">
        <f t="shared" si="70"/>
        <v>6</v>
      </c>
      <c r="E145" s="339">
        <v>3.4590000000000003E-2</v>
      </c>
      <c r="F145" s="339">
        <f>ROUND(((F144*SUM($C$10:C144))+(E145*C145))/SUM($C$10:C145),5)</f>
        <v>2.6169999999999999E-2</v>
      </c>
      <c r="G145" s="351">
        <v>71.7</v>
      </c>
      <c r="I145" s="335">
        <f t="shared" si="78"/>
        <v>34535</v>
      </c>
      <c r="J145" s="335">
        <v>34541</v>
      </c>
      <c r="K145" s="317">
        <f t="shared" si="71"/>
        <v>6</v>
      </c>
      <c r="M145" s="336">
        <v>3.0350000000000002E-2</v>
      </c>
      <c r="N145" s="339">
        <f>ROUND(((N144*SUM($K$10:K144))+(M145*K145))/SUM($K$10:K145),5)</f>
        <v>2.5430000000000001E-2</v>
      </c>
      <c r="O145" s="340">
        <v>81.099999999999994</v>
      </c>
      <c r="Q145" s="335">
        <f t="shared" si="79"/>
        <v>35081</v>
      </c>
      <c r="R145" s="353">
        <v>35083</v>
      </c>
      <c r="S145" s="317">
        <f t="shared" si="72"/>
        <v>2</v>
      </c>
      <c r="U145" s="339">
        <v>3.6479999999999999E-2</v>
      </c>
      <c r="V145" s="339">
        <f>ROUND(((V144*SUM($S$10:S144))+(U145*S145))/SUM($S$10:S145),5)</f>
        <v>3.3070000000000002E-2</v>
      </c>
      <c r="W145" s="351">
        <v>88.8</v>
      </c>
      <c r="Y145" s="335">
        <f t="shared" si="80"/>
        <v>0</v>
      </c>
      <c r="Z145" s="345"/>
      <c r="AC145" s="346"/>
      <c r="AD145" s="339">
        <f>ROUND(((AD144*SUM($AA$10:AA144))+(AC145*AA145))/SUM($AA$10:AA145),5)</f>
        <v>-1.92E-3</v>
      </c>
      <c r="AH145" s="345"/>
      <c r="AS145" s="346"/>
      <c r="BB145" s="352"/>
      <c r="BC145" s="348"/>
      <c r="BE145" s="335">
        <f t="shared" si="73"/>
        <v>34669</v>
      </c>
      <c r="BF145" s="353">
        <v>34674</v>
      </c>
      <c r="BG145" s="317">
        <f t="shared" si="67"/>
        <v>5</v>
      </c>
      <c r="BH145" s="339">
        <v>3.6400000000000002E-2</v>
      </c>
      <c r="BI145" s="337">
        <f t="shared" si="56"/>
        <v>14958.9</v>
      </c>
      <c r="BK145" s="337"/>
      <c r="BO145" s="335">
        <f t="shared" si="74"/>
        <v>36617</v>
      </c>
      <c r="BP145" s="345">
        <v>36622</v>
      </c>
      <c r="BQ145" s="317">
        <f t="shared" si="63"/>
        <v>5</v>
      </c>
      <c r="BR145" s="346">
        <v>3.8600000000000002E-2</v>
      </c>
      <c r="BS145" s="337">
        <f t="shared" si="66"/>
        <v>8964.48</v>
      </c>
      <c r="BW145" s="335">
        <f t="shared" si="82"/>
        <v>36839</v>
      </c>
      <c r="BX145" s="345">
        <v>36846</v>
      </c>
      <c r="BY145" s="317">
        <f t="shared" si="68"/>
        <v>7</v>
      </c>
      <c r="BZ145" s="346">
        <v>4.3900000000000002E-2</v>
      </c>
      <c r="CA145" s="337">
        <f t="shared" si="61"/>
        <v>41980.874317000002</v>
      </c>
      <c r="CD145" s="335">
        <f t="shared" si="81"/>
        <v>36839</v>
      </c>
      <c r="CE145" s="345">
        <v>36846</v>
      </c>
      <c r="CF145" s="317">
        <f t="shared" si="69"/>
        <v>7</v>
      </c>
      <c r="CG145" s="346">
        <v>4.3900000000000002E-2</v>
      </c>
      <c r="CH145" s="337">
        <f t="shared" si="58"/>
        <v>41980.874317000002</v>
      </c>
      <c r="CL145" s="335">
        <f t="shared" si="75"/>
        <v>37539</v>
      </c>
      <c r="CM145" s="345">
        <v>37546</v>
      </c>
      <c r="CN145" s="317">
        <f t="shared" si="59"/>
        <v>7</v>
      </c>
      <c r="CO145" s="346">
        <v>1.4999999999999999E-2</v>
      </c>
      <c r="CP145" s="346"/>
      <c r="CQ145" s="346"/>
      <c r="CR145" s="346"/>
      <c r="CS145" s="346"/>
      <c r="CT145" s="346"/>
      <c r="CU145" s="346"/>
      <c r="CV145" s="337">
        <f t="shared" si="76"/>
        <v>23973.08</v>
      </c>
    </row>
    <row r="146" spans="1:101" hidden="1" x14ac:dyDescent="0.25">
      <c r="A146" s="335">
        <f t="shared" si="77"/>
        <v>34660</v>
      </c>
      <c r="B146" s="335">
        <v>34673</v>
      </c>
      <c r="C146" s="317">
        <f t="shared" si="70"/>
        <v>13</v>
      </c>
      <c r="E146" s="339">
        <v>3.524E-2</v>
      </c>
      <c r="F146" s="339">
        <f>ROUND(((F145*SUM($C$10:C145))+(E146*C146))/SUM($C$10:C146),5)</f>
        <v>2.632E-2</v>
      </c>
      <c r="G146" s="351">
        <v>79.2</v>
      </c>
      <c r="I146" s="335">
        <f t="shared" si="78"/>
        <v>34541</v>
      </c>
      <c r="J146" s="335">
        <v>34554</v>
      </c>
      <c r="K146" s="317">
        <f t="shared" si="71"/>
        <v>13</v>
      </c>
      <c r="M146" s="336">
        <v>3.014E-2</v>
      </c>
      <c r="N146" s="339">
        <f>ROUND(((N145*SUM($K$10:K145))+(M146*K146))/SUM($K$10:K146),5)</f>
        <v>2.5520000000000001E-2</v>
      </c>
      <c r="O146" s="340">
        <v>78.599999999999994</v>
      </c>
      <c r="Q146" s="335">
        <f t="shared" si="79"/>
        <v>35083</v>
      </c>
      <c r="R146" s="353">
        <v>35090</v>
      </c>
      <c r="S146" s="317">
        <f t="shared" si="72"/>
        <v>7</v>
      </c>
      <c r="U146" s="339">
        <v>3.6339999999999997E-2</v>
      </c>
      <c r="V146" s="339">
        <f>ROUND(((V145*SUM($S$10:S145))+(U146*S146))/SUM($S$10:S146),5)</f>
        <v>3.3099999999999997E-2</v>
      </c>
      <c r="W146" s="351">
        <v>91.4</v>
      </c>
      <c r="Y146" s="335">
        <f t="shared" si="80"/>
        <v>0</v>
      </c>
      <c r="Z146" s="345"/>
      <c r="AC146" s="346"/>
      <c r="AD146" s="339">
        <f>ROUND(((AD145*SUM($AA$10:AA145))+(AC146*AA146))/SUM($AA$10:AA146),5)</f>
        <v>-1.92E-3</v>
      </c>
      <c r="AH146" s="345"/>
      <c r="AS146" s="346"/>
      <c r="BB146" s="352"/>
      <c r="BC146" s="348"/>
      <c r="BE146" s="335">
        <f t="shared" si="73"/>
        <v>34674</v>
      </c>
      <c r="BF146" s="353">
        <v>34681</v>
      </c>
      <c r="BG146" s="317">
        <f t="shared" si="67"/>
        <v>7</v>
      </c>
      <c r="BH146" s="339">
        <v>0.03</v>
      </c>
      <c r="BI146" s="337">
        <f t="shared" si="56"/>
        <v>17260.27</v>
      </c>
      <c r="BK146" s="337"/>
      <c r="BO146" s="335">
        <f t="shared" si="74"/>
        <v>36622</v>
      </c>
      <c r="BP146" s="345">
        <v>36629</v>
      </c>
      <c r="BQ146" s="317">
        <f t="shared" si="63"/>
        <v>7</v>
      </c>
      <c r="BR146" s="346">
        <v>3.5400000000000001E-2</v>
      </c>
      <c r="BS146" s="337">
        <f t="shared" si="66"/>
        <v>11509.84</v>
      </c>
      <c r="BW146" s="335">
        <f t="shared" si="82"/>
        <v>36846</v>
      </c>
      <c r="BX146" s="345">
        <v>36854</v>
      </c>
      <c r="BY146" s="317">
        <f t="shared" si="68"/>
        <v>8</v>
      </c>
      <c r="BZ146" s="346">
        <v>4.5600000000000002E-2</v>
      </c>
      <c r="CA146" s="337">
        <f t="shared" si="61"/>
        <v>49836.065574</v>
      </c>
      <c r="CD146" s="335">
        <f t="shared" si="81"/>
        <v>36846</v>
      </c>
      <c r="CE146" s="345">
        <v>36854</v>
      </c>
      <c r="CF146" s="317">
        <f t="shared" si="69"/>
        <v>8</v>
      </c>
      <c r="CG146" s="346">
        <v>4.5600000000000002E-2</v>
      </c>
      <c r="CH146" s="337">
        <f t="shared" si="58"/>
        <v>49836.065574</v>
      </c>
      <c r="CL146" s="335">
        <f t="shared" si="75"/>
        <v>37546</v>
      </c>
      <c r="CM146" s="345">
        <v>37553</v>
      </c>
      <c r="CN146" s="317">
        <f t="shared" si="59"/>
        <v>7</v>
      </c>
      <c r="CO146" s="346">
        <v>1.7600000000000001E-2</v>
      </c>
      <c r="CP146" s="346"/>
      <c r="CQ146" s="346"/>
      <c r="CR146" s="346"/>
      <c r="CS146" s="346"/>
      <c r="CT146" s="346"/>
      <c r="CU146" s="346"/>
      <c r="CV146" s="337">
        <f t="shared" si="76"/>
        <v>28128.42</v>
      </c>
    </row>
    <row r="147" spans="1:101" hidden="1" x14ac:dyDescent="0.25">
      <c r="A147" s="335">
        <f t="shared" si="77"/>
        <v>34673</v>
      </c>
      <c r="B147" s="335">
        <v>34675</v>
      </c>
      <c r="C147" s="317">
        <f t="shared" si="70"/>
        <v>2</v>
      </c>
      <c r="E147" s="339">
        <v>3.533E-2</v>
      </c>
      <c r="F147" s="339">
        <f>ROUND(((F146*SUM($C$10:C146))+(E147*C147))/SUM($C$10:C147),5)</f>
        <v>2.6339999999999999E-2</v>
      </c>
      <c r="G147" s="351">
        <v>79.2</v>
      </c>
      <c r="I147" s="335">
        <f t="shared" si="78"/>
        <v>34554</v>
      </c>
      <c r="J147" s="335">
        <v>34558</v>
      </c>
      <c r="K147" s="317">
        <f t="shared" si="71"/>
        <v>4</v>
      </c>
      <c r="M147" s="336">
        <v>3.024E-2</v>
      </c>
      <c r="N147" s="339">
        <f>ROUND(((N146*SUM($K$10:K146))+(M147*K147))/SUM($K$10:K147),5)</f>
        <v>2.555E-2</v>
      </c>
      <c r="O147" s="340">
        <v>79</v>
      </c>
      <c r="Q147" s="335">
        <f t="shared" si="79"/>
        <v>35090</v>
      </c>
      <c r="R147" s="353">
        <v>35093</v>
      </c>
      <c r="S147" s="317">
        <f t="shared" si="72"/>
        <v>3</v>
      </c>
      <c r="U147" s="339">
        <v>3.6179999999999997E-2</v>
      </c>
      <c r="V147" s="339">
        <f>ROUND(((V146*SUM($S$10:S146))+(U147*S147))/SUM($S$10:S147),5)</f>
        <v>3.3110000000000001E-2</v>
      </c>
      <c r="W147" s="351">
        <v>85.2</v>
      </c>
      <c r="Y147" s="335">
        <f t="shared" si="80"/>
        <v>0</v>
      </c>
      <c r="Z147" s="345"/>
      <c r="AC147" s="346"/>
      <c r="AD147" s="339">
        <f>ROUND(((AD146*SUM($AA$10:AA146))+(AC147*AA147))/SUM($AA$10:AA147),5)</f>
        <v>-1.92E-3</v>
      </c>
      <c r="AH147" s="345"/>
      <c r="AS147" s="346"/>
      <c r="BB147" s="352"/>
      <c r="BC147" s="348"/>
      <c r="BE147" s="335">
        <f t="shared" si="73"/>
        <v>34681</v>
      </c>
      <c r="BF147" s="353">
        <v>34688</v>
      </c>
      <c r="BG147" s="317">
        <f t="shared" si="67"/>
        <v>7</v>
      </c>
      <c r="BH147" s="339">
        <v>0.04</v>
      </c>
      <c r="BI147" s="337">
        <f t="shared" si="56"/>
        <v>23013.7</v>
      </c>
      <c r="BK147" s="337"/>
      <c r="BO147" s="335">
        <f t="shared" si="74"/>
        <v>36629</v>
      </c>
      <c r="BP147" s="345">
        <v>36636</v>
      </c>
      <c r="BQ147" s="317">
        <f t="shared" si="63"/>
        <v>7</v>
      </c>
      <c r="BR147" s="346">
        <v>3.9600000000000003E-2</v>
      </c>
      <c r="BS147" s="337">
        <f t="shared" si="66"/>
        <v>12875.41</v>
      </c>
      <c r="BW147" s="335">
        <f t="shared" si="82"/>
        <v>36854</v>
      </c>
      <c r="BX147" s="345">
        <v>36860</v>
      </c>
      <c r="BY147" s="317">
        <f t="shared" si="68"/>
        <v>6</v>
      </c>
      <c r="BZ147" s="347">
        <v>4.2999999999999997E-2</v>
      </c>
      <c r="CA147" s="337">
        <f t="shared" si="61"/>
        <v>35245.901639000003</v>
      </c>
      <c r="CD147" s="335">
        <f t="shared" si="81"/>
        <v>36854</v>
      </c>
      <c r="CE147" s="345">
        <v>36860</v>
      </c>
      <c r="CF147" s="317">
        <f t="shared" si="69"/>
        <v>6</v>
      </c>
      <c r="CG147" s="346">
        <v>4.2999999999999997E-2</v>
      </c>
      <c r="CH147" s="337">
        <f t="shared" si="58"/>
        <v>35245.901639000003</v>
      </c>
      <c r="CL147" s="335">
        <f t="shared" si="75"/>
        <v>37553</v>
      </c>
      <c r="CM147" s="345">
        <v>37560</v>
      </c>
      <c r="CN147" s="317">
        <f t="shared" si="59"/>
        <v>7</v>
      </c>
      <c r="CO147" s="346">
        <v>1.83E-2</v>
      </c>
      <c r="CP147" s="346"/>
      <c r="CQ147" s="346"/>
      <c r="CR147" s="346"/>
      <c r="CS147" s="346"/>
      <c r="CT147" s="346"/>
      <c r="CU147" s="346"/>
      <c r="CV147" s="337">
        <f t="shared" si="76"/>
        <v>29247.16</v>
      </c>
    </row>
    <row r="148" spans="1:101" hidden="1" x14ac:dyDescent="0.25">
      <c r="A148" s="335">
        <f t="shared" si="77"/>
        <v>34675</v>
      </c>
      <c r="B148" s="353">
        <v>34676</v>
      </c>
      <c r="C148" s="317">
        <f t="shared" si="70"/>
        <v>1</v>
      </c>
      <c r="E148" s="339">
        <v>3.5770000000000003E-2</v>
      </c>
      <c r="F148" s="339">
        <f>ROUND(((F147*SUM($C$10:C147))+(E148*C148))/SUM($C$10:C148),5)</f>
        <v>2.6349999999999998E-2</v>
      </c>
      <c r="G148" s="316">
        <v>75.099999999999994</v>
      </c>
      <c r="I148" s="335">
        <f t="shared" si="78"/>
        <v>34558</v>
      </c>
      <c r="J148" s="335">
        <v>34561</v>
      </c>
      <c r="K148" s="317">
        <f t="shared" si="71"/>
        <v>3</v>
      </c>
      <c r="M148" s="336">
        <v>3.0419999999999999E-2</v>
      </c>
      <c r="N148" s="339">
        <f>ROUND(((N147*SUM($K$10:K147))+(M148*K148))/SUM($K$10:K148),5)</f>
        <v>2.5569999999999999E-2</v>
      </c>
      <c r="O148" s="340">
        <v>76.5</v>
      </c>
      <c r="Q148" s="335">
        <f t="shared" si="79"/>
        <v>35093</v>
      </c>
      <c r="R148" s="353">
        <v>35094</v>
      </c>
      <c r="S148" s="317">
        <f t="shared" si="72"/>
        <v>1</v>
      </c>
      <c r="U148" s="339">
        <v>3.5959999999999999E-2</v>
      </c>
      <c r="V148" s="339">
        <f>ROUND(((V147*SUM($S$10:S147))+(U148*S148))/SUM($S$10:S148),5)</f>
        <v>3.3110000000000001E-2</v>
      </c>
      <c r="W148" s="351">
        <v>92.4</v>
      </c>
      <c r="Y148" s="335">
        <f t="shared" si="80"/>
        <v>0</v>
      </c>
      <c r="Z148" s="345"/>
      <c r="AC148" s="346"/>
      <c r="AD148" s="339">
        <f>ROUND(((AD147*SUM($AA$10:AA147))+(AC148*AA148))/SUM($AA$10:AA148),5)</f>
        <v>-1.92E-3</v>
      </c>
      <c r="AH148" s="345"/>
      <c r="AS148" s="346"/>
      <c r="BB148" s="352"/>
      <c r="BC148" s="348"/>
      <c r="BE148" s="335">
        <f t="shared" si="73"/>
        <v>34688</v>
      </c>
      <c r="BF148" s="353">
        <v>34695</v>
      </c>
      <c r="BG148" s="317">
        <f t="shared" si="67"/>
        <v>7</v>
      </c>
      <c r="BH148" s="339">
        <v>5.1000000000000004E-2</v>
      </c>
      <c r="BI148" s="337">
        <f t="shared" si="56"/>
        <v>29342.47</v>
      </c>
      <c r="BK148" s="337"/>
      <c r="BO148" s="335">
        <f t="shared" si="74"/>
        <v>36636</v>
      </c>
      <c r="BP148" s="345">
        <v>36643</v>
      </c>
      <c r="BQ148" s="317">
        <f t="shared" si="63"/>
        <v>7</v>
      </c>
      <c r="BR148" s="346">
        <v>4.4699999999999997E-2</v>
      </c>
      <c r="BS148" s="337">
        <f t="shared" si="66"/>
        <v>14533.61</v>
      </c>
      <c r="BW148" s="335">
        <f t="shared" si="82"/>
        <v>36860</v>
      </c>
      <c r="BX148" s="345">
        <v>36861</v>
      </c>
      <c r="BY148" s="317">
        <f t="shared" si="68"/>
        <v>1</v>
      </c>
      <c r="BZ148" s="347">
        <v>4.1200000000000001E-2</v>
      </c>
      <c r="CA148" s="337">
        <f t="shared" si="61"/>
        <v>5628.415301</v>
      </c>
      <c r="CB148" s="341">
        <f>SUM(CA143:CA148)</f>
        <v>179535.519126</v>
      </c>
      <c r="CD148" s="335">
        <f t="shared" si="81"/>
        <v>36860</v>
      </c>
      <c r="CE148" s="345">
        <v>36861</v>
      </c>
      <c r="CF148" s="317">
        <f t="shared" si="69"/>
        <v>1</v>
      </c>
      <c r="CG148" s="346">
        <v>4.1200000000000001E-2</v>
      </c>
      <c r="CH148" s="337">
        <f t="shared" si="58"/>
        <v>5628.415301</v>
      </c>
      <c r="CI148" s="341">
        <f>SUM(CH143:CH148)</f>
        <v>179535.519126</v>
      </c>
      <c r="CL148" s="335">
        <f t="shared" si="75"/>
        <v>37560</v>
      </c>
      <c r="CM148" s="345">
        <v>37561</v>
      </c>
      <c r="CN148" s="317">
        <f t="shared" si="59"/>
        <v>1</v>
      </c>
      <c r="CO148" s="346">
        <v>1.8499999999999999E-2</v>
      </c>
      <c r="CP148" s="346"/>
      <c r="CQ148" s="346"/>
      <c r="CR148" s="346"/>
      <c r="CS148" s="346"/>
      <c r="CT148" s="346"/>
      <c r="CU148" s="346"/>
      <c r="CV148" s="337">
        <f t="shared" si="76"/>
        <v>4223.83</v>
      </c>
      <c r="CW148" s="341">
        <f>SUM(CV143:CV148)</f>
        <v>118335.71</v>
      </c>
    </row>
    <row r="149" spans="1:101" hidden="1" x14ac:dyDescent="0.25">
      <c r="A149" s="335">
        <f t="shared" si="77"/>
        <v>34676</v>
      </c>
      <c r="B149" s="353">
        <v>34681</v>
      </c>
      <c r="C149" s="317">
        <f t="shared" si="70"/>
        <v>5</v>
      </c>
      <c r="E149" s="339">
        <v>3.5860000000000003E-2</v>
      </c>
      <c r="F149" s="339">
        <f>ROUND(((F148*SUM($C$10:C148))+(E149*C149))/SUM($C$10:C149),5)</f>
        <v>2.6409999999999999E-2</v>
      </c>
      <c r="G149" s="316">
        <v>75.5</v>
      </c>
      <c r="I149" s="335">
        <f t="shared" si="78"/>
        <v>34561</v>
      </c>
      <c r="J149" s="335">
        <v>34562</v>
      </c>
      <c r="K149" s="317">
        <f t="shared" si="71"/>
        <v>1</v>
      </c>
      <c r="M149" s="336">
        <v>3.0679999999999999E-2</v>
      </c>
      <c r="N149" s="339">
        <f>ROUND(((N148*SUM($K$10:K148))+(M149*K149))/SUM($K$10:K149),5)</f>
        <v>2.5579999999999999E-2</v>
      </c>
      <c r="O149" s="340">
        <v>78.2</v>
      </c>
      <c r="Q149" s="335">
        <f t="shared" si="79"/>
        <v>35094</v>
      </c>
      <c r="R149" s="353">
        <v>35107</v>
      </c>
      <c r="S149" s="317">
        <f t="shared" si="72"/>
        <v>13</v>
      </c>
      <c r="U149" s="339">
        <v>3.5729999999999998E-2</v>
      </c>
      <c r="V149" s="339">
        <f>ROUND(((V148*SUM($S$10:S148))+(U149*S149))/SUM($S$10:S149),5)</f>
        <v>3.3149999999999999E-2</v>
      </c>
      <c r="W149" s="351">
        <v>90.9</v>
      </c>
      <c r="Y149" s="335">
        <f t="shared" si="80"/>
        <v>0</v>
      </c>
      <c r="Z149" s="345"/>
      <c r="AC149" s="346"/>
      <c r="AD149" s="339">
        <f>ROUND(((AD148*SUM($AA$10:AA148))+(AC149*AA149))/SUM($AA$10:AA149),5)</f>
        <v>-1.92E-3</v>
      </c>
      <c r="AH149" s="345"/>
      <c r="AS149" s="346"/>
      <c r="BB149" s="352"/>
      <c r="BC149" s="348"/>
      <c r="BE149" s="335">
        <f t="shared" si="73"/>
        <v>34695</v>
      </c>
      <c r="BF149" s="353">
        <v>34700</v>
      </c>
      <c r="BG149" s="317">
        <f t="shared" si="67"/>
        <v>5</v>
      </c>
      <c r="BH149" s="339">
        <v>5.3900000000000003E-2</v>
      </c>
      <c r="BI149" s="337">
        <f t="shared" si="56"/>
        <v>22150.68</v>
      </c>
      <c r="BJ149" s="341">
        <f>SUM(BI145:BI149)</f>
        <v>106726.01999999999</v>
      </c>
      <c r="BK149" s="337">
        <v>91917.78</v>
      </c>
      <c r="BL149" s="341">
        <f>BJ149-BK149</f>
        <v>14808.239999999991</v>
      </c>
      <c r="BM149" s="341">
        <f>BM144+BL149</f>
        <v>-10261.410000000014</v>
      </c>
      <c r="BO149" s="335">
        <f t="shared" si="74"/>
        <v>36643</v>
      </c>
      <c r="BP149" s="345">
        <v>36647</v>
      </c>
      <c r="BQ149" s="317">
        <f t="shared" si="63"/>
        <v>4</v>
      </c>
      <c r="BR149" s="346">
        <v>5.0299999999999997E-2</v>
      </c>
      <c r="BS149" s="337">
        <f t="shared" si="66"/>
        <v>9345.36</v>
      </c>
      <c r="BT149" s="341">
        <f>SUM(BS145:BS149)</f>
        <v>57228.7</v>
      </c>
      <c r="BW149" s="335">
        <f t="shared" si="82"/>
        <v>36861</v>
      </c>
      <c r="BX149" s="345">
        <v>36867</v>
      </c>
      <c r="BY149" s="317">
        <f t="shared" si="68"/>
        <v>6</v>
      </c>
      <c r="BZ149" s="347">
        <v>4.1200000000000001E-2</v>
      </c>
      <c r="CA149" s="337">
        <f t="shared" si="61"/>
        <v>33770.491802999997</v>
      </c>
      <c r="CD149" s="335">
        <f t="shared" si="81"/>
        <v>36861</v>
      </c>
      <c r="CE149" s="345">
        <v>36867</v>
      </c>
      <c r="CF149" s="317">
        <f t="shared" si="69"/>
        <v>6</v>
      </c>
      <c r="CG149" s="346">
        <v>4.1200000000000001E-2</v>
      </c>
      <c r="CH149" s="337">
        <f t="shared" si="58"/>
        <v>33770.491802999997</v>
      </c>
      <c r="CL149" s="335">
        <f t="shared" si="75"/>
        <v>37561</v>
      </c>
      <c r="CM149" s="345">
        <v>37567</v>
      </c>
      <c r="CN149" s="317">
        <f t="shared" si="59"/>
        <v>6</v>
      </c>
      <c r="CO149" s="347">
        <v>1.8499999999999999E-2</v>
      </c>
      <c r="CP149" s="347"/>
      <c r="CQ149" s="347"/>
      <c r="CR149" s="347"/>
      <c r="CS149" s="347"/>
      <c r="CT149" s="347"/>
      <c r="CU149" s="347"/>
      <c r="CV149" s="337">
        <f t="shared" si="76"/>
        <v>25342.97</v>
      </c>
    </row>
    <row r="150" spans="1:101" hidden="1" x14ac:dyDescent="0.25">
      <c r="A150" s="335">
        <f t="shared" si="77"/>
        <v>34681</v>
      </c>
      <c r="B150" s="353">
        <v>34683</v>
      </c>
      <c r="C150" s="317">
        <f t="shared" si="70"/>
        <v>2</v>
      </c>
      <c r="E150" s="339">
        <v>3.5860000000000003E-2</v>
      </c>
      <c r="F150" s="339">
        <f>ROUND(((F149*SUM($C$10:C149))+(E150*C150))/SUM($C$10:C150),5)</f>
        <v>2.6429999999999999E-2</v>
      </c>
      <c r="G150" s="316">
        <v>75.400000000000006</v>
      </c>
      <c r="I150" s="335">
        <f t="shared" si="78"/>
        <v>34562</v>
      </c>
      <c r="J150" s="335">
        <v>34563</v>
      </c>
      <c r="K150" s="317">
        <f t="shared" si="71"/>
        <v>1</v>
      </c>
      <c r="M150" s="336">
        <v>3.0769999999999999E-2</v>
      </c>
      <c r="N150" s="339">
        <f>ROUND(((N149*SUM($K$10:K149))+(M150*K150))/SUM($K$10:K150),5)</f>
        <v>2.5590000000000002E-2</v>
      </c>
      <c r="O150" s="340">
        <v>75</v>
      </c>
      <c r="Q150" s="335">
        <f t="shared" si="79"/>
        <v>35107</v>
      </c>
      <c r="R150" s="353">
        <v>35122</v>
      </c>
      <c r="S150" s="317">
        <f t="shared" si="72"/>
        <v>15</v>
      </c>
      <c r="U150" s="339">
        <v>3.3399999999999999E-2</v>
      </c>
      <c r="V150" s="339">
        <f>ROUND(((V149*SUM($S$10:S149))+(U150*S150))/SUM($S$10:S150),5)</f>
        <v>3.3149999999999999E-2</v>
      </c>
      <c r="W150" s="351">
        <v>91.8</v>
      </c>
      <c r="Y150" s="335">
        <f t="shared" si="80"/>
        <v>0</v>
      </c>
      <c r="Z150" s="345"/>
      <c r="AC150" s="346"/>
      <c r="AD150" s="339">
        <f>ROUND(((AD149*SUM($AA$10:AA149))+(AC150*AA150))/SUM($AA$10:AA150),5)</f>
        <v>-1.92E-3</v>
      </c>
      <c r="AH150" s="345"/>
      <c r="AS150" s="346"/>
      <c r="BB150" s="352"/>
      <c r="BC150" s="348"/>
      <c r="BE150" s="335">
        <f t="shared" si="73"/>
        <v>34700</v>
      </c>
      <c r="BF150" s="353">
        <v>34702</v>
      </c>
      <c r="BG150" s="317">
        <f t="shared" si="67"/>
        <v>2</v>
      </c>
      <c r="BH150" s="339">
        <v>5.3900000000000003E-2</v>
      </c>
      <c r="BI150" s="337">
        <f t="shared" si="56"/>
        <v>8860.27</v>
      </c>
      <c r="BK150" s="337"/>
      <c r="BO150" s="335">
        <f t="shared" si="74"/>
        <v>36647</v>
      </c>
      <c r="BP150" s="345">
        <v>36650</v>
      </c>
      <c r="BQ150" s="317">
        <f t="shared" si="63"/>
        <v>3</v>
      </c>
      <c r="BR150" s="346">
        <v>5.0299999999999997E-2</v>
      </c>
      <c r="BS150" s="337">
        <f t="shared" si="66"/>
        <v>7009.02</v>
      </c>
      <c r="BW150" s="335">
        <v>36871</v>
      </c>
      <c r="BX150" s="345">
        <v>36874</v>
      </c>
      <c r="BY150" s="317">
        <f t="shared" si="68"/>
        <v>3</v>
      </c>
      <c r="BZ150" s="347">
        <v>3.6700000000000003E-2</v>
      </c>
      <c r="CA150" s="337">
        <f t="shared" si="61"/>
        <v>15040.983607</v>
      </c>
      <c r="CD150" s="335">
        <v>36871</v>
      </c>
      <c r="CE150" s="345">
        <v>36874</v>
      </c>
      <c r="CF150" s="317">
        <f t="shared" si="69"/>
        <v>3</v>
      </c>
      <c r="CG150" s="346">
        <v>3.6700000000000003E-2</v>
      </c>
      <c r="CH150" s="337">
        <f t="shared" si="58"/>
        <v>15040.983607</v>
      </c>
      <c r="CL150" s="335">
        <f t="shared" si="75"/>
        <v>37567</v>
      </c>
      <c r="CM150" s="345">
        <v>37574</v>
      </c>
      <c r="CN150" s="317">
        <f t="shared" si="59"/>
        <v>7</v>
      </c>
      <c r="CO150" s="347">
        <v>1.7100000000000001E-2</v>
      </c>
      <c r="CP150" s="347"/>
      <c r="CQ150" s="347"/>
      <c r="CR150" s="347"/>
      <c r="CS150" s="347"/>
      <c r="CT150" s="347"/>
      <c r="CU150" s="347"/>
      <c r="CV150" s="337">
        <f t="shared" si="76"/>
        <v>27329.31</v>
      </c>
    </row>
    <row r="151" spans="1:101" hidden="1" x14ac:dyDescent="0.25">
      <c r="A151" s="335">
        <f t="shared" si="77"/>
        <v>34683</v>
      </c>
      <c r="B151" s="353">
        <v>34704</v>
      </c>
      <c r="C151" s="317">
        <f t="shared" si="70"/>
        <v>21</v>
      </c>
      <c r="E151" s="339">
        <v>3.6000000000000004E-2</v>
      </c>
      <c r="F151" s="339">
        <f>ROUND(((F150*SUM($C$10:C150))+(E151*C151))/SUM($C$10:C151),5)</f>
        <v>2.6669999999999999E-2</v>
      </c>
      <c r="G151" s="316">
        <v>76.7</v>
      </c>
      <c r="I151" s="335">
        <f t="shared" si="78"/>
        <v>34563</v>
      </c>
      <c r="J151" s="335">
        <v>34568</v>
      </c>
      <c r="K151" s="317">
        <f t="shared" si="71"/>
        <v>5</v>
      </c>
      <c r="M151" s="336">
        <v>3.09E-2</v>
      </c>
      <c r="N151" s="339">
        <f>ROUND(((N150*SUM($K$10:K150))+(M151*K151))/SUM($K$10:K151),5)</f>
        <v>2.563E-2</v>
      </c>
      <c r="O151" s="340">
        <v>75.5</v>
      </c>
      <c r="Q151" s="335">
        <f t="shared" si="79"/>
        <v>35122</v>
      </c>
      <c r="R151" s="353">
        <v>35136</v>
      </c>
      <c r="S151" s="317">
        <f t="shared" si="72"/>
        <v>14</v>
      </c>
      <c r="U151" s="339">
        <v>3.3450000000000001E-2</v>
      </c>
      <c r="V151" s="339">
        <f>ROUND(((V150*SUM($S$10:S150))+(U151*S151))/SUM($S$10:S151),5)</f>
        <v>3.3149999999999999E-2</v>
      </c>
      <c r="W151" s="351">
        <v>92.1</v>
      </c>
      <c r="Y151" s="335">
        <f t="shared" si="80"/>
        <v>0</v>
      </c>
      <c r="Z151" s="345"/>
      <c r="AC151" s="346"/>
      <c r="AD151" s="339">
        <f>ROUND(((AD150*SUM($AA$10:AA150))+(AC151*AA151))/SUM($AA$10:AA151),5)</f>
        <v>-1.92E-3</v>
      </c>
      <c r="AH151" s="345"/>
      <c r="AS151" s="346"/>
      <c r="BB151" s="352"/>
      <c r="BC151" s="348"/>
      <c r="BE151" s="335">
        <f t="shared" si="73"/>
        <v>34702</v>
      </c>
      <c r="BF151" s="353">
        <v>34709</v>
      </c>
      <c r="BG151" s="317">
        <f t="shared" si="67"/>
        <v>7</v>
      </c>
      <c r="BH151" s="339">
        <v>3.5099999999999999E-2</v>
      </c>
      <c r="BI151" s="337">
        <f t="shared" si="56"/>
        <v>20194.52</v>
      </c>
      <c r="BK151" s="337"/>
      <c r="BO151" s="335">
        <f t="shared" si="74"/>
        <v>36650</v>
      </c>
      <c r="BP151" s="345">
        <v>36657</v>
      </c>
      <c r="BQ151" s="317">
        <f t="shared" si="63"/>
        <v>7</v>
      </c>
      <c r="BR151" s="346">
        <v>5.7099999999999998E-2</v>
      </c>
      <c r="BS151" s="337">
        <f t="shared" si="66"/>
        <v>18565.3</v>
      </c>
      <c r="BW151" s="335">
        <f t="shared" si="82"/>
        <v>36874</v>
      </c>
      <c r="BX151" s="345">
        <v>36881</v>
      </c>
      <c r="BY151" s="317">
        <f t="shared" si="68"/>
        <v>7</v>
      </c>
      <c r="BZ151" s="347">
        <v>4.2099999999999999E-2</v>
      </c>
      <c r="CA151" s="337">
        <f t="shared" si="61"/>
        <v>40259.562841999999</v>
      </c>
      <c r="CD151" s="335">
        <f t="shared" si="81"/>
        <v>36874</v>
      </c>
      <c r="CE151" s="345">
        <v>36881</v>
      </c>
      <c r="CF151" s="317">
        <f t="shared" si="69"/>
        <v>7</v>
      </c>
      <c r="CG151" s="346">
        <v>4.2099999999999999E-2</v>
      </c>
      <c r="CH151" s="337">
        <f t="shared" si="58"/>
        <v>40259.562841999999</v>
      </c>
      <c r="CL151" s="335">
        <f t="shared" si="75"/>
        <v>37574</v>
      </c>
      <c r="CM151" s="345">
        <v>37581</v>
      </c>
      <c r="CN151" s="317">
        <f t="shared" si="59"/>
        <v>7</v>
      </c>
      <c r="CO151" s="347">
        <v>1.38E-2</v>
      </c>
      <c r="CP151" s="347"/>
      <c r="CQ151" s="347"/>
      <c r="CR151" s="347"/>
      <c r="CS151" s="347"/>
      <c r="CT151" s="347"/>
      <c r="CU151" s="347"/>
      <c r="CV151" s="337">
        <f t="shared" si="76"/>
        <v>22055.24</v>
      </c>
    </row>
    <row r="152" spans="1:101" hidden="1" x14ac:dyDescent="0.25">
      <c r="A152" s="335">
        <f t="shared" si="77"/>
        <v>34704</v>
      </c>
      <c r="B152" s="353">
        <v>34705</v>
      </c>
      <c r="C152" s="317">
        <f t="shared" si="70"/>
        <v>1</v>
      </c>
      <c r="E152" s="339">
        <v>3.5560000000000001E-2</v>
      </c>
      <c r="F152" s="339">
        <f>ROUND(((F151*SUM($C$10:C151))+(E152*C152))/SUM($C$10:C152),5)</f>
        <v>2.6679999999999999E-2</v>
      </c>
      <c r="G152" s="316">
        <v>71.099999999999994</v>
      </c>
      <c r="I152" s="335">
        <f t="shared" si="78"/>
        <v>34568</v>
      </c>
      <c r="J152" s="335">
        <v>34570</v>
      </c>
      <c r="K152" s="317">
        <f t="shared" si="71"/>
        <v>2</v>
      </c>
      <c r="M152" s="336">
        <v>3.1E-2</v>
      </c>
      <c r="N152" s="339">
        <f>ROUND(((N151*SUM($K$10:K151))+(M152*K152))/SUM($K$10:K152),5)</f>
        <v>2.5649999999999999E-2</v>
      </c>
      <c r="O152" s="340">
        <v>76</v>
      </c>
      <c r="Q152" s="335">
        <f t="shared" si="79"/>
        <v>35136</v>
      </c>
      <c r="R152" s="353">
        <v>35142</v>
      </c>
      <c r="S152" s="317">
        <f t="shared" si="72"/>
        <v>6</v>
      </c>
      <c r="U152" s="339">
        <v>3.3489999999999999E-2</v>
      </c>
      <c r="V152" s="339">
        <f>ROUND(((V151*SUM($S$10:S151))+(U152*S152))/SUM($S$10:S152),5)</f>
        <v>3.3149999999999999E-2</v>
      </c>
      <c r="W152" s="351">
        <v>93.9</v>
      </c>
      <c r="Y152" s="335">
        <f t="shared" si="80"/>
        <v>0</v>
      </c>
      <c r="Z152" s="345"/>
      <c r="AC152" s="346"/>
      <c r="AD152" s="339">
        <f>ROUND(((AD151*SUM($AA$10:AA151))+(AC152*AA152))/SUM($AA$10:AA152),5)</f>
        <v>-1.92E-3</v>
      </c>
      <c r="AH152" s="345"/>
      <c r="AS152" s="346"/>
      <c r="BB152" s="352"/>
      <c r="BC152" s="348"/>
      <c r="BE152" s="335">
        <f t="shared" si="73"/>
        <v>34709</v>
      </c>
      <c r="BF152" s="353">
        <v>34716</v>
      </c>
      <c r="BG152" s="317">
        <f t="shared" si="67"/>
        <v>7</v>
      </c>
      <c r="BH152" s="339">
        <v>2.9600000000000001E-2</v>
      </c>
      <c r="BI152" s="337">
        <f t="shared" si="56"/>
        <v>17030.14</v>
      </c>
      <c r="BK152" s="337"/>
      <c r="BO152" s="335">
        <f t="shared" si="74"/>
        <v>36657</v>
      </c>
      <c r="BP152" s="345">
        <v>36664</v>
      </c>
      <c r="BQ152" s="317">
        <f t="shared" si="63"/>
        <v>7</v>
      </c>
      <c r="BR152" s="346">
        <v>5.8400000000000001E-2</v>
      </c>
      <c r="BS152" s="337">
        <f t="shared" si="66"/>
        <v>18987.98</v>
      </c>
      <c r="BW152" s="335">
        <f t="shared" si="82"/>
        <v>36881</v>
      </c>
      <c r="BX152" s="345">
        <v>36888</v>
      </c>
      <c r="BY152" s="317">
        <f t="shared" si="68"/>
        <v>7</v>
      </c>
      <c r="BZ152" s="347">
        <v>4.6300000000000001E-2</v>
      </c>
      <c r="CA152" s="337">
        <f t="shared" si="61"/>
        <v>44275.956284</v>
      </c>
      <c r="CD152" s="335">
        <f t="shared" si="81"/>
        <v>36881</v>
      </c>
      <c r="CE152" s="345">
        <v>36888</v>
      </c>
      <c r="CF152" s="317">
        <f t="shared" si="69"/>
        <v>7</v>
      </c>
      <c r="CG152" s="346">
        <v>4.6300000000000001E-2</v>
      </c>
      <c r="CH152" s="337">
        <f t="shared" si="58"/>
        <v>44275.956284</v>
      </c>
      <c r="CL152" s="335">
        <f t="shared" si="75"/>
        <v>37581</v>
      </c>
      <c r="CM152" s="345">
        <v>37588</v>
      </c>
      <c r="CN152" s="317">
        <f t="shared" si="59"/>
        <v>7</v>
      </c>
      <c r="CO152" s="347">
        <v>1.2699999999999999E-2</v>
      </c>
      <c r="CP152" s="347"/>
      <c r="CQ152" s="347"/>
      <c r="CR152" s="347"/>
      <c r="CS152" s="347"/>
      <c r="CT152" s="347"/>
      <c r="CU152" s="347"/>
      <c r="CV152" s="337">
        <f t="shared" si="76"/>
        <v>20297.21</v>
      </c>
    </row>
    <row r="153" spans="1:101" hidden="1" x14ac:dyDescent="0.25">
      <c r="A153" s="335">
        <f t="shared" si="77"/>
        <v>34705</v>
      </c>
      <c r="B153" s="353">
        <v>34709</v>
      </c>
      <c r="C153" s="317">
        <f t="shared" si="70"/>
        <v>4</v>
      </c>
      <c r="E153" s="339">
        <v>3.5380000000000002E-2</v>
      </c>
      <c r="F153" s="339">
        <f>ROUND(((F152*SUM($C$10:C152))+(E153*C153))/SUM($C$10:C153),5)</f>
        <v>2.6720000000000001E-2</v>
      </c>
      <c r="G153" s="316">
        <v>68.3</v>
      </c>
      <c r="I153" s="335">
        <f t="shared" si="78"/>
        <v>34570</v>
      </c>
      <c r="J153" s="335">
        <v>34572</v>
      </c>
      <c r="K153" s="317">
        <f t="shared" si="71"/>
        <v>2</v>
      </c>
      <c r="M153" s="336">
        <v>3.1329999999999997E-2</v>
      </c>
      <c r="N153" s="339">
        <f>ROUND(((N152*SUM($K$10:K152))+(M153*K153))/SUM($K$10:K153),5)</f>
        <v>2.5669999999999998E-2</v>
      </c>
      <c r="O153" s="340">
        <v>69.8</v>
      </c>
      <c r="Q153" s="335">
        <f t="shared" si="79"/>
        <v>35142</v>
      </c>
      <c r="R153" s="353">
        <v>35151</v>
      </c>
      <c r="S153" s="317">
        <f t="shared" si="72"/>
        <v>9</v>
      </c>
      <c r="U153" s="339">
        <v>3.3169999999999998E-2</v>
      </c>
      <c r="V153" s="339">
        <f>ROUND(((V152*SUM($S$10:S152))+(U153*S153))/SUM($S$10:S153),5)</f>
        <v>3.3149999999999999E-2</v>
      </c>
      <c r="W153" s="351">
        <v>104</v>
      </c>
      <c r="Y153" s="335">
        <f t="shared" si="80"/>
        <v>0</v>
      </c>
      <c r="Z153" s="345"/>
      <c r="AC153" s="346"/>
      <c r="AD153" s="339">
        <f>ROUND(((AD152*SUM($AA$10:AA152))+(AC153*AA153))/SUM($AA$10:AA153),5)</f>
        <v>-1.92E-3</v>
      </c>
      <c r="AH153" s="345"/>
      <c r="AS153" s="346"/>
      <c r="BB153" s="352"/>
      <c r="BC153" s="348"/>
      <c r="BE153" s="335">
        <f t="shared" si="73"/>
        <v>34716</v>
      </c>
      <c r="BF153" s="353">
        <v>34723</v>
      </c>
      <c r="BG153" s="317">
        <f t="shared" si="67"/>
        <v>7</v>
      </c>
      <c r="BH153" s="339">
        <v>2.98E-2</v>
      </c>
      <c r="BI153" s="337">
        <f t="shared" si="56"/>
        <v>17145.21</v>
      </c>
      <c r="BK153" s="337"/>
      <c r="BO153" s="335">
        <f t="shared" si="74"/>
        <v>36664</v>
      </c>
      <c r="BP153" s="345">
        <v>36671</v>
      </c>
      <c r="BQ153" s="317">
        <f t="shared" si="63"/>
        <v>7</v>
      </c>
      <c r="BR153" s="346">
        <v>4.2500000000000003E-2</v>
      </c>
      <c r="BS153" s="337">
        <f t="shared" si="66"/>
        <v>13818.31</v>
      </c>
      <c r="BW153" s="335">
        <f t="shared" si="82"/>
        <v>36888</v>
      </c>
      <c r="BX153" s="345">
        <v>36892</v>
      </c>
      <c r="BY153" s="317">
        <f t="shared" si="68"/>
        <v>4</v>
      </c>
      <c r="BZ153" s="347">
        <v>4.8399999999999999E-2</v>
      </c>
      <c r="CA153" s="337">
        <f t="shared" si="61"/>
        <v>26448.087432</v>
      </c>
      <c r="CB153" s="341">
        <f>SUM(CA150:CA153)</f>
        <v>126024.590165</v>
      </c>
      <c r="CD153" s="335">
        <f t="shared" si="81"/>
        <v>36888</v>
      </c>
      <c r="CE153" s="345">
        <v>36892</v>
      </c>
      <c r="CF153" s="317">
        <f t="shared" si="69"/>
        <v>4</v>
      </c>
      <c r="CG153" s="346">
        <v>4.8399999999999999E-2</v>
      </c>
      <c r="CH153" s="337">
        <f t="shared" si="58"/>
        <v>26448.087432</v>
      </c>
      <c r="CI153" s="341">
        <f>SUM(CH150:CH153)</f>
        <v>126024.590165</v>
      </c>
      <c r="CL153" s="335">
        <f t="shared" si="75"/>
        <v>37588</v>
      </c>
      <c r="CM153" s="345">
        <v>37591</v>
      </c>
      <c r="CN153" s="317">
        <f t="shared" si="59"/>
        <v>3</v>
      </c>
      <c r="CO153" s="346">
        <v>1.1599999999999999E-2</v>
      </c>
      <c r="CP153" s="346"/>
      <c r="CQ153" s="346"/>
      <c r="CR153" s="346"/>
      <c r="CS153" s="346"/>
      <c r="CT153" s="346"/>
      <c r="CU153" s="346"/>
      <c r="CV153" s="337">
        <f t="shared" si="76"/>
        <v>7945.36</v>
      </c>
      <c r="CW153" s="341">
        <f>SUM(CV149:CV153)</f>
        <v>102970.09000000001</v>
      </c>
    </row>
    <row r="154" spans="1:101" hidden="1" x14ac:dyDescent="0.25">
      <c r="A154" s="335">
        <f t="shared" si="77"/>
        <v>34709</v>
      </c>
      <c r="B154" s="353">
        <v>34710</v>
      </c>
      <c r="C154" s="317">
        <f t="shared" si="70"/>
        <v>1</v>
      </c>
      <c r="E154" s="339">
        <v>3.5290000000000002E-2</v>
      </c>
      <c r="F154" s="339">
        <f>ROUND(((F153*SUM($C$10:C153))+(E154*C154))/SUM($C$10:C154),5)</f>
        <v>2.673E-2</v>
      </c>
      <c r="G154" s="316">
        <v>69.5</v>
      </c>
      <c r="I154" s="335">
        <f t="shared" si="78"/>
        <v>34572</v>
      </c>
      <c r="J154" s="335">
        <v>34576</v>
      </c>
      <c r="K154" s="317">
        <f t="shared" si="71"/>
        <v>4</v>
      </c>
      <c r="M154" s="336">
        <v>3.1449999999999999E-2</v>
      </c>
      <c r="N154" s="339">
        <f>ROUND(((N153*SUM($K$10:K153))+(M154*K154))/SUM($K$10:K154),5)</f>
        <v>2.5700000000000001E-2</v>
      </c>
      <c r="O154" s="340">
        <v>67</v>
      </c>
      <c r="Q154" s="335">
        <f t="shared" si="79"/>
        <v>35151</v>
      </c>
      <c r="R154" s="353">
        <v>35163</v>
      </c>
      <c r="S154" s="317">
        <f t="shared" si="72"/>
        <v>12</v>
      </c>
      <c r="U154" s="339">
        <v>3.3239999999999999E-2</v>
      </c>
      <c r="V154" s="339">
        <f>ROUND(((V153*SUM($S$10:S153))+(U154*S154))/SUM($S$10:S154),5)</f>
        <v>3.3149999999999999E-2</v>
      </c>
      <c r="W154" s="351">
        <v>109.8</v>
      </c>
      <c r="Y154" s="335">
        <f t="shared" si="80"/>
        <v>0</v>
      </c>
      <c r="Z154" s="345"/>
      <c r="AC154" s="346"/>
      <c r="AD154" s="339">
        <f>ROUND(((AD153*SUM($AA$10:AA153))+(AC154*AA154))/SUM($AA$10:AA154),5)</f>
        <v>-1.92E-3</v>
      </c>
      <c r="AH154" s="345"/>
      <c r="AS154" s="346"/>
      <c r="BB154" s="352"/>
      <c r="BC154" s="348"/>
      <c r="BE154" s="335">
        <f t="shared" si="73"/>
        <v>34723</v>
      </c>
      <c r="BF154" s="353">
        <v>34730</v>
      </c>
      <c r="BG154" s="317">
        <f t="shared" si="67"/>
        <v>7</v>
      </c>
      <c r="BH154" s="339">
        <v>3.4000000000000002E-2</v>
      </c>
      <c r="BI154" s="337">
        <f t="shared" ref="BI154:BI212" si="83">ROUND($BI$5*BH154*BG154/365,2)</f>
        <v>19561.64</v>
      </c>
      <c r="BJ154" s="341" t="s">
        <v>35</v>
      </c>
      <c r="BK154" s="337" t="s">
        <v>35</v>
      </c>
      <c r="BL154" s="341" t="s">
        <v>35</v>
      </c>
      <c r="BM154" s="341" t="s">
        <v>35</v>
      </c>
      <c r="BO154" s="335">
        <f t="shared" si="74"/>
        <v>36671</v>
      </c>
      <c r="BP154" s="345">
        <v>36678</v>
      </c>
      <c r="BQ154" s="317">
        <f t="shared" si="63"/>
        <v>7</v>
      </c>
      <c r="BR154" s="346">
        <v>4.2999999999999997E-2</v>
      </c>
      <c r="BS154" s="337">
        <f t="shared" si="66"/>
        <v>13980.87</v>
      </c>
      <c r="BT154" s="341">
        <f>SUM(BS150:BS154)</f>
        <v>72361.48</v>
      </c>
      <c r="BW154" s="335">
        <f t="shared" si="82"/>
        <v>36892</v>
      </c>
      <c r="BX154" s="345">
        <v>36895</v>
      </c>
      <c r="BY154" s="317">
        <f t="shared" si="68"/>
        <v>3</v>
      </c>
      <c r="BZ154" s="347">
        <v>4.8399999999999999E-2</v>
      </c>
      <c r="CA154" s="337">
        <f>ROUND($CA$5*BZ154*BY154/365,6)</f>
        <v>19890.410959000001</v>
      </c>
      <c r="CD154" s="335">
        <f t="shared" si="81"/>
        <v>36892</v>
      </c>
      <c r="CE154" s="345">
        <v>36895</v>
      </c>
      <c r="CF154" s="317">
        <f t="shared" si="69"/>
        <v>3</v>
      </c>
      <c r="CG154" s="346">
        <v>4.8399999999999999E-2</v>
      </c>
      <c r="CH154" s="337">
        <f>ROUND($CA$5*CG154*CF154/365,2)</f>
        <v>19890.41</v>
      </c>
      <c r="CL154" s="335">
        <f t="shared" si="75"/>
        <v>37591</v>
      </c>
      <c r="CM154" s="345">
        <v>37595</v>
      </c>
      <c r="CN154" s="317">
        <f t="shared" si="59"/>
        <v>4</v>
      </c>
      <c r="CO154" s="346">
        <v>1.1599999999999999E-2</v>
      </c>
      <c r="CP154" s="346"/>
      <c r="CQ154" s="346"/>
      <c r="CR154" s="346"/>
      <c r="CS154" s="346"/>
      <c r="CT154" s="346"/>
      <c r="CU154" s="346"/>
      <c r="CV154" s="337">
        <f t="shared" si="76"/>
        <v>10593.82</v>
      </c>
    </row>
    <row r="155" spans="1:101" hidden="1" x14ac:dyDescent="0.25">
      <c r="A155" s="335">
        <f t="shared" si="77"/>
        <v>34710</v>
      </c>
      <c r="B155" s="353">
        <v>34711</v>
      </c>
      <c r="C155" s="317">
        <f t="shared" si="70"/>
        <v>1</v>
      </c>
      <c r="E155" s="339">
        <v>3.542E-2</v>
      </c>
      <c r="F155" s="339">
        <f>ROUND(((F154*SUM($C$10:C154))+(E155*C155))/SUM($C$10:C155),5)</f>
        <v>2.674E-2</v>
      </c>
      <c r="G155" s="316">
        <v>68.900000000000006</v>
      </c>
      <c r="I155" s="335">
        <f t="shared" si="78"/>
        <v>34576</v>
      </c>
      <c r="J155" s="335">
        <v>34585</v>
      </c>
      <c r="K155" s="317">
        <f t="shared" si="71"/>
        <v>9</v>
      </c>
      <c r="M155" s="336">
        <v>3.1510000000000003E-2</v>
      </c>
      <c r="N155" s="339">
        <f>ROUND(((N154*SUM($K$10:K154))+(M155*K155))/SUM($K$10:K155),5)</f>
        <v>2.5770000000000001E-2</v>
      </c>
      <c r="O155" s="317">
        <v>66.5</v>
      </c>
      <c r="Q155" s="335">
        <f t="shared" si="79"/>
        <v>35163</v>
      </c>
      <c r="R155" s="353">
        <v>35166</v>
      </c>
      <c r="S155" s="317">
        <f t="shared" si="72"/>
        <v>3</v>
      </c>
      <c r="U155" s="339">
        <v>3.3270000000000001E-2</v>
      </c>
      <c r="V155" s="339">
        <f>ROUND(((V154*SUM($S$10:S154))+(U155*S155))/SUM($S$10:S155),5)</f>
        <v>3.3149999999999999E-2</v>
      </c>
      <c r="W155" s="351">
        <v>111.6</v>
      </c>
      <c r="Y155" s="335">
        <f t="shared" si="80"/>
        <v>0</v>
      </c>
      <c r="Z155" s="345"/>
      <c r="AC155" s="346"/>
      <c r="AD155" s="339">
        <f>ROUND(((AD154*SUM($AA$10:AA154))+(AC155*AA155))/SUM($AA$10:AA155),5)</f>
        <v>-1.92E-3</v>
      </c>
      <c r="AH155" s="345"/>
      <c r="AS155" s="346"/>
      <c r="BB155" s="352"/>
      <c r="BC155" s="348"/>
      <c r="BE155" s="335">
        <f t="shared" si="73"/>
        <v>34730</v>
      </c>
      <c r="BF155" s="353">
        <v>34731</v>
      </c>
      <c r="BG155" s="317">
        <f t="shared" si="67"/>
        <v>1</v>
      </c>
      <c r="BH155" s="339">
        <v>3.4700000000000002E-2</v>
      </c>
      <c r="BI155" s="337">
        <f t="shared" si="83"/>
        <v>2852.05</v>
      </c>
      <c r="BJ155" s="341">
        <f>SUM(BI150:BI155)</f>
        <v>85643.83</v>
      </c>
      <c r="BK155" s="337">
        <v>90984.77</v>
      </c>
      <c r="BL155" s="341">
        <f>BJ155-BK155</f>
        <v>-5340.9400000000023</v>
      </c>
      <c r="BM155" s="341">
        <f>BM149+BL155</f>
        <v>-15602.350000000017</v>
      </c>
      <c r="BO155" s="335">
        <f t="shared" si="74"/>
        <v>36678</v>
      </c>
      <c r="BP155" s="345">
        <v>36685</v>
      </c>
      <c r="BQ155" s="317">
        <f t="shared" si="63"/>
        <v>7</v>
      </c>
      <c r="BR155" s="346">
        <v>4.1200000000000001E-2</v>
      </c>
      <c r="BS155" s="337">
        <f t="shared" si="66"/>
        <v>13395.63</v>
      </c>
      <c r="BW155" s="335">
        <f t="shared" si="82"/>
        <v>36895</v>
      </c>
      <c r="BX155" s="345">
        <v>36902</v>
      </c>
      <c r="BY155" s="317">
        <f t="shared" si="68"/>
        <v>7</v>
      </c>
      <c r="BZ155" s="347">
        <v>2.98E-2</v>
      </c>
      <c r="CA155" s="337">
        <f t="shared" ref="CA155:CA196" si="84">ROUND($CA$5*BZ155*BY155/365,6)</f>
        <v>28575.342465999998</v>
      </c>
      <c r="CB155" s="354" t="s">
        <v>35</v>
      </c>
      <c r="CD155" s="335">
        <f t="shared" si="81"/>
        <v>36895</v>
      </c>
      <c r="CE155" s="345">
        <v>36902</v>
      </c>
      <c r="CF155" s="317">
        <f t="shared" si="69"/>
        <v>7</v>
      </c>
      <c r="CG155" s="346">
        <v>2.98E-2</v>
      </c>
      <c r="CH155" s="337">
        <f t="shared" ref="CH155:CH164" si="85">ROUND($CA$5*CG155*CF155/365,2)</f>
        <v>28575.34</v>
      </c>
      <c r="CI155" s="354" t="s">
        <v>35</v>
      </c>
      <c r="CL155" s="335">
        <f t="shared" si="75"/>
        <v>37595</v>
      </c>
      <c r="CM155" s="345">
        <v>37602</v>
      </c>
      <c r="CN155" s="317">
        <f t="shared" si="59"/>
        <v>7</v>
      </c>
      <c r="CO155" s="346">
        <v>1.04E-2</v>
      </c>
      <c r="CP155" s="346"/>
      <c r="CQ155" s="346"/>
      <c r="CR155" s="346"/>
      <c r="CS155" s="346"/>
      <c r="CT155" s="346"/>
      <c r="CU155" s="346"/>
      <c r="CV155" s="337">
        <f t="shared" si="76"/>
        <v>16621.34</v>
      </c>
    </row>
    <row r="156" spans="1:101" hidden="1" x14ac:dyDescent="0.25">
      <c r="A156" s="335">
        <f t="shared" si="77"/>
        <v>34711</v>
      </c>
      <c r="B156" s="353">
        <v>34717</v>
      </c>
      <c r="C156" s="317">
        <f t="shared" si="70"/>
        <v>6</v>
      </c>
      <c r="E156" s="339">
        <v>3.5439999999999999E-2</v>
      </c>
      <c r="F156" s="339">
        <f>ROUND(((F155*SUM($C$10:C155))+(E156*C156))/SUM($C$10:C156),5)</f>
        <v>2.6800000000000001E-2</v>
      </c>
      <c r="G156" s="316">
        <v>68.900000000000006</v>
      </c>
      <c r="I156" s="335">
        <f t="shared" si="78"/>
        <v>34585</v>
      </c>
      <c r="J156" s="335">
        <v>34586</v>
      </c>
      <c r="K156" s="317">
        <f t="shared" si="71"/>
        <v>1</v>
      </c>
      <c r="M156" s="336">
        <v>3.1510000000000003E-2</v>
      </c>
      <c r="N156" s="339">
        <f>ROUND(((N155*SUM($K$10:K155))+(M156*K156))/SUM($K$10:K156),5)</f>
        <v>2.5780000000000001E-2</v>
      </c>
      <c r="O156" s="317">
        <v>66.400000000000006</v>
      </c>
      <c r="Q156" s="335">
        <f t="shared" si="79"/>
        <v>35166</v>
      </c>
      <c r="R156" s="353">
        <v>35172</v>
      </c>
      <c r="S156" s="317">
        <f t="shared" si="72"/>
        <v>6</v>
      </c>
      <c r="U156" s="339">
        <v>3.3329999999999999E-2</v>
      </c>
      <c r="V156" s="339">
        <f>ROUND(((V155*SUM($S$10:S155))+(U156*S156))/SUM($S$10:S156),5)</f>
        <v>3.3149999999999999E-2</v>
      </c>
      <c r="W156" s="351">
        <v>106.7</v>
      </c>
      <c r="Y156" s="335">
        <f t="shared" si="80"/>
        <v>0</v>
      </c>
      <c r="Z156" s="345"/>
      <c r="AC156" s="346"/>
      <c r="AD156" s="339">
        <f>ROUND(((AD155*SUM($AA$10:AA155))+(AC156*AA156))/SUM($AA$10:AA156),5)</f>
        <v>-1.92E-3</v>
      </c>
      <c r="AH156" s="345"/>
      <c r="AS156" s="346"/>
      <c r="BB156" s="352"/>
      <c r="BC156" s="348"/>
      <c r="BE156" s="335">
        <f t="shared" si="73"/>
        <v>34731</v>
      </c>
      <c r="BF156" s="353">
        <v>34737</v>
      </c>
      <c r="BG156" s="317">
        <f t="shared" si="67"/>
        <v>6</v>
      </c>
      <c r="BH156" s="339">
        <v>3.4700000000000002E-2</v>
      </c>
      <c r="BI156" s="337">
        <f t="shared" si="83"/>
        <v>17112.330000000002</v>
      </c>
      <c r="BK156" s="337"/>
      <c r="BO156" s="335">
        <f t="shared" si="74"/>
        <v>36685</v>
      </c>
      <c r="BP156" s="345">
        <v>36692</v>
      </c>
      <c r="BQ156" s="317">
        <f t="shared" si="63"/>
        <v>7</v>
      </c>
      <c r="BR156" s="346">
        <v>3.8100000000000002E-2</v>
      </c>
      <c r="BS156" s="337">
        <f t="shared" si="66"/>
        <v>12387.7</v>
      </c>
      <c r="BW156" s="335">
        <f t="shared" si="82"/>
        <v>36902</v>
      </c>
      <c r="BX156" s="345">
        <v>36909</v>
      </c>
      <c r="BY156" s="317">
        <f t="shared" si="68"/>
        <v>7</v>
      </c>
      <c r="BZ156" s="347">
        <v>1.8100000000000002E-2</v>
      </c>
      <c r="CA156" s="337">
        <f t="shared" si="84"/>
        <v>17356.164384</v>
      </c>
      <c r="CD156" s="335">
        <f t="shared" si="81"/>
        <v>36902</v>
      </c>
      <c r="CE156" s="345">
        <v>36909</v>
      </c>
      <c r="CF156" s="317">
        <f t="shared" si="69"/>
        <v>7</v>
      </c>
      <c r="CG156" s="346">
        <v>1.8100000000000002E-2</v>
      </c>
      <c r="CH156" s="337">
        <f t="shared" si="85"/>
        <v>17356.16</v>
      </c>
      <c r="CL156" s="335">
        <f t="shared" si="75"/>
        <v>37602</v>
      </c>
      <c r="CM156" s="345">
        <v>37609</v>
      </c>
      <c r="CN156" s="317">
        <f t="shared" si="59"/>
        <v>7</v>
      </c>
      <c r="CO156" s="346">
        <v>1.01E-2</v>
      </c>
      <c r="CP156" s="346"/>
      <c r="CQ156" s="346"/>
      <c r="CR156" s="346"/>
      <c r="CS156" s="346"/>
      <c r="CT156" s="346"/>
      <c r="CU156" s="346"/>
      <c r="CV156" s="337">
        <f t="shared" si="76"/>
        <v>16141.88</v>
      </c>
    </row>
    <row r="157" spans="1:101" hidden="1" x14ac:dyDescent="0.25">
      <c r="A157" s="335">
        <f t="shared" si="77"/>
        <v>34717</v>
      </c>
      <c r="B157" s="353">
        <v>34718</v>
      </c>
      <c r="C157" s="317">
        <f t="shared" si="70"/>
        <v>1</v>
      </c>
      <c r="E157" s="339">
        <v>3.6069999999999998E-2</v>
      </c>
      <c r="F157" s="339">
        <f>ROUND(((F156*SUM($C$10:C156))+(E157*C157))/SUM($C$10:C157),5)</f>
        <v>2.681E-2</v>
      </c>
      <c r="G157" s="316">
        <v>65.7</v>
      </c>
      <c r="I157" s="335">
        <f t="shared" si="78"/>
        <v>34586</v>
      </c>
      <c r="J157" s="335">
        <v>34589</v>
      </c>
      <c r="K157" s="317">
        <f t="shared" si="71"/>
        <v>3</v>
      </c>
      <c r="M157" s="336">
        <v>3.1669999999999997E-2</v>
      </c>
      <c r="N157" s="339">
        <f>ROUND(((N156*SUM($K$10:K156))+(M157*K157))/SUM($K$10:K157),5)</f>
        <v>2.58E-2</v>
      </c>
      <c r="O157" s="316">
        <v>69.400000000000006</v>
      </c>
      <c r="Q157" s="335">
        <f t="shared" si="79"/>
        <v>35172</v>
      </c>
      <c r="R157" s="353">
        <v>35194</v>
      </c>
      <c r="S157" s="317">
        <f t="shared" si="72"/>
        <v>22</v>
      </c>
      <c r="U157" s="339">
        <v>3.3709999999999997E-2</v>
      </c>
      <c r="V157" s="339">
        <f>ROUND(((V156*SUM($S$10:S156))+(U157*S157))/SUM($S$10:S157),5)</f>
        <v>3.3160000000000002E-2</v>
      </c>
      <c r="W157" s="351">
        <v>124.6</v>
      </c>
      <c r="Y157" s="335">
        <f t="shared" si="80"/>
        <v>0</v>
      </c>
      <c r="Z157" s="345"/>
      <c r="AC157" s="346"/>
      <c r="AD157" s="339">
        <f>ROUND(((AD156*SUM($AA$10:AA156))+(AC157*AA157))/SUM($AA$10:AA157),5)</f>
        <v>-1.92E-3</v>
      </c>
      <c r="AH157" s="345"/>
      <c r="AS157" s="346"/>
      <c r="BB157" s="352"/>
      <c r="BC157" s="348"/>
      <c r="BE157" s="335">
        <f t="shared" si="73"/>
        <v>34737</v>
      </c>
      <c r="BF157" s="353">
        <v>34744</v>
      </c>
      <c r="BG157" s="317">
        <f t="shared" si="67"/>
        <v>7</v>
      </c>
      <c r="BH157" s="339">
        <v>3.7900000000000003E-2</v>
      </c>
      <c r="BI157" s="337">
        <f t="shared" si="83"/>
        <v>21805.48</v>
      </c>
      <c r="BK157" s="337"/>
      <c r="BO157" s="335">
        <f t="shared" si="74"/>
        <v>36692</v>
      </c>
      <c r="BP157" s="345">
        <v>36699</v>
      </c>
      <c r="BQ157" s="317">
        <f t="shared" si="63"/>
        <v>7</v>
      </c>
      <c r="BR157" s="346">
        <v>4.4499999999999998E-2</v>
      </c>
      <c r="BS157" s="337">
        <f t="shared" si="66"/>
        <v>14468.58</v>
      </c>
      <c r="BW157" s="335">
        <f t="shared" si="82"/>
        <v>36909</v>
      </c>
      <c r="BX157" s="345">
        <v>36916</v>
      </c>
      <c r="BY157" s="317">
        <f t="shared" si="68"/>
        <v>7</v>
      </c>
      <c r="BZ157" s="347">
        <v>1.8599999999999998E-2</v>
      </c>
      <c r="CA157" s="337">
        <f t="shared" si="84"/>
        <v>17835.616438000001</v>
      </c>
      <c r="CD157" s="335">
        <f t="shared" si="81"/>
        <v>36909</v>
      </c>
      <c r="CE157" s="345">
        <v>36916</v>
      </c>
      <c r="CF157" s="317">
        <f t="shared" si="69"/>
        <v>7</v>
      </c>
      <c r="CG157" s="346">
        <v>1.8599999999999998E-2</v>
      </c>
      <c r="CH157" s="337">
        <f t="shared" si="85"/>
        <v>17835.62</v>
      </c>
      <c r="CL157" s="335">
        <f t="shared" si="75"/>
        <v>37609</v>
      </c>
      <c r="CM157" s="345">
        <v>37616</v>
      </c>
      <c r="CN157" s="317">
        <f t="shared" si="59"/>
        <v>7</v>
      </c>
      <c r="CO157" s="346">
        <v>1.18E-2</v>
      </c>
      <c r="CP157" s="346"/>
      <c r="CQ157" s="346"/>
      <c r="CR157" s="346"/>
      <c r="CS157" s="346"/>
      <c r="CT157" s="346"/>
      <c r="CU157" s="346"/>
      <c r="CV157" s="337">
        <f t="shared" si="76"/>
        <v>18858.82</v>
      </c>
    </row>
    <row r="158" spans="1:101" hidden="1" x14ac:dyDescent="0.25">
      <c r="A158" s="335">
        <f t="shared" si="77"/>
        <v>34718</v>
      </c>
      <c r="B158" s="353">
        <v>34725</v>
      </c>
      <c r="C158" s="317">
        <f t="shared" si="70"/>
        <v>7</v>
      </c>
      <c r="E158" s="339">
        <v>3.653E-2</v>
      </c>
      <c r="F158" s="339">
        <f>ROUND(((F157*SUM($C$10:C157))+(E158*C158))/SUM($C$10:C158),5)</f>
        <v>2.6890000000000001E-2</v>
      </c>
      <c r="G158" s="316">
        <v>62.9</v>
      </c>
      <c r="I158" s="335">
        <f t="shared" si="78"/>
        <v>34589</v>
      </c>
      <c r="J158" s="335">
        <v>34590</v>
      </c>
      <c r="K158" s="317">
        <f t="shared" si="71"/>
        <v>1</v>
      </c>
      <c r="M158" s="336">
        <v>3.1699999999999999E-2</v>
      </c>
      <c r="N158" s="339">
        <f>ROUND(((N157*SUM($K$10:K157))+(M158*K158))/SUM($K$10:K158),5)</f>
        <v>2.581E-2</v>
      </c>
      <c r="O158" s="316">
        <v>69.3</v>
      </c>
      <c r="Q158" s="335">
        <f t="shared" si="79"/>
        <v>35194</v>
      </c>
      <c r="R158" s="353">
        <v>35200</v>
      </c>
      <c r="S158" s="317">
        <f t="shared" si="72"/>
        <v>6</v>
      </c>
      <c r="U158" s="339">
        <v>3.3759999999999998E-2</v>
      </c>
      <c r="V158" s="339">
        <f>ROUND(((V157*SUM($S$10:S157))+(U158*S158))/SUM($S$10:S158),5)</f>
        <v>3.3160000000000002E-2</v>
      </c>
      <c r="W158" s="351">
        <v>122.1</v>
      </c>
      <c r="Y158" s="335">
        <f t="shared" si="80"/>
        <v>0</v>
      </c>
      <c r="Z158" s="345"/>
      <c r="AC158" s="346"/>
      <c r="AD158" s="339">
        <f>ROUND(((AD157*SUM($AA$10:AA157))+(AC158*AA158))/SUM($AA$10:AA158),5)</f>
        <v>-1.92E-3</v>
      </c>
      <c r="AH158" s="345"/>
      <c r="AS158" s="346"/>
      <c r="BB158" s="352"/>
      <c r="BC158" s="348"/>
      <c r="BE158" s="335">
        <f t="shared" si="73"/>
        <v>34744</v>
      </c>
      <c r="BF158" s="353">
        <v>34751</v>
      </c>
      <c r="BG158" s="317">
        <f t="shared" si="67"/>
        <v>7</v>
      </c>
      <c r="BH158" s="339">
        <v>4.1200000000000001E-2</v>
      </c>
      <c r="BI158" s="337">
        <f t="shared" si="83"/>
        <v>23704.11</v>
      </c>
      <c r="BK158" s="337"/>
      <c r="BO158" s="335">
        <f t="shared" si="74"/>
        <v>36699</v>
      </c>
      <c r="BP158" s="345">
        <v>36706</v>
      </c>
      <c r="BQ158" s="317">
        <f t="shared" si="63"/>
        <v>7</v>
      </c>
      <c r="BR158" s="346">
        <v>4.6199999999999998E-2</v>
      </c>
      <c r="BS158" s="337">
        <f t="shared" si="66"/>
        <v>15021.31</v>
      </c>
      <c r="BW158" s="335">
        <f t="shared" si="82"/>
        <v>36916</v>
      </c>
      <c r="BX158" s="345">
        <v>36923</v>
      </c>
      <c r="BY158" s="317">
        <f t="shared" si="68"/>
        <v>7</v>
      </c>
      <c r="BZ158" s="346">
        <v>4.48E-2</v>
      </c>
      <c r="CA158" s="337">
        <f t="shared" si="84"/>
        <v>42958.904110000003</v>
      </c>
      <c r="CB158" s="341">
        <f>SUM(CA154:CA158)</f>
        <v>126616.43835700001</v>
      </c>
      <c r="CD158" s="335">
        <f t="shared" si="81"/>
        <v>36916</v>
      </c>
      <c r="CE158" s="345">
        <v>36923</v>
      </c>
      <c r="CF158" s="317">
        <f t="shared" si="69"/>
        <v>7</v>
      </c>
      <c r="CG158" s="347">
        <v>4.48E-2</v>
      </c>
      <c r="CH158" s="337">
        <f t="shared" si="85"/>
        <v>42958.9</v>
      </c>
      <c r="CI158" s="341">
        <f>SUM(CH154:CH158)</f>
        <v>126616.43</v>
      </c>
      <c r="CL158" s="335">
        <f t="shared" si="75"/>
        <v>37616</v>
      </c>
      <c r="CM158" s="345">
        <v>37622</v>
      </c>
      <c r="CN158" s="317">
        <f t="shared" si="59"/>
        <v>6</v>
      </c>
      <c r="CO158" s="346">
        <v>1.52E-2</v>
      </c>
      <c r="CP158" s="346"/>
      <c r="CQ158" s="346"/>
      <c r="CR158" s="346"/>
      <c r="CS158" s="346"/>
      <c r="CT158" s="346"/>
      <c r="CU158" s="346"/>
      <c r="CV158" s="337">
        <f t="shared" si="76"/>
        <v>20822.330000000002</v>
      </c>
      <c r="CW158" s="341">
        <f>SUM(CV154:CV158)</f>
        <v>83038.19</v>
      </c>
    </row>
    <row r="159" spans="1:101" hidden="1" x14ac:dyDescent="0.25">
      <c r="A159" s="335">
        <f t="shared" si="77"/>
        <v>34725</v>
      </c>
      <c r="B159" s="353">
        <v>34731</v>
      </c>
      <c r="C159" s="317">
        <f t="shared" si="70"/>
        <v>6</v>
      </c>
      <c r="E159" s="339">
        <v>3.6659999999999998E-2</v>
      </c>
      <c r="F159" s="339">
        <f>ROUND(((F158*SUM($C$10:C158))+(E159*C159))/SUM($C$10:C159),5)</f>
        <v>2.6960000000000001E-2</v>
      </c>
      <c r="G159" s="316">
        <v>62.8</v>
      </c>
      <c r="I159" s="335">
        <f t="shared" si="78"/>
        <v>34590</v>
      </c>
      <c r="J159" s="335">
        <v>34596</v>
      </c>
      <c r="K159" s="317">
        <f t="shared" si="71"/>
        <v>6</v>
      </c>
      <c r="M159" s="336">
        <v>3.193E-2</v>
      </c>
      <c r="N159" s="339">
        <f>ROUND(((N158*SUM($K$10:K158))+(M159*K159))/SUM($K$10:K159),5)</f>
        <v>2.5860000000000001E-2</v>
      </c>
      <c r="O159" s="316">
        <v>73.400000000000006</v>
      </c>
      <c r="Q159" s="335">
        <f t="shared" si="79"/>
        <v>35200</v>
      </c>
      <c r="R159" s="353">
        <v>35205</v>
      </c>
      <c r="S159" s="317">
        <f t="shared" si="72"/>
        <v>5</v>
      </c>
      <c r="U159" s="339">
        <v>3.3850000000000005E-2</v>
      </c>
      <c r="V159" s="339">
        <f>ROUND(((V158*SUM($S$10:S158))+(U159*S159))/SUM($S$10:S159),5)</f>
        <v>3.3160000000000002E-2</v>
      </c>
      <c r="W159" s="351">
        <v>118.9</v>
      </c>
      <c r="Y159" s="335">
        <f t="shared" si="80"/>
        <v>0</v>
      </c>
      <c r="Z159" s="345"/>
      <c r="AC159" s="346"/>
      <c r="AD159" s="339">
        <f>ROUND(((AD158*SUM($AA$10:AA158))+(AC159*AA159))/SUM($AA$10:AA159),5)</f>
        <v>-1.92E-3</v>
      </c>
      <c r="AH159" s="345"/>
      <c r="AS159" s="346"/>
      <c r="BB159" s="352"/>
      <c r="BC159" s="348"/>
      <c r="BE159" s="335">
        <f t="shared" si="73"/>
        <v>34751</v>
      </c>
      <c r="BF159" s="353">
        <v>34758</v>
      </c>
      <c r="BG159" s="317">
        <f t="shared" si="67"/>
        <v>7</v>
      </c>
      <c r="BH159" s="339">
        <v>4.1600000000000005E-2</v>
      </c>
      <c r="BI159" s="337">
        <f t="shared" si="83"/>
        <v>23934.25</v>
      </c>
      <c r="BK159" s="337"/>
      <c r="BO159" s="335">
        <f t="shared" si="74"/>
        <v>36706</v>
      </c>
      <c r="BP159" s="345">
        <v>36708</v>
      </c>
      <c r="BQ159" s="317">
        <f t="shared" si="63"/>
        <v>2</v>
      </c>
      <c r="BR159" s="346">
        <v>4.7699999999999999E-2</v>
      </c>
      <c r="BS159" s="337">
        <f t="shared" si="66"/>
        <v>4431.1499999999996</v>
      </c>
      <c r="BT159" s="341">
        <f>SUM(BS155:BS159)</f>
        <v>59704.37</v>
      </c>
      <c r="BW159" s="335">
        <f t="shared" si="82"/>
        <v>36923</v>
      </c>
      <c r="BX159" s="345">
        <v>36930</v>
      </c>
      <c r="BY159" s="317">
        <f t="shared" si="68"/>
        <v>7</v>
      </c>
      <c r="BZ159" s="346">
        <v>3.9699999999999999E-2</v>
      </c>
      <c r="CA159" s="337">
        <f t="shared" si="84"/>
        <v>38068.493151000002</v>
      </c>
      <c r="CD159" s="335">
        <f t="shared" si="81"/>
        <v>36923</v>
      </c>
      <c r="CE159" s="345">
        <v>36930</v>
      </c>
      <c r="CF159" s="317">
        <f t="shared" si="69"/>
        <v>7</v>
      </c>
      <c r="CG159" s="347">
        <v>3.9699999999999999E-2</v>
      </c>
      <c r="CH159" s="337">
        <f t="shared" si="85"/>
        <v>38068.49</v>
      </c>
      <c r="CL159" s="335">
        <f t="shared" si="75"/>
        <v>37622</v>
      </c>
      <c r="CM159" s="345">
        <v>37623</v>
      </c>
      <c r="CN159" s="317">
        <f t="shared" si="59"/>
        <v>1</v>
      </c>
      <c r="CO159" s="347">
        <v>1.52E-2</v>
      </c>
      <c r="CP159" s="347"/>
      <c r="CQ159" s="347"/>
      <c r="CR159" s="347"/>
      <c r="CS159" s="347"/>
      <c r="CT159" s="347"/>
      <c r="CU159" s="347"/>
      <c r="CV159" s="337">
        <f t="shared" si="76"/>
        <v>3470.39</v>
      </c>
      <c r="CW159" s="341" t="s">
        <v>35</v>
      </c>
    </row>
    <row r="160" spans="1:101" hidden="1" x14ac:dyDescent="0.25">
      <c r="A160" s="335">
        <f t="shared" si="77"/>
        <v>34731</v>
      </c>
      <c r="B160" s="353">
        <v>34732</v>
      </c>
      <c r="C160" s="317">
        <f t="shared" si="70"/>
        <v>1</v>
      </c>
      <c r="E160" s="339">
        <v>3.7019999999999997E-2</v>
      </c>
      <c r="F160" s="339">
        <f>ROUND(((F159*SUM($C$10:C159))+(E160*C160))/SUM($C$10:C160),5)</f>
        <v>2.6970000000000001E-2</v>
      </c>
      <c r="G160" s="351">
        <v>64</v>
      </c>
      <c r="I160" s="335">
        <f t="shared" si="78"/>
        <v>34596</v>
      </c>
      <c r="J160" s="335">
        <v>34597</v>
      </c>
      <c r="K160" s="317">
        <f t="shared" si="71"/>
        <v>1</v>
      </c>
      <c r="M160" s="339">
        <v>3.1940000000000003E-2</v>
      </c>
      <c r="N160" s="339">
        <f>ROUND(((N159*SUM($K$10:K159))+(M160*K160))/SUM($K$10:K160),5)</f>
        <v>2.5870000000000001E-2</v>
      </c>
      <c r="O160" s="316">
        <v>73.099999999999994</v>
      </c>
      <c r="Q160" s="335">
        <f t="shared" si="79"/>
        <v>35205</v>
      </c>
      <c r="R160" s="353">
        <v>35220</v>
      </c>
      <c r="S160" s="317">
        <f t="shared" si="72"/>
        <v>15</v>
      </c>
      <c r="U160" s="339">
        <v>3.4849999999999999E-2</v>
      </c>
      <c r="V160" s="339">
        <f>ROUND(((V159*SUM($S$10:S159))+(U160*S160))/SUM($S$10:S160),5)</f>
        <v>3.3189999999999997E-2</v>
      </c>
      <c r="W160" s="351">
        <v>132</v>
      </c>
      <c r="Y160" s="335">
        <f t="shared" si="80"/>
        <v>0</v>
      </c>
      <c r="Z160" s="345"/>
      <c r="AC160" s="346"/>
      <c r="AD160" s="339">
        <f>ROUND(((AD159*SUM($AA$10:AA159))+(AC160*AA160))/SUM($AA$10:AA160),5)</f>
        <v>-1.92E-3</v>
      </c>
      <c r="AH160" s="345"/>
      <c r="AS160" s="346"/>
      <c r="BB160" s="352"/>
      <c r="BC160" s="348"/>
      <c r="BE160" s="335">
        <f t="shared" si="73"/>
        <v>34758</v>
      </c>
      <c r="BF160" s="353">
        <v>34759</v>
      </c>
      <c r="BG160" s="317">
        <f t="shared" si="67"/>
        <v>1</v>
      </c>
      <c r="BH160" s="339">
        <v>3.8900000000000004E-2</v>
      </c>
      <c r="BI160" s="337">
        <f t="shared" si="83"/>
        <v>3197.26</v>
      </c>
      <c r="BJ160" s="341">
        <f>SUM(BI156:BI160)</f>
        <v>89753.43</v>
      </c>
      <c r="BK160" s="337">
        <v>88503.38</v>
      </c>
      <c r="BL160" s="341">
        <f>BJ160-BK160</f>
        <v>1250.0499999999884</v>
      </c>
      <c r="BM160" s="341">
        <f>BM155+BL160</f>
        <v>-14352.300000000028</v>
      </c>
      <c r="BO160" s="335">
        <f t="shared" si="74"/>
        <v>36708</v>
      </c>
      <c r="BP160" s="345">
        <v>36713</v>
      </c>
      <c r="BQ160" s="317">
        <f t="shared" si="63"/>
        <v>5</v>
      </c>
      <c r="BR160" s="346">
        <v>4.7699999999999999E-2</v>
      </c>
      <c r="BS160" s="337">
        <f t="shared" si="66"/>
        <v>11077.87</v>
      </c>
      <c r="BW160" s="335">
        <f t="shared" si="82"/>
        <v>36930</v>
      </c>
      <c r="BX160" s="345">
        <v>36937</v>
      </c>
      <c r="BY160" s="317">
        <f t="shared" si="68"/>
        <v>7</v>
      </c>
      <c r="BZ160" s="346">
        <v>3.1800000000000002E-2</v>
      </c>
      <c r="CA160" s="337">
        <f t="shared" si="84"/>
        <v>30493.150685000001</v>
      </c>
      <c r="CD160" s="335">
        <f t="shared" si="81"/>
        <v>36930</v>
      </c>
      <c r="CE160" s="345">
        <v>36937</v>
      </c>
      <c r="CF160" s="317">
        <f t="shared" si="69"/>
        <v>7</v>
      </c>
      <c r="CG160" s="347">
        <v>3.1800000000000002E-2</v>
      </c>
      <c r="CH160" s="337">
        <f t="shared" si="85"/>
        <v>30493.15</v>
      </c>
      <c r="CL160" s="335">
        <f t="shared" si="75"/>
        <v>37623</v>
      </c>
      <c r="CM160" s="345">
        <v>37630</v>
      </c>
      <c r="CN160" s="317">
        <f>CM160-CL160</f>
        <v>7</v>
      </c>
      <c r="CO160" s="347">
        <v>1.09E-2</v>
      </c>
      <c r="CP160" s="347"/>
      <c r="CQ160" s="347"/>
      <c r="CR160" s="347"/>
      <c r="CS160" s="347"/>
      <c r="CT160" s="347"/>
      <c r="CU160" s="347"/>
      <c r="CV160" s="337">
        <f t="shared" si="76"/>
        <v>17420.439999999999</v>
      </c>
    </row>
    <row r="161" spans="1:101" hidden="1" x14ac:dyDescent="0.25">
      <c r="A161" s="335">
        <f t="shared" si="77"/>
        <v>34732</v>
      </c>
      <c r="B161" s="353">
        <v>34733</v>
      </c>
      <c r="C161" s="317">
        <f t="shared" si="70"/>
        <v>1</v>
      </c>
      <c r="E161" s="339">
        <v>3.7659999999999999E-2</v>
      </c>
      <c r="F161" s="339">
        <f>ROUND(((F160*SUM($C$10:C160))+(E161*C161))/SUM($C$10:C161),5)</f>
        <v>2.6980000000000001E-2</v>
      </c>
      <c r="G161" s="351">
        <v>68.8</v>
      </c>
      <c r="I161" s="335">
        <f t="shared" si="78"/>
        <v>34597</v>
      </c>
      <c r="J161" s="335">
        <v>34600</v>
      </c>
      <c r="K161" s="317">
        <f t="shared" si="71"/>
        <v>3</v>
      </c>
      <c r="M161" s="339">
        <v>3.1940000000000003E-2</v>
      </c>
      <c r="N161" s="339">
        <f>ROUND(((N160*SUM($K$10:K160))+(M161*K161))/SUM($K$10:K161),5)</f>
        <v>2.589E-2</v>
      </c>
      <c r="O161" s="316">
        <v>73.400000000000006</v>
      </c>
      <c r="Q161" s="335">
        <f t="shared" si="79"/>
        <v>35220</v>
      </c>
      <c r="R161" s="353">
        <v>35222</v>
      </c>
      <c r="S161" s="317">
        <f t="shared" si="72"/>
        <v>2</v>
      </c>
      <c r="U161" s="339">
        <v>3.4909999999999997E-2</v>
      </c>
      <c r="V161" s="339">
        <f>ROUND(((V160*SUM($S$10:S160))+(U161*S161))/SUM($S$10:S161),5)</f>
        <v>3.3189999999999997E-2</v>
      </c>
      <c r="W161" s="351">
        <v>135.6</v>
      </c>
      <c r="Y161" s="335">
        <f t="shared" si="80"/>
        <v>0</v>
      </c>
      <c r="Z161" s="345"/>
      <c r="AC161" s="346"/>
      <c r="AD161" s="339">
        <f>ROUND(((AD160*SUM($AA$10:AA160))+(AC161*AA161))/SUM($AA$10:AA161),5)</f>
        <v>-1.92E-3</v>
      </c>
      <c r="AH161" s="345"/>
      <c r="AS161" s="346"/>
      <c r="BB161" s="352"/>
      <c r="BC161" s="348"/>
      <c r="BE161" s="335">
        <f t="shared" si="73"/>
        <v>34759</v>
      </c>
      <c r="BF161" s="353">
        <v>34765</v>
      </c>
      <c r="BG161" s="317">
        <f t="shared" si="67"/>
        <v>6</v>
      </c>
      <c r="BH161" s="339">
        <v>3.8900000000000004E-2</v>
      </c>
      <c r="BI161" s="337">
        <f t="shared" si="83"/>
        <v>19183.560000000001</v>
      </c>
      <c r="BK161" s="337"/>
      <c r="BO161" s="335">
        <f t="shared" si="74"/>
        <v>36713</v>
      </c>
      <c r="BP161" s="345">
        <v>36720</v>
      </c>
      <c r="BQ161" s="317">
        <f t="shared" si="63"/>
        <v>7</v>
      </c>
      <c r="BR161" s="346">
        <v>3.2099999999999997E-2</v>
      </c>
      <c r="BS161" s="337">
        <f t="shared" si="66"/>
        <v>10436.89</v>
      </c>
      <c r="BW161" s="335">
        <f t="shared" si="82"/>
        <v>36937</v>
      </c>
      <c r="BX161" s="345">
        <v>36944</v>
      </c>
      <c r="BY161" s="317">
        <f t="shared" si="68"/>
        <v>7</v>
      </c>
      <c r="BZ161" s="346">
        <v>3.6600000000000001E-2</v>
      </c>
      <c r="CA161" s="337">
        <f t="shared" si="84"/>
        <v>35095.890411</v>
      </c>
      <c r="CD161" s="335">
        <f t="shared" si="81"/>
        <v>36937</v>
      </c>
      <c r="CE161" s="345">
        <v>36944</v>
      </c>
      <c r="CF161" s="317">
        <f t="shared" si="69"/>
        <v>7</v>
      </c>
      <c r="CG161" s="347">
        <v>3.6600000000000001E-2</v>
      </c>
      <c r="CH161" s="337">
        <f t="shared" si="85"/>
        <v>35095.89</v>
      </c>
      <c r="CL161" s="335">
        <f t="shared" si="75"/>
        <v>37630</v>
      </c>
      <c r="CM161" s="345">
        <v>37637</v>
      </c>
      <c r="CN161" s="317">
        <f>CM161-CL161</f>
        <v>7</v>
      </c>
      <c r="CO161" s="347">
        <v>9.4999999999999998E-3</v>
      </c>
      <c r="CP161" s="347"/>
      <c r="CQ161" s="347"/>
      <c r="CR161" s="347"/>
      <c r="CS161" s="347"/>
      <c r="CT161" s="347"/>
      <c r="CU161" s="347"/>
      <c r="CV161" s="337">
        <f t="shared" si="76"/>
        <v>15182.95</v>
      </c>
    </row>
    <row r="162" spans="1:101" hidden="1" x14ac:dyDescent="0.25">
      <c r="A162" s="335">
        <f t="shared" si="77"/>
        <v>34733</v>
      </c>
      <c r="B162" s="353">
        <v>34736</v>
      </c>
      <c r="C162" s="317">
        <f t="shared" si="70"/>
        <v>3</v>
      </c>
      <c r="E162" s="339">
        <v>3.7920000000000002E-2</v>
      </c>
      <c r="F162" s="339">
        <f>ROUND(((F161*SUM($C$10:C161))+(E162*C162))/SUM($C$10:C162),5)</f>
        <v>2.7019999999999999E-2</v>
      </c>
      <c r="G162" s="351">
        <v>70.3</v>
      </c>
      <c r="I162" s="335">
        <f t="shared" si="78"/>
        <v>34600</v>
      </c>
      <c r="J162" s="335">
        <v>34606</v>
      </c>
      <c r="K162" s="317">
        <f t="shared" si="71"/>
        <v>6</v>
      </c>
      <c r="M162" s="339">
        <v>3.1989999999999998E-2</v>
      </c>
      <c r="N162" s="339">
        <f>ROUND(((N161*SUM($K$10:K161))+(M162*K162))/SUM($K$10:K162),5)</f>
        <v>2.5940000000000001E-2</v>
      </c>
      <c r="O162" s="351">
        <v>71</v>
      </c>
      <c r="Q162" s="335">
        <f t="shared" si="79"/>
        <v>35222</v>
      </c>
      <c r="R162" s="353">
        <v>35236</v>
      </c>
      <c r="S162" s="317">
        <f t="shared" si="72"/>
        <v>14</v>
      </c>
      <c r="U162" s="339">
        <v>3.4959999999999998E-2</v>
      </c>
      <c r="V162" s="339">
        <f>ROUND(((V161*SUM($S$10:S161))+(U162*S162))/SUM($S$10:S162),5)</f>
        <v>3.3210000000000003E-2</v>
      </c>
      <c r="W162" s="351">
        <v>135.69999999999999</v>
      </c>
      <c r="Y162" s="335">
        <f t="shared" si="80"/>
        <v>0</v>
      </c>
      <c r="Z162" s="345"/>
      <c r="AC162" s="346"/>
      <c r="AD162" s="339">
        <f>ROUND(((AD161*SUM($AA$10:AA161))+(AC162*AA162))/SUM($AA$10:AA162),5)</f>
        <v>-1.92E-3</v>
      </c>
      <c r="AH162" s="345"/>
      <c r="AS162" s="346"/>
      <c r="BB162" s="352"/>
      <c r="BC162" s="348"/>
      <c r="BE162" s="335">
        <f t="shared" si="73"/>
        <v>34765</v>
      </c>
      <c r="BF162" s="353">
        <v>34772</v>
      </c>
      <c r="BG162" s="317">
        <f t="shared" si="67"/>
        <v>7</v>
      </c>
      <c r="BH162" s="339">
        <v>3.6499999999999998E-2</v>
      </c>
      <c r="BI162" s="337">
        <f t="shared" si="83"/>
        <v>21000</v>
      </c>
      <c r="BK162" s="337"/>
      <c r="BO162" s="335">
        <f t="shared" si="74"/>
        <v>36720</v>
      </c>
      <c r="BP162" s="345">
        <v>36727</v>
      </c>
      <c r="BQ162" s="317">
        <f t="shared" si="63"/>
        <v>7</v>
      </c>
      <c r="BR162" s="346">
        <v>3.8100000000000002E-2</v>
      </c>
      <c r="BS162" s="337">
        <f t="shared" si="66"/>
        <v>12387.7</v>
      </c>
      <c r="BW162" s="335">
        <f t="shared" si="82"/>
        <v>36944</v>
      </c>
      <c r="BX162" s="345">
        <v>36951</v>
      </c>
      <c r="BY162" s="317">
        <f t="shared" si="68"/>
        <v>7</v>
      </c>
      <c r="BZ162" s="346">
        <v>3.4700000000000002E-2</v>
      </c>
      <c r="CA162" s="337">
        <f t="shared" si="84"/>
        <v>33273.972603000002</v>
      </c>
      <c r="CB162" s="341">
        <f>SUM(CA159:CA162)</f>
        <v>136931.50685000001</v>
      </c>
      <c r="CD162" s="335">
        <f t="shared" si="81"/>
        <v>36944</v>
      </c>
      <c r="CE162" s="345">
        <v>36951</v>
      </c>
      <c r="CF162" s="317">
        <f t="shared" si="69"/>
        <v>7</v>
      </c>
      <c r="CG162" s="347">
        <v>3.4700000000000002E-2</v>
      </c>
      <c r="CH162" s="337">
        <f t="shared" si="85"/>
        <v>33273.97</v>
      </c>
      <c r="CI162" s="341">
        <f>SUM(CH159:CH162)</f>
        <v>136931.5</v>
      </c>
      <c r="CL162" s="335">
        <f t="shared" si="75"/>
        <v>37637</v>
      </c>
      <c r="CM162" s="345">
        <v>37644</v>
      </c>
      <c r="CN162" s="317">
        <f>CM162-CL162</f>
        <v>7</v>
      </c>
      <c r="CO162" s="347">
        <v>9.5999999999999992E-3</v>
      </c>
      <c r="CP162" s="347"/>
      <c r="CQ162" s="347"/>
      <c r="CR162" s="347"/>
      <c r="CS162" s="347"/>
      <c r="CT162" s="347"/>
      <c r="CU162" s="347"/>
      <c r="CV162" s="337">
        <f t="shared" si="76"/>
        <v>15342.77</v>
      </c>
    </row>
    <row r="163" spans="1:101" hidden="1" x14ac:dyDescent="0.25">
      <c r="A163" s="335">
        <f t="shared" si="77"/>
        <v>34736</v>
      </c>
      <c r="B163" s="353">
        <v>34744</v>
      </c>
      <c r="C163" s="317">
        <f t="shared" si="70"/>
        <v>8</v>
      </c>
      <c r="E163" s="339">
        <v>3.8219999999999997E-2</v>
      </c>
      <c r="F163" s="339">
        <f>ROUND(((F162*SUM($C$10:C162))+(E163*C163))/SUM($C$10:C163),5)</f>
        <v>2.7119999999999998E-2</v>
      </c>
      <c r="G163" s="351">
        <v>71.8</v>
      </c>
      <c r="I163" s="335">
        <f t="shared" si="78"/>
        <v>34606</v>
      </c>
      <c r="J163" s="335">
        <v>34610</v>
      </c>
      <c r="K163" s="317">
        <f t="shared" si="71"/>
        <v>4</v>
      </c>
      <c r="M163" s="339">
        <v>3.2169999999999997E-2</v>
      </c>
      <c r="N163" s="339">
        <f>ROUND(((N162*SUM($K$10:K162))+(M163*K163))/SUM($K$10:K163),5)</f>
        <v>2.597E-2</v>
      </c>
      <c r="O163" s="351">
        <v>74</v>
      </c>
      <c r="Q163" s="335">
        <f t="shared" si="79"/>
        <v>35236</v>
      </c>
      <c r="R163" s="353">
        <v>35242</v>
      </c>
      <c r="S163" s="317">
        <f t="shared" si="72"/>
        <v>6</v>
      </c>
      <c r="U163" s="339">
        <v>3.4939999999999999E-2</v>
      </c>
      <c r="V163" s="339">
        <f>ROUND(((V162*SUM($S$10:S162))+(U163*S163))/SUM($S$10:S163),5)</f>
        <v>3.322E-2</v>
      </c>
      <c r="W163" s="351">
        <v>134.4</v>
      </c>
      <c r="Y163" s="335">
        <f t="shared" si="80"/>
        <v>0</v>
      </c>
      <c r="Z163" s="345"/>
      <c r="AC163" s="346"/>
      <c r="AD163" s="339">
        <f>ROUND(((AD162*SUM($AA$10:AA162))+(AC163*AA163))/SUM($AA$10:AA163),5)</f>
        <v>-1.92E-3</v>
      </c>
      <c r="AH163" s="345"/>
      <c r="AS163" s="346"/>
      <c r="BB163" s="352"/>
      <c r="BC163" s="348"/>
      <c r="BE163" s="335">
        <f t="shared" si="73"/>
        <v>34772</v>
      </c>
      <c r="BF163" s="353">
        <v>34779</v>
      </c>
      <c r="BG163" s="317">
        <f t="shared" si="67"/>
        <v>7</v>
      </c>
      <c r="BH163" s="339">
        <v>3.85E-2</v>
      </c>
      <c r="BI163" s="337">
        <f t="shared" si="83"/>
        <v>22150.68</v>
      </c>
      <c r="BK163" s="337"/>
      <c r="BO163" s="335">
        <f t="shared" si="74"/>
        <v>36727</v>
      </c>
      <c r="BP163" s="345">
        <v>36734</v>
      </c>
      <c r="BQ163" s="317">
        <f t="shared" si="63"/>
        <v>7</v>
      </c>
      <c r="BR163" s="346">
        <v>4.2299999999999997E-2</v>
      </c>
      <c r="BS163" s="337">
        <f t="shared" si="66"/>
        <v>13753.28</v>
      </c>
      <c r="BW163" s="335">
        <f t="shared" si="82"/>
        <v>36951</v>
      </c>
      <c r="BX163" s="345">
        <v>36958</v>
      </c>
      <c r="BY163" s="317">
        <f t="shared" si="68"/>
        <v>7</v>
      </c>
      <c r="BZ163" s="346">
        <v>3.15E-2</v>
      </c>
      <c r="CA163" s="337">
        <f t="shared" si="84"/>
        <v>30205.479452</v>
      </c>
      <c r="CD163" s="335">
        <f t="shared" si="81"/>
        <v>36951</v>
      </c>
      <c r="CE163" s="345">
        <v>36958</v>
      </c>
      <c r="CF163" s="317">
        <f t="shared" si="69"/>
        <v>7</v>
      </c>
      <c r="CG163" s="347">
        <v>3.15E-2</v>
      </c>
      <c r="CH163" s="337">
        <f t="shared" si="85"/>
        <v>30205.48</v>
      </c>
      <c r="CL163" s="335">
        <f t="shared" si="75"/>
        <v>37644</v>
      </c>
      <c r="CM163" s="345">
        <v>37651</v>
      </c>
      <c r="CN163" s="317">
        <f>CM163-CL163</f>
        <v>7</v>
      </c>
      <c r="CO163" s="347">
        <v>1.0800000000000001E-2</v>
      </c>
      <c r="CP163" s="347"/>
      <c r="CQ163" s="347"/>
      <c r="CR163" s="347"/>
      <c r="CS163" s="347"/>
      <c r="CT163" s="347"/>
      <c r="CU163" s="347"/>
      <c r="CV163" s="337">
        <f t="shared" si="76"/>
        <v>17260.62</v>
      </c>
    </row>
    <row r="164" spans="1:101" hidden="1" x14ac:dyDescent="0.25">
      <c r="A164" s="335">
        <f t="shared" si="77"/>
        <v>34744</v>
      </c>
      <c r="B164" s="353">
        <v>34745</v>
      </c>
      <c r="C164" s="317">
        <f t="shared" si="70"/>
        <v>1</v>
      </c>
      <c r="E164" s="339">
        <v>3.9829999999999997E-2</v>
      </c>
      <c r="F164" s="339">
        <f>ROUND(((F163*SUM($C$10:C163))+(E164*C164))/SUM($C$10:C164),5)</f>
        <v>2.7130000000000001E-2</v>
      </c>
      <c r="G164" s="351">
        <v>84.6</v>
      </c>
      <c r="I164" s="335">
        <f t="shared" si="78"/>
        <v>34610</v>
      </c>
      <c r="J164" s="335">
        <v>34612</v>
      </c>
      <c r="K164" s="317">
        <f t="shared" si="71"/>
        <v>2</v>
      </c>
      <c r="M164" s="339">
        <v>3.2289999999999999E-2</v>
      </c>
      <c r="N164" s="339">
        <f>ROUND(((N163*SUM($K$10:K163))+(M164*K164))/SUM($K$10:K164),5)</f>
        <v>2.5989999999999999E-2</v>
      </c>
      <c r="O164" s="351">
        <v>71.3</v>
      </c>
      <c r="Q164" s="335">
        <f t="shared" si="79"/>
        <v>35242</v>
      </c>
      <c r="R164" s="353">
        <v>35247</v>
      </c>
      <c r="S164" s="317">
        <f t="shared" si="72"/>
        <v>5</v>
      </c>
      <c r="U164" s="339">
        <v>3.4939999999999999E-2</v>
      </c>
      <c r="V164" s="339">
        <f>ROUND(((V163*SUM($S$10:S163))+(U164*S164))/SUM($S$10:S164),5)</f>
        <v>3.3230000000000003E-2</v>
      </c>
      <c r="W164" s="351">
        <v>134.4</v>
      </c>
      <c r="Y164" s="335">
        <f t="shared" si="80"/>
        <v>0</v>
      </c>
      <c r="Z164" s="345"/>
      <c r="AC164" s="346"/>
      <c r="AD164" s="339">
        <f>ROUND(((AD163*SUM($AA$10:AA163))+(AC164*AA164))/SUM($AA$10:AA164),5)</f>
        <v>-1.92E-3</v>
      </c>
      <c r="AH164" s="345"/>
      <c r="AS164" s="346"/>
      <c r="BB164" s="352"/>
      <c r="BC164" s="348"/>
      <c r="BE164" s="335">
        <f t="shared" si="73"/>
        <v>34779</v>
      </c>
      <c r="BF164" s="353">
        <v>34786</v>
      </c>
      <c r="BG164" s="317">
        <f t="shared" si="67"/>
        <v>7</v>
      </c>
      <c r="BH164" s="339">
        <v>3.9400000000000004E-2</v>
      </c>
      <c r="BI164" s="337">
        <f t="shared" si="83"/>
        <v>22668.49</v>
      </c>
      <c r="BK164" s="337"/>
      <c r="BO164" s="335">
        <f t="shared" si="74"/>
        <v>36734</v>
      </c>
      <c r="BP164" s="345">
        <v>36739</v>
      </c>
      <c r="BQ164" s="317">
        <f t="shared" si="63"/>
        <v>5</v>
      </c>
      <c r="BR164" s="346">
        <v>4.2299999999999997E-2</v>
      </c>
      <c r="BS164" s="337">
        <f t="shared" si="66"/>
        <v>9823.77</v>
      </c>
      <c r="BT164" s="341">
        <f>SUM(BS160:BS164)</f>
        <v>57479.510000000009</v>
      </c>
      <c r="BW164" s="335">
        <f t="shared" si="82"/>
        <v>36958</v>
      </c>
      <c r="BX164" s="345">
        <v>36965</v>
      </c>
      <c r="BY164" s="317">
        <f t="shared" si="68"/>
        <v>7</v>
      </c>
      <c r="BZ164" s="346">
        <v>2.4299999999999999E-2</v>
      </c>
      <c r="CA164" s="337">
        <f t="shared" si="84"/>
        <v>23301.369863</v>
      </c>
      <c r="CB164" s="341" t="s">
        <v>35</v>
      </c>
      <c r="CD164" s="335">
        <f t="shared" si="81"/>
        <v>36958</v>
      </c>
      <c r="CE164" s="345">
        <v>36965</v>
      </c>
      <c r="CF164" s="317">
        <f t="shared" si="69"/>
        <v>7</v>
      </c>
      <c r="CG164" s="347">
        <v>2.4299999999999999E-2</v>
      </c>
      <c r="CH164" s="337">
        <f t="shared" si="85"/>
        <v>23301.37</v>
      </c>
      <c r="CI164" s="355" t="s">
        <v>35</v>
      </c>
      <c r="CL164" s="335">
        <f t="shared" si="75"/>
        <v>37651</v>
      </c>
      <c r="CM164" s="345">
        <v>37653</v>
      </c>
      <c r="CN164" s="317">
        <f>CM164-CL164</f>
        <v>2</v>
      </c>
      <c r="CO164" s="347">
        <v>1.1299999999999999E-2</v>
      </c>
      <c r="CP164" s="347"/>
      <c r="CQ164" s="347"/>
      <c r="CR164" s="347"/>
      <c r="CS164" s="347"/>
      <c r="CT164" s="347"/>
      <c r="CU164" s="347"/>
      <c r="CV164" s="337">
        <f t="shared" si="76"/>
        <v>5159.92</v>
      </c>
      <c r="CW164" s="341">
        <f>SUM(CV159:CV164)</f>
        <v>73837.09</v>
      </c>
    </row>
    <row r="165" spans="1:101" hidden="1" x14ac:dyDescent="0.25">
      <c r="A165" s="335">
        <f t="shared" si="77"/>
        <v>34745</v>
      </c>
      <c r="B165" s="353">
        <v>34753</v>
      </c>
      <c r="C165" s="317">
        <f t="shared" si="70"/>
        <v>8</v>
      </c>
      <c r="E165" s="339">
        <v>3.9890000000000002E-2</v>
      </c>
      <c r="F165" s="339">
        <f>ROUND(((F164*SUM($C$10:C164))+(E165*C165))/SUM($C$10:C165),5)</f>
        <v>2.724E-2</v>
      </c>
      <c r="G165" s="351">
        <v>84.4</v>
      </c>
      <c r="I165" s="335">
        <f t="shared" si="78"/>
        <v>34612</v>
      </c>
      <c r="J165" s="353">
        <v>34613</v>
      </c>
      <c r="K165" s="317">
        <f t="shared" si="71"/>
        <v>1</v>
      </c>
      <c r="M165" s="339">
        <v>3.2870000000000003E-2</v>
      </c>
      <c r="N165" s="339">
        <f>ROUND(((N164*SUM($K$10:K164))+(M165*K165))/SUM($K$10:K165),5)</f>
        <v>2.5999999999999999E-2</v>
      </c>
      <c r="O165" s="351">
        <v>76.900000000000006</v>
      </c>
      <c r="Q165" s="335">
        <f t="shared" si="79"/>
        <v>35247</v>
      </c>
      <c r="R165" s="353">
        <v>35249</v>
      </c>
      <c r="S165" s="317">
        <f t="shared" si="72"/>
        <v>2</v>
      </c>
      <c r="U165" s="339">
        <v>3.4939999999999999E-2</v>
      </c>
      <c r="V165" s="339">
        <f>ROUND(((V164*SUM($S$10:S164))+(U165*S165))/SUM($S$10:S165),5)</f>
        <v>3.3230000000000003E-2</v>
      </c>
      <c r="W165" s="351">
        <v>134.30000000000001</v>
      </c>
      <c r="Y165" s="335">
        <f t="shared" si="80"/>
        <v>0</v>
      </c>
      <c r="Z165" s="345"/>
      <c r="AC165" s="346"/>
      <c r="AD165" s="339">
        <f>ROUND(((AD164*SUM($AA$10:AA164))+(AC165*AA165))/SUM($AA$10:AA165),5)</f>
        <v>-1.92E-3</v>
      </c>
      <c r="AH165" s="345"/>
      <c r="AS165" s="346"/>
      <c r="BB165" s="352"/>
      <c r="BC165" s="348"/>
      <c r="BE165" s="335">
        <f t="shared" si="73"/>
        <v>34786</v>
      </c>
      <c r="BF165" s="353">
        <v>34790</v>
      </c>
      <c r="BG165" s="317">
        <f t="shared" si="67"/>
        <v>4</v>
      </c>
      <c r="BH165" s="339">
        <v>4.1700000000000001E-2</v>
      </c>
      <c r="BI165" s="337">
        <f t="shared" si="83"/>
        <v>13709.59</v>
      </c>
      <c r="BJ165" s="341">
        <f>SUM(BI161:BI165)</f>
        <v>98712.319999999992</v>
      </c>
      <c r="BK165" s="337">
        <v>102748.61</v>
      </c>
      <c r="BL165" s="341">
        <f>BJ165-BK165</f>
        <v>-4036.2900000000081</v>
      </c>
      <c r="BM165" s="341">
        <f>BM160+BL165</f>
        <v>-18388.590000000037</v>
      </c>
      <c r="BO165" s="335">
        <f t="shared" si="74"/>
        <v>36739</v>
      </c>
      <c r="BP165" s="345">
        <v>36741</v>
      </c>
      <c r="BQ165" s="317">
        <f t="shared" si="63"/>
        <v>2</v>
      </c>
      <c r="BR165" s="346">
        <v>4.2299999999999997E-2</v>
      </c>
      <c r="BS165" s="337">
        <f t="shared" si="66"/>
        <v>3929.51</v>
      </c>
      <c r="BW165" s="335">
        <f t="shared" si="82"/>
        <v>36965</v>
      </c>
      <c r="BX165" s="345">
        <v>36972</v>
      </c>
      <c r="BY165" s="317">
        <f t="shared" si="68"/>
        <v>7</v>
      </c>
      <c r="BZ165" s="346">
        <v>3.2599999999999997E-2</v>
      </c>
      <c r="CA165" s="337">
        <f t="shared" si="84"/>
        <v>31260.273972999999</v>
      </c>
      <c r="CB165" s="356" t="s">
        <v>35</v>
      </c>
      <c r="CD165" s="335">
        <f t="shared" si="81"/>
        <v>36965</v>
      </c>
      <c r="CE165" s="345">
        <v>36972</v>
      </c>
      <c r="CF165" s="317">
        <f t="shared" si="69"/>
        <v>7</v>
      </c>
      <c r="CG165" s="347">
        <v>3.2599999999999997E-2</v>
      </c>
      <c r="CH165" s="337">
        <f t="shared" ref="CH165:CH196" si="86">ROUND($CA$5*CG165*CF165/365,6)</f>
        <v>31260.273972999999</v>
      </c>
      <c r="CI165" s="356" t="s">
        <v>35</v>
      </c>
      <c r="CL165" s="335">
        <f t="shared" si="75"/>
        <v>37653</v>
      </c>
      <c r="CM165" s="345">
        <v>37658</v>
      </c>
      <c r="CN165" s="317">
        <f t="shared" ref="CN165:CN228" si="87">CM165-CL165</f>
        <v>5</v>
      </c>
      <c r="CO165" s="346">
        <v>1.1299999999999999E-2</v>
      </c>
      <c r="CP165" s="346"/>
      <c r="CQ165" s="346"/>
      <c r="CR165" s="346"/>
      <c r="CS165" s="346"/>
      <c r="CT165" s="346"/>
      <c r="CU165" s="346"/>
      <c r="CV165" s="337">
        <f t="shared" si="76"/>
        <v>12899.8</v>
      </c>
    </row>
    <row r="166" spans="1:101" hidden="1" x14ac:dyDescent="0.25">
      <c r="A166" s="335">
        <f t="shared" si="77"/>
        <v>34753</v>
      </c>
      <c r="B166" s="353">
        <v>34759</v>
      </c>
      <c r="C166" s="317">
        <f t="shared" si="70"/>
        <v>6</v>
      </c>
      <c r="E166" s="339">
        <v>4.0289999999999999E-2</v>
      </c>
      <c r="F166" s="339">
        <f>ROUND(((F165*SUM($C$10:C165))+(E166*C166))/SUM($C$10:C166),5)</f>
        <v>2.733E-2</v>
      </c>
      <c r="G166" s="351">
        <v>85.8</v>
      </c>
      <c r="I166" s="335">
        <f t="shared" si="78"/>
        <v>34613</v>
      </c>
      <c r="J166" s="353">
        <v>34614</v>
      </c>
      <c r="K166" s="317">
        <f t="shared" si="71"/>
        <v>1</v>
      </c>
      <c r="M166" s="339">
        <v>3.3399999999999999E-2</v>
      </c>
      <c r="N166" s="339">
        <f>ROUND(((N165*SUM($K$10:K165))+(M166*K166))/SUM($K$10:K166),5)</f>
        <v>2.6009999999999998E-2</v>
      </c>
      <c r="O166" s="351">
        <v>90.8</v>
      </c>
      <c r="Q166" s="335">
        <f t="shared" si="79"/>
        <v>35249</v>
      </c>
      <c r="R166" s="353">
        <v>35263</v>
      </c>
      <c r="S166" s="317">
        <f t="shared" si="72"/>
        <v>14</v>
      </c>
      <c r="U166" s="339">
        <v>3.4909999999999997E-2</v>
      </c>
      <c r="V166" s="339">
        <f>ROUND(((V165*SUM($S$10:S165))+(U166*S166))/SUM($S$10:S166),5)</f>
        <v>3.3250000000000002E-2</v>
      </c>
      <c r="W166" s="351">
        <v>135.30000000000001</v>
      </c>
      <c r="Y166" s="335">
        <f t="shared" si="80"/>
        <v>0</v>
      </c>
      <c r="Z166" s="345"/>
      <c r="AC166" s="346"/>
      <c r="AD166" s="339">
        <f>ROUND(((AD165*SUM($AA$10:AA165))+(AC166*AA166))/SUM($AA$10:AA166),5)</f>
        <v>-1.92E-3</v>
      </c>
      <c r="AH166" s="345"/>
      <c r="AS166" s="346"/>
      <c r="BB166" s="352"/>
      <c r="BC166" s="348"/>
      <c r="BE166" s="335">
        <f t="shared" si="73"/>
        <v>34790</v>
      </c>
      <c r="BF166" s="353">
        <v>34793</v>
      </c>
      <c r="BG166" s="317">
        <f t="shared" si="67"/>
        <v>3</v>
      </c>
      <c r="BH166" s="339">
        <v>4.1700000000000001E-2</v>
      </c>
      <c r="BI166" s="337">
        <f t="shared" si="83"/>
        <v>10282.19</v>
      </c>
      <c r="BK166" s="337"/>
      <c r="BO166" s="335">
        <f t="shared" si="74"/>
        <v>36741</v>
      </c>
      <c r="BP166" s="345">
        <v>36748</v>
      </c>
      <c r="BQ166" s="317">
        <f t="shared" si="63"/>
        <v>7</v>
      </c>
      <c r="BR166" s="347">
        <v>3.9899999999999998E-2</v>
      </c>
      <c r="BS166" s="337">
        <f>ROUND($BS$5*BR166*BQ166/366,6)</f>
        <v>12972.95082</v>
      </c>
      <c r="BW166" s="335">
        <f t="shared" si="82"/>
        <v>36972</v>
      </c>
      <c r="BX166" s="345">
        <v>36979</v>
      </c>
      <c r="BY166" s="317">
        <f t="shared" si="68"/>
        <v>7</v>
      </c>
      <c r="BZ166" s="346">
        <v>3.4799999999999998E-2</v>
      </c>
      <c r="CA166" s="337">
        <f t="shared" si="84"/>
        <v>33369.863014000002</v>
      </c>
      <c r="CD166" s="335">
        <f t="shared" si="81"/>
        <v>36972</v>
      </c>
      <c r="CE166" s="345">
        <v>36979</v>
      </c>
      <c r="CF166" s="317">
        <f t="shared" si="69"/>
        <v>7</v>
      </c>
      <c r="CG166" s="347">
        <v>3.4799999999999998E-2</v>
      </c>
      <c r="CH166" s="337">
        <f t="shared" si="86"/>
        <v>33369.863014000002</v>
      </c>
      <c r="CL166" s="335">
        <f t="shared" si="75"/>
        <v>37658</v>
      </c>
      <c r="CM166" s="345">
        <v>37665</v>
      </c>
      <c r="CN166" s="317">
        <f t="shared" si="87"/>
        <v>7</v>
      </c>
      <c r="CO166" s="346">
        <v>1.0200000000000001E-2</v>
      </c>
      <c r="CP166" s="346"/>
      <c r="CQ166" s="346"/>
      <c r="CR166" s="346"/>
      <c r="CS166" s="346"/>
      <c r="CT166" s="346"/>
      <c r="CU166" s="346"/>
      <c r="CV166" s="337">
        <f t="shared" si="76"/>
        <v>16301.7</v>
      </c>
    </row>
    <row r="167" spans="1:101" hidden="1" x14ac:dyDescent="0.25">
      <c r="A167" s="335">
        <f t="shared" si="77"/>
        <v>34759</v>
      </c>
      <c r="B167" s="353">
        <v>34767</v>
      </c>
      <c r="C167" s="317">
        <f t="shared" si="70"/>
        <v>8</v>
      </c>
      <c r="E167" s="339">
        <v>4.0370000000000003E-2</v>
      </c>
      <c r="F167" s="339">
        <f>ROUND(((F166*SUM($C$10:C166))+(E167*C167))/SUM($C$10:C167),5)</f>
        <v>2.7449999999999999E-2</v>
      </c>
      <c r="G167" s="351">
        <v>86</v>
      </c>
      <c r="I167" s="335">
        <f t="shared" si="78"/>
        <v>34614</v>
      </c>
      <c r="J167" s="353">
        <v>34618</v>
      </c>
      <c r="K167" s="317">
        <f t="shared" si="71"/>
        <v>4</v>
      </c>
      <c r="M167" s="339">
        <v>3.3450000000000001E-2</v>
      </c>
      <c r="N167" s="339">
        <f>ROUND(((N166*SUM($K$10:K166))+(M167*K167))/SUM($K$10:K167),5)</f>
        <v>2.605E-2</v>
      </c>
      <c r="O167" s="351">
        <v>90.7</v>
      </c>
      <c r="Q167" s="335">
        <f t="shared" si="79"/>
        <v>35263</v>
      </c>
      <c r="R167" s="353">
        <v>35278</v>
      </c>
      <c r="S167" s="317">
        <f t="shared" si="72"/>
        <v>15</v>
      </c>
      <c r="U167" s="339">
        <v>3.4959999999999998E-2</v>
      </c>
      <c r="V167" s="339">
        <f>ROUND(((V166*SUM($S$10:S166))+(U167*S167))/SUM($S$10:S167),5)</f>
        <v>3.3270000000000001E-2</v>
      </c>
      <c r="W167" s="351">
        <v>139.69999999999999</v>
      </c>
      <c r="Y167" s="335">
        <f t="shared" si="80"/>
        <v>0</v>
      </c>
      <c r="Z167" s="345"/>
      <c r="AC167" s="346"/>
      <c r="AD167" s="339">
        <f>ROUND(((AD166*SUM($AA$10:AA166))+(AC167*AA167))/SUM($AA$10:AA167),5)</f>
        <v>-1.92E-3</v>
      </c>
      <c r="AH167" s="345"/>
      <c r="AS167" s="346"/>
      <c r="BB167" s="352"/>
      <c r="BC167" s="348"/>
      <c r="BE167" s="335">
        <f t="shared" si="73"/>
        <v>34793</v>
      </c>
      <c r="BF167" s="353">
        <v>34800</v>
      </c>
      <c r="BG167" s="317">
        <f t="shared" si="67"/>
        <v>7</v>
      </c>
      <c r="BH167" s="339">
        <v>3.8100000000000002E-2</v>
      </c>
      <c r="BI167" s="337">
        <f t="shared" si="83"/>
        <v>21920.55</v>
      </c>
      <c r="BK167" s="337"/>
      <c r="BO167" s="335">
        <f t="shared" si="74"/>
        <v>36748</v>
      </c>
      <c r="BP167" s="345">
        <v>36755</v>
      </c>
      <c r="BQ167" s="317">
        <f t="shared" si="63"/>
        <v>7</v>
      </c>
      <c r="BR167" s="347">
        <v>4.19E-2</v>
      </c>
      <c r="BS167" s="337">
        <f t="shared" ref="BS167:BS192" si="88">ROUND($BS$5*BR167*BQ167/366,6)</f>
        <v>13623.224044000001</v>
      </c>
      <c r="BW167" s="335">
        <f t="shared" si="82"/>
        <v>36979</v>
      </c>
      <c r="BX167" s="345">
        <v>36982</v>
      </c>
      <c r="BY167" s="317">
        <f t="shared" si="68"/>
        <v>3</v>
      </c>
      <c r="BZ167" s="346">
        <v>3.4500000000000003E-2</v>
      </c>
      <c r="CA167" s="337">
        <f t="shared" si="84"/>
        <v>14178.082192</v>
      </c>
      <c r="CB167" s="341">
        <f>SUM(CA163:CA167)</f>
        <v>132315.06849400001</v>
      </c>
      <c r="CD167" s="335">
        <f t="shared" si="81"/>
        <v>36979</v>
      </c>
      <c r="CE167" s="345">
        <v>36982</v>
      </c>
      <c r="CF167" s="317">
        <f t="shared" si="69"/>
        <v>3</v>
      </c>
      <c r="CG167" s="347">
        <v>3.4500000000000003E-2</v>
      </c>
      <c r="CH167" s="337">
        <f t="shared" si="86"/>
        <v>14178.082192</v>
      </c>
      <c r="CI167" s="341">
        <f>SUM(CH163:CH167)</f>
        <v>132315.06917899998</v>
      </c>
      <c r="CL167" s="335">
        <f t="shared" si="75"/>
        <v>37665</v>
      </c>
      <c r="CM167" s="345">
        <v>37672</v>
      </c>
      <c r="CN167" s="317">
        <f t="shared" si="87"/>
        <v>7</v>
      </c>
      <c r="CO167" s="346">
        <v>1.0800000000000001E-2</v>
      </c>
      <c r="CP167" s="346"/>
      <c r="CQ167" s="346"/>
      <c r="CR167" s="346"/>
      <c r="CS167" s="346"/>
      <c r="CT167" s="346"/>
      <c r="CU167" s="346"/>
      <c r="CV167" s="337">
        <f t="shared" si="76"/>
        <v>17260.62</v>
      </c>
    </row>
    <row r="168" spans="1:101" hidden="1" x14ac:dyDescent="0.25">
      <c r="A168" s="335">
        <f t="shared" si="77"/>
        <v>34767</v>
      </c>
      <c r="B168" s="353">
        <v>34771</v>
      </c>
      <c r="C168" s="317">
        <f t="shared" si="70"/>
        <v>4</v>
      </c>
      <c r="E168" s="339">
        <v>4.0629999999999999E-2</v>
      </c>
      <c r="F168" s="339">
        <f>ROUND(((F167*SUM($C$10:C167))+(E168*C168))/SUM($C$10:C168),5)</f>
        <v>2.751E-2</v>
      </c>
      <c r="G168" s="351">
        <v>87.7</v>
      </c>
      <c r="I168" s="335">
        <f t="shared" si="78"/>
        <v>34618</v>
      </c>
      <c r="J168" s="353">
        <v>34620</v>
      </c>
      <c r="K168" s="317">
        <f t="shared" si="71"/>
        <v>2</v>
      </c>
      <c r="M168" s="339">
        <v>3.3689999999999998E-2</v>
      </c>
      <c r="N168" s="339">
        <f>ROUND(((N167*SUM($K$10:K167))+(M168*K168))/SUM($K$10:K168),5)</f>
        <v>2.6069999999999999E-2</v>
      </c>
      <c r="O168" s="351">
        <v>91.2</v>
      </c>
      <c r="Q168" s="335">
        <f t="shared" si="79"/>
        <v>35278</v>
      </c>
      <c r="R168" s="353">
        <v>35279</v>
      </c>
      <c r="S168" s="317">
        <f t="shared" si="72"/>
        <v>1</v>
      </c>
      <c r="U168" s="339">
        <v>3.524E-2</v>
      </c>
      <c r="V168" s="339">
        <f>ROUND(((V167*SUM($S$10:S167))+(U168*S168))/SUM($S$10:S168),5)</f>
        <v>3.3270000000000001E-2</v>
      </c>
      <c r="W168" s="351">
        <v>129.4</v>
      </c>
      <c r="Y168" s="335">
        <f t="shared" si="80"/>
        <v>0</v>
      </c>
      <c r="Z168" s="345"/>
      <c r="AC168" s="346"/>
      <c r="AD168" s="339">
        <f>ROUND(((AD167*SUM($AA$10:AA167))+(AC168*AA168))/SUM($AA$10:AA168),5)</f>
        <v>-1.92E-3</v>
      </c>
      <c r="AH168" s="345"/>
      <c r="AS168" s="346"/>
      <c r="BB168" s="352"/>
      <c r="BC168" s="348"/>
      <c r="BE168" s="335">
        <f t="shared" si="73"/>
        <v>34800</v>
      </c>
      <c r="BF168" s="353">
        <v>34807</v>
      </c>
      <c r="BG168" s="317">
        <f t="shared" si="67"/>
        <v>7</v>
      </c>
      <c r="BH168" s="339">
        <v>4.1399999999999999E-2</v>
      </c>
      <c r="BI168" s="337">
        <f t="shared" si="83"/>
        <v>23819.18</v>
      </c>
      <c r="BK168" s="337"/>
      <c r="BO168" s="335">
        <f t="shared" si="74"/>
        <v>36755</v>
      </c>
      <c r="BP168" s="345">
        <v>36762</v>
      </c>
      <c r="BQ168" s="317">
        <f t="shared" si="63"/>
        <v>7</v>
      </c>
      <c r="BR168" s="347">
        <v>4.19E-2</v>
      </c>
      <c r="BS168" s="337">
        <f t="shared" si="88"/>
        <v>13623.224044000001</v>
      </c>
      <c r="BW168" s="335">
        <f t="shared" si="82"/>
        <v>36982</v>
      </c>
      <c r="BX168" s="345">
        <v>36986</v>
      </c>
      <c r="BY168" s="317">
        <f t="shared" si="68"/>
        <v>4</v>
      </c>
      <c r="BZ168" s="346">
        <v>3.4500000000000003E-2</v>
      </c>
      <c r="CA168" s="337">
        <f t="shared" si="84"/>
        <v>18904.109589</v>
      </c>
      <c r="CD168" s="335">
        <f t="shared" si="81"/>
        <v>36982</v>
      </c>
      <c r="CE168" s="345">
        <v>36986</v>
      </c>
      <c r="CF168" s="317">
        <f t="shared" si="69"/>
        <v>4</v>
      </c>
      <c r="CG168" s="347">
        <v>3.4500000000000003E-2</v>
      </c>
      <c r="CH168" s="337">
        <f t="shared" si="86"/>
        <v>18904.109589</v>
      </c>
      <c r="CL168" s="335">
        <f t="shared" si="75"/>
        <v>37672</v>
      </c>
      <c r="CM168" s="345">
        <v>37679</v>
      </c>
      <c r="CN168" s="317">
        <f t="shared" si="87"/>
        <v>7</v>
      </c>
      <c r="CO168" s="346">
        <v>1.0999999999999999E-2</v>
      </c>
      <c r="CP168" s="346"/>
      <c r="CQ168" s="346"/>
      <c r="CR168" s="346"/>
      <c r="CS168" s="346"/>
      <c r="CT168" s="346"/>
      <c r="CU168" s="346"/>
      <c r="CV168" s="337">
        <f t="shared" si="76"/>
        <v>17580.259999999998</v>
      </c>
    </row>
    <row r="169" spans="1:101" hidden="1" x14ac:dyDescent="0.25">
      <c r="A169" s="335">
        <f t="shared" si="77"/>
        <v>34771</v>
      </c>
      <c r="B169" s="353">
        <v>34794</v>
      </c>
      <c r="C169" s="317">
        <f t="shared" si="70"/>
        <v>23</v>
      </c>
      <c r="E169" s="339">
        <v>4.0890000000000003E-2</v>
      </c>
      <c r="F169" s="339">
        <f>ROUND(((F168*SUM($C$10:C168))+(E169*C169))/SUM($C$10:C169),5)</f>
        <v>2.784E-2</v>
      </c>
      <c r="G169" s="351">
        <v>91.4</v>
      </c>
      <c r="I169" s="335">
        <f t="shared" si="78"/>
        <v>34620</v>
      </c>
      <c r="J169" s="353">
        <v>34625</v>
      </c>
      <c r="K169" s="317">
        <f t="shared" si="71"/>
        <v>5</v>
      </c>
      <c r="M169" s="339">
        <v>3.415E-2</v>
      </c>
      <c r="N169" s="339">
        <f>ROUND(((N168*SUM($K$10:K168))+(M169*K169))/SUM($K$10:K169),5)</f>
        <v>2.6120000000000001E-2</v>
      </c>
      <c r="O169" s="351">
        <v>91.4</v>
      </c>
      <c r="Q169" s="335">
        <f t="shared" si="79"/>
        <v>35279</v>
      </c>
      <c r="R169" s="353">
        <v>35290</v>
      </c>
      <c r="S169" s="317">
        <f t="shared" si="72"/>
        <v>11</v>
      </c>
      <c r="U169" s="339">
        <v>3.5270000000000003E-2</v>
      </c>
      <c r="V169" s="339">
        <f>ROUND(((V168*SUM($S$10:S168))+(U169*S169))/SUM($S$10:S169),5)</f>
        <v>3.329E-2</v>
      </c>
      <c r="W169" s="351">
        <v>131.9</v>
      </c>
      <c r="Y169" s="335">
        <f t="shared" si="80"/>
        <v>0</v>
      </c>
      <c r="Z169" s="345"/>
      <c r="AC169" s="346"/>
      <c r="AD169" s="339">
        <f>ROUND(((AD168*SUM($AA$10:AA168))+(AC169*AA169))/SUM($AA$10:AA169),5)</f>
        <v>-1.92E-3</v>
      </c>
      <c r="AH169" s="345"/>
      <c r="AS169" s="346"/>
      <c r="BB169" s="352"/>
      <c r="BC169" s="348"/>
      <c r="BE169" s="335">
        <f t="shared" si="73"/>
        <v>34807</v>
      </c>
      <c r="BF169" s="353">
        <v>34814</v>
      </c>
      <c r="BG169" s="317">
        <f t="shared" si="67"/>
        <v>7</v>
      </c>
      <c r="BH169" s="339">
        <v>4.2900000000000001E-2</v>
      </c>
      <c r="BI169" s="337">
        <f t="shared" si="83"/>
        <v>24682.19</v>
      </c>
      <c r="BK169" s="337"/>
      <c r="BO169" s="335">
        <f t="shared" si="74"/>
        <v>36762</v>
      </c>
      <c r="BP169" s="345">
        <v>36769</v>
      </c>
      <c r="BQ169" s="317">
        <f t="shared" si="63"/>
        <v>7</v>
      </c>
      <c r="BR169" s="347">
        <v>4.19E-2</v>
      </c>
      <c r="BS169" s="337">
        <f t="shared" si="88"/>
        <v>13623.224044000001</v>
      </c>
      <c r="BW169" s="335">
        <f t="shared" si="82"/>
        <v>36986</v>
      </c>
      <c r="BX169" s="345">
        <v>36993</v>
      </c>
      <c r="BY169" s="317">
        <f t="shared" si="68"/>
        <v>7</v>
      </c>
      <c r="BZ169" s="346">
        <v>3.1899999999999998E-2</v>
      </c>
      <c r="CA169" s="337">
        <f t="shared" si="84"/>
        <v>30589.041096000001</v>
      </c>
      <c r="CD169" s="335">
        <f t="shared" si="81"/>
        <v>36986</v>
      </c>
      <c r="CE169" s="345">
        <v>36993</v>
      </c>
      <c r="CF169" s="317">
        <f t="shared" si="69"/>
        <v>7</v>
      </c>
      <c r="CG169" s="347">
        <v>3.1899999999999998E-2</v>
      </c>
      <c r="CH169" s="337">
        <f t="shared" si="86"/>
        <v>30589.041096000001</v>
      </c>
      <c r="CL169" s="335">
        <f t="shared" si="75"/>
        <v>37679</v>
      </c>
      <c r="CM169" s="345">
        <v>37681</v>
      </c>
      <c r="CN169" s="317">
        <f t="shared" si="87"/>
        <v>2</v>
      </c>
      <c r="CO169" s="347">
        <v>1.0800000000000001E-2</v>
      </c>
      <c r="CP169" s="347"/>
      <c r="CQ169" s="347"/>
      <c r="CR169" s="347"/>
      <c r="CS169" s="347"/>
      <c r="CT169" s="347"/>
      <c r="CU169" s="347"/>
      <c r="CV169" s="337">
        <f t="shared" si="76"/>
        <v>4931.6099999999997</v>
      </c>
      <c r="CW169" s="341">
        <f>SUM(CV165:CV169)</f>
        <v>68973.989999999991</v>
      </c>
    </row>
    <row r="170" spans="1:101" hidden="1" x14ac:dyDescent="0.25">
      <c r="A170" s="335">
        <f t="shared" si="77"/>
        <v>34794</v>
      </c>
      <c r="B170" s="353">
        <v>34795</v>
      </c>
      <c r="C170" s="317">
        <f t="shared" si="70"/>
        <v>1</v>
      </c>
      <c r="E170" s="339">
        <v>4.0919999999999998E-2</v>
      </c>
      <c r="F170" s="339">
        <f>ROUND(((F169*SUM($C$10:C169))+(E170*C170))/SUM($C$10:C170),5)</f>
        <v>2.785E-2</v>
      </c>
      <c r="G170" s="351">
        <v>96.3</v>
      </c>
      <c r="I170" s="335">
        <f t="shared" si="78"/>
        <v>34625</v>
      </c>
      <c r="J170" s="353">
        <v>34626</v>
      </c>
      <c r="K170" s="317">
        <f t="shared" si="71"/>
        <v>1</v>
      </c>
      <c r="M170" s="339">
        <v>3.4300000000000004E-2</v>
      </c>
      <c r="N170" s="339">
        <f>ROUND(((N169*SUM($K$10:K169))+(M170*K170))/SUM($K$10:K170),5)</f>
        <v>2.613E-2</v>
      </c>
      <c r="O170" s="351">
        <v>92.7</v>
      </c>
      <c r="Q170" s="335">
        <f t="shared" si="79"/>
        <v>35290</v>
      </c>
      <c r="R170" s="353">
        <v>35291</v>
      </c>
      <c r="S170" s="317">
        <f t="shared" si="72"/>
        <v>1</v>
      </c>
      <c r="U170" s="339">
        <v>3.5389999999999998E-2</v>
      </c>
      <c r="V170" s="339">
        <f>ROUND(((V169*SUM($S$10:S169))+(U170*S170))/SUM($S$10:S170),5)</f>
        <v>3.329E-2</v>
      </c>
      <c r="W170" s="351">
        <v>125.5</v>
      </c>
      <c r="Y170" s="335">
        <f t="shared" si="80"/>
        <v>0</v>
      </c>
      <c r="Z170" s="345"/>
      <c r="AC170" s="346"/>
      <c r="AD170" s="339">
        <f>ROUND(((AD169*SUM($AA$10:AA169))+(AC170*AA170))/SUM($AA$10:AA170),5)</f>
        <v>-1.92E-3</v>
      </c>
      <c r="AH170" s="345"/>
      <c r="AS170" s="346"/>
      <c r="BB170" s="352"/>
      <c r="BC170" s="348"/>
      <c r="BE170" s="335">
        <f t="shared" si="73"/>
        <v>34814</v>
      </c>
      <c r="BF170" s="353">
        <v>34820</v>
      </c>
      <c r="BG170" s="317">
        <f t="shared" si="67"/>
        <v>6</v>
      </c>
      <c r="BH170" s="339">
        <v>4.5400000000000003E-2</v>
      </c>
      <c r="BI170" s="337">
        <f t="shared" si="83"/>
        <v>22389.040000000001</v>
      </c>
      <c r="BJ170" s="341">
        <f>SUM(BI166:BI170)</f>
        <v>103093.15</v>
      </c>
      <c r="BK170" s="337">
        <v>100443.4</v>
      </c>
      <c r="BL170" s="341">
        <f>BJ170-BK170</f>
        <v>2649.75</v>
      </c>
      <c r="BM170" s="341">
        <f>BM165+BL170</f>
        <v>-15738.840000000037</v>
      </c>
      <c r="BO170" s="335">
        <f t="shared" si="74"/>
        <v>36769</v>
      </c>
      <c r="BP170" s="345">
        <v>36770</v>
      </c>
      <c r="BQ170" s="317">
        <f t="shared" si="63"/>
        <v>1</v>
      </c>
      <c r="BR170" s="347">
        <v>4.2299999999999997E-2</v>
      </c>
      <c r="BS170" s="337">
        <f t="shared" si="88"/>
        <v>1964.7540980000001</v>
      </c>
      <c r="BT170" s="341">
        <f>SUM(BS166:BS170)</f>
        <v>55807.377050000003</v>
      </c>
      <c r="BW170" s="335">
        <f t="shared" si="82"/>
        <v>36993</v>
      </c>
      <c r="BX170" s="345">
        <v>37000</v>
      </c>
      <c r="BY170" s="317">
        <f t="shared" si="68"/>
        <v>7</v>
      </c>
      <c r="BZ170" s="346">
        <v>3.8800000000000001E-2</v>
      </c>
      <c r="CA170" s="337">
        <f t="shared" si="84"/>
        <v>37205.479452</v>
      </c>
      <c r="CD170" s="335">
        <f t="shared" si="81"/>
        <v>36993</v>
      </c>
      <c r="CE170" s="345">
        <v>37000</v>
      </c>
      <c r="CF170" s="317">
        <f t="shared" si="69"/>
        <v>7</v>
      </c>
      <c r="CG170" s="347">
        <v>3.8800000000000001E-2</v>
      </c>
      <c r="CH170" s="337">
        <f t="shared" si="86"/>
        <v>37205.479452</v>
      </c>
      <c r="CL170" s="335">
        <f t="shared" si="75"/>
        <v>37681</v>
      </c>
      <c r="CM170" s="345">
        <v>37686</v>
      </c>
      <c r="CN170" s="317">
        <f t="shared" si="87"/>
        <v>5</v>
      </c>
      <c r="CO170" s="347">
        <v>1.0800000000000001E-2</v>
      </c>
      <c r="CP170" s="347"/>
      <c r="CQ170" s="347"/>
      <c r="CR170" s="347"/>
      <c r="CS170" s="347"/>
      <c r="CT170" s="347"/>
      <c r="CU170" s="347"/>
      <c r="CV170" s="337">
        <f t="shared" si="76"/>
        <v>12329.01</v>
      </c>
    </row>
    <row r="171" spans="1:101" hidden="1" x14ac:dyDescent="0.25">
      <c r="A171" s="335">
        <f t="shared" si="77"/>
        <v>34795</v>
      </c>
      <c r="B171" s="353">
        <v>34814</v>
      </c>
      <c r="C171" s="317">
        <f t="shared" si="70"/>
        <v>19</v>
      </c>
      <c r="E171" s="339">
        <v>4.0890000000000003E-2</v>
      </c>
      <c r="F171" s="339">
        <f>ROUND(((F170*SUM($C$10:C170))+(E171*C171))/SUM($C$10:C171),5)</f>
        <v>2.811E-2</v>
      </c>
      <c r="G171" s="351">
        <v>98</v>
      </c>
      <c r="I171" s="335">
        <f t="shared" si="78"/>
        <v>34626</v>
      </c>
      <c r="J171" s="353">
        <v>34633</v>
      </c>
      <c r="K171" s="317">
        <f t="shared" si="71"/>
        <v>7</v>
      </c>
      <c r="M171" s="339">
        <v>3.431E-2</v>
      </c>
      <c r="N171" s="339">
        <f>ROUND(((N170*SUM($K$10:K170))+(M171*K171))/SUM($K$10:K171),5)</f>
        <v>2.6200000000000001E-2</v>
      </c>
      <c r="O171" s="351">
        <v>92.6</v>
      </c>
      <c r="Q171" s="335">
        <f t="shared" si="79"/>
        <v>35291</v>
      </c>
      <c r="R171" s="353">
        <v>35292</v>
      </c>
      <c r="S171" s="317">
        <f t="shared" si="72"/>
        <v>1</v>
      </c>
      <c r="U171" s="339">
        <v>3.5819999999999998E-2</v>
      </c>
      <c r="V171" s="339">
        <f>ROUND(((V170*SUM($S$10:S170))+(U171*S171))/SUM($S$10:S171),5)</f>
        <v>3.329E-2</v>
      </c>
      <c r="W171" s="351">
        <v>111.9</v>
      </c>
      <c r="Z171" s="345"/>
      <c r="AC171" s="346"/>
      <c r="AD171" s="339">
        <f>ROUND(((AD170*SUM($AA$10:AA170))+(AC171*AA171))/SUM($AA$10:AA171),5)</f>
        <v>-1.92E-3</v>
      </c>
      <c r="AH171" s="345"/>
      <c r="AS171" s="346"/>
      <c r="BB171" s="352"/>
      <c r="BC171" s="348"/>
      <c r="BE171" s="335">
        <f t="shared" si="73"/>
        <v>34820</v>
      </c>
      <c r="BF171" s="353">
        <v>34821</v>
      </c>
      <c r="BG171" s="317">
        <f t="shared" si="67"/>
        <v>1</v>
      </c>
      <c r="BH171" s="339">
        <v>4.5400000000000003E-2</v>
      </c>
      <c r="BI171" s="337">
        <f t="shared" si="83"/>
        <v>3731.51</v>
      </c>
      <c r="BK171" s="337"/>
      <c r="BO171" s="335">
        <f t="shared" si="74"/>
        <v>36770</v>
      </c>
      <c r="BP171" s="345">
        <v>36776</v>
      </c>
      <c r="BQ171" s="317">
        <f t="shared" si="63"/>
        <v>6</v>
      </c>
      <c r="BR171" s="347">
        <v>4.2299999999999997E-2</v>
      </c>
      <c r="BS171" s="337">
        <f t="shared" si="88"/>
        <v>11788.524590000001</v>
      </c>
      <c r="BW171" s="335">
        <f t="shared" si="82"/>
        <v>37000</v>
      </c>
      <c r="BX171" s="345">
        <v>37007</v>
      </c>
      <c r="BY171" s="317">
        <f t="shared" si="68"/>
        <v>7</v>
      </c>
      <c r="BZ171" s="346">
        <v>4.4499999999999998E-2</v>
      </c>
      <c r="CA171" s="337">
        <f t="shared" si="84"/>
        <v>42671.232877000002</v>
      </c>
      <c r="CD171" s="335">
        <f t="shared" si="81"/>
        <v>37000</v>
      </c>
      <c r="CE171" s="345">
        <v>37007</v>
      </c>
      <c r="CF171" s="317">
        <f t="shared" si="69"/>
        <v>7</v>
      </c>
      <c r="CG171" s="347">
        <v>4.4499999999999998E-2</v>
      </c>
      <c r="CH171" s="337">
        <f t="shared" si="86"/>
        <v>42671.232877000002</v>
      </c>
      <c r="CL171" s="335">
        <f t="shared" si="75"/>
        <v>37686</v>
      </c>
      <c r="CM171" s="345">
        <v>37693</v>
      </c>
      <c r="CN171" s="317">
        <f t="shared" si="87"/>
        <v>7</v>
      </c>
      <c r="CO171" s="347">
        <v>0.01</v>
      </c>
      <c r="CP171" s="347"/>
      <c r="CQ171" s="347"/>
      <c r="CR171" s="347"/>
      <c r="CS171" s="347"/>
      <c r="CT171" s="347"/>
      <c r="CU171" s="347"/>
      <c r="CV171" s="337">
        <f t="shared" si="76"/>
        <v>15982.05</v>
      </c>
    </row>
    <row r="172" spans="1:101" hidden="1" x14ac:dyDescent="0.25">
      <c r="A172" s="335">
        <f t="shared" si="77"/>
        <v>34814</v>
      </c>
      <c r="B172" s="353">
        <v>34820</v>
      </c>
      <c r="C172" s="317">
        <f t="shared" si="70"/>
        <v>6</v>
      </c>
      <c r="E172" s="339">
        <v>4.095E-2</v>
      </c>
      <c r="F172" s="339">
        <f>ROUND(((F171*SUM($C$10:C171))+(E172*C172))/SUM($C$10:C172),5)</f>
        <v>2.819E-2</v>
      </c>
      <c r="G172" s="351">
        <v>100.4</v>
      </c>
      <c r="I172" s="335">
        <f t="shared" si="78"/>
        <v>34633</v>
      </c>
      <c r="J172" s="353">
        <v>34634</v>
      </c>
      <c r="K172" s="317">
        <f t="shared" si="71"/>
        <v>1</v>
      </c>
      <c r="M172" s="339">
        <v>3.4360000000000002E-2</v>
      </c>
      <c r="N172" s="339">
        <f>ROUND(((N171*SUM($K$10:K171))+(M172*K172))/SUM($K$10:K172),5)</f>
        <v>2.6210000000000001E-2</v>
      </c>
      <c r="O172" s="351">
        <v>90.7</v>
      </c>
      <c r="Q172" s="335">
        <f t="shared" si="79"/>
        <v>35292</v>
      </c>
      <c r="R172" s="353">
        <v>35317</v>
      </c>
      <c r="S172" s="317">
        <f t="shared" si="72"/>
        <v>25</v>
      </c>
      <c r="U172" s="339">
        <v>3.5900000000000001E-2</v>
      </c>
      <c r="V172" s="339">
        <f>ROUND(((V171*SUM($S$10:S171))+(U172*S172))/SUM($S$10:S172),5)</f>
        <v>3.3349999999999998E-2</v>
      </c>
      <c r="W172" s="351">
        <v>111.5</v>
      </c>
      <c r="Z172" s="345"/>
      <c r="AC172" s="346"/>
      <c r="AD172" s="339">
        <f>ROUND(((AD171*SUM($AA$10:AA171))+(AC172*AA172))/SUM($AA$10:AA172),5)</f>
        <v>-1.92E-3</v>
      </c>
      <c r="AH172" s="345"/>
      <c r="AS172" s="346"/>
      <c r="BB172" s="352"/>
      <c r="BC172" s="348"/>
      <c r="BE172" s="335">
        <f t="shared" si="73"/>
        <v>34821</v>
      </c>
      <c r="BF172" s="353">
        <v>34828</v>
      </c>
      <c r="BG172" s="317">
        <f t="shared" si="67"/>
        <v>7</v>
      </c>
      <c r="BH172" s="339">
        <v>4.5100000000000001E-2</v>
      </c>
      <c r="BI172" s="337">
        <f t="shared" si="83"/>
        <v>25947.95</v>
      </c>
      <c r="BK172" s="337"/>
      <c r="BO172" s="335">
        <f t="shared" si="74"/>
        <v>36776</v>
      </c>
      <c r="BP172" s="345">
        <v>36783</v>
      </c>
      <c r="BQ172" s="317">
        <f t="shared" si="63"/>
        <v>7</v>
      </c>
      <c r="BR172" s="347">
        <v>3.8800000000000001E-2</v>
      </c>
      <c r="BS172" s="337">
        <f t="shared" si="88"/>
        <v>12615.300546</v>
      </c>
      <c r="BW172" s="335">
        <f t="shared" si="82"/>
        <v>37007</v>
      </c>
      <c r="BX172" s="345">
        <v>37012</v>
      </c>
      <c r="BY172" s="317">
        <f t="shared" si="68"/>
        <v>5</v>
      </c>
      <c r="BZ172" s="346">
        <v>4.19E-2</v>
      </c>
      <c r="CA172" s="337">
        <f t="shared" si="84"/>
        <v>28698.630137</v>
      </c>
      <c r="CB172" s="341">
        <f>SUM(CA168:CA172)</f>
        <v>158068.493151</v>
      </c>
      <c r="CD172" s="335">
        <f t="shared" si="81"/>
        <v>37007</v>
      </c>
      <c r="CE172" s="345">
        <v>37012</v>
      </c>
      <c r="CF172" s="317">
        <f t="shared" si="69"/>
        <v>5</v>
      </c>
      <c r="CG172" s="347">
        <v>4.19E-2</v>
      </c>
      <c r="CH172" s="337">
        <f t="shared" si="86"/>
        <v>28698.630137</v>
      </c>
      <c r="CI172" s="341">
        <f>SUM(CH168:CH172)</f>
        <v>158068.493151</v>
      </c>
      <c r="CL172" s="335">
        <f t="shared" si="75"/>
        <v>37693</v>
      </c>
      <c r="CM172" s="345">
        <v>37700</v>
      </c>
      <c r="CN172" s="317">
        <f t="shared" si="87"/>
        <v>7</v>
      </c>
      <c r="CO172" s="347">
        <v>1.12E-2</v>
      </c>
      <c r="CP172" s="347"/>
      <c r="CQ172" s="347"/>
      <c r="CR172" s="347"/>
      <c r="CS172" s="347"/>
      <c r="CT172" s="347"/>
      <c r="CU172" s="347"/>
      <c r="CV172" s="337">
        <f t="shared" si="76"/>
        <v>17899.900000000001</v>
      </c>
    </row>
    <row r="173" spans="1:101" hidden="1" x14ac:dyDescent="0.25">
      <c r="A173" s="335">
        <f t="shared" si="77"/>
        <v>34820</v>
      </c>
      <c r="B173" s="353">
        <v>34821</v>
      </c>
      <c r="C173" s="317">
        <f t="shared" si="70"/>
        <v>1</v>
      </c>
      <c r="E173" s="339">
        <v>4.1100000000000005E-2</v>
      </c>
      <c r="F173" s="339">
        <f>ROUND(((F172*SUM($C$10:C172))+(E173*C173))/SUM($C$10:C173),5)</f>
        <v>2.8199999999999999E-2</v>
      </c>
      <c r="G173" s="351">
        <v>95.7</v>
      </c>
      <c r="I173" s="335">
        <f t="shared" si="78"/>
        <v>34634</v>
      </c>
      <c r="J173" s="353">
        <v>34635</v>
      </c>
      <c r="K173" s="317">
        <f t="shared" si="71"/>
        <v>1</v>
      </c>
      <c r="M173" s="339">
        <v>3.4360000000000002E-2</v>
      </c>
      <c r="N173" s="339">
        <f>ROUND(((N172*SUM($K$10:K172))+(M173*K173))/SUM($K$10:K173),5)</f>
        <v>2.622E-2</v>
      </c>
      <c r="O173" s="351">
        <v>90.7</v>
      </c>
      <c r="Q173" s="335">
        <f t="shared" si="79"/>
        <v>35317</v>
      </c>
      <c r="R173" s="353">
        <v>35318</v>
      </c>
      <c r="S173" s="317">
        <f t="shared" si="72"/>
        <v>1</v>
      </c>
      <c r="U173" s="339">
        <v>3.5909999999999997E-2</v>
      </c>
      <c r="V173" s="339">
        <f>ROUND(((V172*SUM($S$10:S172))+(U173*S173))/SUM($S$10:S173),5)</f>
        <v>3.3349999999999998E-2</v>
      </c>
      <c r="W173" s="316">
        <v>108.7</v>
      </c>
      <c r="Z173" s="345"/>
      <c r="AC173" s="346"/>
      <c r="AD173" s="339">
        <f>ROUND(((AD172*SUM($AA$10:AA172))+(AC173*AA173))/SUM($AA$10:AA173),5)</f>
        <v>-1.92E-3</v>
      </c>
      <c r="AH173" s="345"/>
      <c r="AS173" s="346"/>
      <c r="BB173" s="352"/>
      <c r="BC173" s="348"/>
      <c r="BE173" s="335">
        <f t="shared" si="73"/>
        <v>34828</v>
      </c>
      <c r="BF173" s="353">
        <v>34835</v>
      </c>
      <c r="BG173" s="317">
        <f t="shared" si="67"/>
        <v>7</v>
      </c>
      <c r="BH173" s="339">
        <v>4.7E-2</v>
      </c>
      <c r="BI173" s="337">
        <f t="shared" si="83"/>
        <v>27041.1</v>
      </c>
      <c r="BK173" s="337"/>
      <c r="BO173" s="335">
        <f t="shared" si="74"/>
        <v>36783</v>
      </c>
      <c r="BP173" s="345">
        <v>36790</v>
      </c>
      <c r="BQ173" s="317">
        <f t="shared" si="63"/>
        <v>7</v>
      </c>
      <c r="BR173" s="347">
        <v>4.1399999999999999E-2</v>
      </c>
      <c r="BS173" s="337">
        <f t="shared" si="88"/>
        <v>13460.655737999999</v>
      </c>
      <c r="BW173" s="335">
        <f t="shared" si="82"/>
        <v>37012</v>
      </c>
      <c r="BX173" s="345">
        <v>37014</v>
      </c>
      <c r="BY173" s="317">
        <f t="shared" si="68"/>
        <v>2</v>
      </c>
      <c r="BZ173" s="346">
        <v>4.19E-2</v>
      </c>
      <c r="CA173" s="337">
        <f t="shared" si="84"/>
        <v>11479.452055</v>
      </c>
      <c r="CD173" s="335">
        <f t="shared" si="81"/>
        <v>37012</v>
      </c>
      <c r="CE173" s="345">
        <v>37014</v>
      </c>
      <c r="CF173" s="317">
        <f t="shared" si="69"/>
        <v>2</v>
      </c>
      <c r="CG173" s="347">
        <v>4.19E-2</v>
      </c>
      <c r="CH173" s="337">
        <f t="shared" si="86"/>
        <v>11479.452055</v>
      </c>
      <c r="CL173" s="335">
        <f t="shared" si="75"/>
        <v>37700</v>
      </c>
      <c r="CM173" s="345">
        <v>37707</v>
      </c>
      <c r="CN173" s="317">
        <f t="shared" si="87"/>
        <v>7</v>
      </c>
      <c r="CO173" s="347">
        <v>1.14E-2</v>
      </c>
      <c r="CP173" s="347"/>
      <c r="CQ173" s="347"/>
      <c r="CR173" s="347"/>
      <c r="CS173" s="347"/>
      <c r="CT173" s="347"/>
      <c r="CU173" s="347"/>
      <c r="CV173" s="337">
        <f t="shared" si="76"/>
        <v>18219.54</v>
      </c>
    </row>
    <row r="174" spans="1:101" hidden="1" x14ac:dyDescent="0.25">
      <c r="A174" s="335">
        <f t="shared" si="77"/>
        <v>34821</v>
      </c>
      <c r="B174" s="353">
        <v>34822</v>
      </c>
      <c r="C174" s="317">
        <f t="shared" si="70"/>
        <v>1</v>
      </c>
      <c r="E174" s="339">
        <v>4.1100000000000005E-2</v>
      </c>
      <c r="F174" s="339">
        <f>ROUND(((F173*SUM($C$10:C173))+(E174*C174))/SUM($C$10:C174),5)</f>
        <v>2.8209999999999999E-2</v>
      </c>
      <c r="G174" s="351">
        <v>95.9</v>
      </c>
      <c r="I174" s="335">
        <f t="shared" si="78"/>
        <v>34635</v>
      </c>
      <c r="J174" s="353">
        <v>34640</v>
      </c>
      <c r="K174" s="317">
        <f t="shared" si="71"/>
        <v>5</v>
      </c>
      <c r="M174" s="339">
        <v>3.4360000000000002E-2</v>
      </c>
      <c r="N174" s="339">
        <f>ROUND(((N173*SUM($K$10:K173))+(M174*K174))/SUM($K$10:K174),5)</f>
        <v>2.6270000000000002E-2</v>
      </c>
      <c r="O174" s="316">
        <v>90.9</v>
      </c>
      <c r="Q174" s="335">
        <f t="shared" si="79"/>
        <v>35318</v>
      </c>
      <c r="R174" s="353">
        <v>35339</v>
      </c>
      <c r="S174" s="317">
        <f t="shared" si="72"/>
        <v>21</v>
      </c>
      <c r="U174" s="339">
        <v>3.6069999999999998E-2</v>
      </c>
      <c r="V174" s="339">
        <f>ROUND(((V173*SUM($S$10:S173))+(U174*S174))/SUM($S$10:S174),5)</f>
        <v>3.3399999999999999E-2</v>
      </c>
      <c r="W174" s="316">
        <v>107.7</v>
      </c>
      <c r="AC174" s="346"/>
      <c r="AD174" s="339">
        <f>ROUND(((AD173*SUM($AA$10:AA173))+(AC174*AA174))/SUM($AA$10:AA174),5)</f>
        <v>-1.92E-3</v>
      </c>
      <c r="AH174" s="345"/>
      <c r="AS174" s="346"/>
      <c r="BB174" s="352"/>
      <c r="BC174" s="348"/>
      <c r="BE174" s="335">
        <f t="shared" si="73"/>
        <v>34835</v>
      </c>
      <c r="BF174" s="353">
        <v>34842</v>
      </c>
      <c r="BG174" s="317">
        <f t="shared" si="67"/>
        <v>7</v>
      </c>
      <c r="BH174" s="339">
        <v>4.5100000000000001E-2</v>
      </c>
      <c r="BI174" s="337">
        <f t="shared" si="83"/>
        <v>25947.95</v>
      </c>
      <c r="BK174" s="337"/>
      <c r="BO174" s="335">
        <f t="shared" si="74"/>
        <v>36790</v>
      </c>
      <c r="BP174" s="345">
        <v>36797</v>
      </c>
      <c r="BQ174" s="317">
        <f t="shared" si="63"/>
        <v>7</v>
      </c>
      <c r="BR174" s="347">
        <v>4.3400000000000001E-2</v>
      </c>
      <c r="BS174" s="337">
        <f t="shared" si="88"/>
        <v>14110.928962</v>
      </c>
      <c r="BW174" s="335">
        <f t="shared" si="82"/>
        <v>37014</v>
      </c>
      <c r="BX174" s="345">
        <v>37021</v>
      </c>
      <c r="BY174" s="317">
        <f t="shared" si="68"/>
        <v>7</v>
      </c>
      <c r="BZ174" s="346">
        <v>3.9699999999999999E-2</v>
      </c>
      <c r="CA174" s="337">
        <f t="shared" si="84"/>
        <v>38068.493151000002</v>
      </c>
      <c r="CD174" s="335">
        <f t="shared" si="81"/>
        <v>37014</v>
      </c>
      <c r="CE174" s="345">
        <v>37021</v>
      </c>
      <c r="CF174" s="317">
        <f t="shared" si="69"/>
        <v>7</v>
      </c>
      <c r="CG174" s="347">
        <v>3.9699999999999999E-2</v>
      </c>
      <c r="CH174" s="337">
        <f t="shared" si="86"/>
        <v>38068.493151000002</v>
      </c>
      <c r="CL174" s="335">
        <f t="shared" si="75"/>
        <v>37707</v>
      </c>
      <c r="CM174" s="345">
        <v>37712</v>
      </c>
      <c r="CN174" s="317">
        <f t="shared" si="87"/>
        <v>5</v>
      </c>
      <c r="CO174" s="347">
        <v>1.15E-2</v>
      </c>
      <c r="CP174" s="347"/>
      <c r="CQ174" s="347"/>
      <c r="CR174" s="347"/>
      <c r="CS174" s="347"/>
      <c r="CT174" s="347"/>
      <c r="CU174" s="347"/>
      <c r="CV174" s="337">
        <f t="shared" si="76"/>
        <v>13128.12</v>
      </c>
      <c r="CW174" s="341">
        <f>SUM(CV170:CV174)</f>
        <v>77558.62</v>
      </c>
    </row>
    <row r="175" spans="1:101" hidden="1" x14ac:dyDescent="0.25">
      <c r="A175" s="335">
        <f t="shared" si="77"/>
        <v>34822</v>
      </c>
      <c r="B175" s="353">
        <v>34823</v>
      </c>
      <c r="C175" s="317">
        <f t="shared" si="70"/>
        <v>1</v>
      </c>
      <c r="E175" s="339">
        <v>4.1100000000000005E-2</v>
      </c>
      <c r="F175" s="339">
        <f>ROUND(((F174*SUM($C$10:C174))+(E175*C175))/SUM($C$10:C175),5)</f>
        <v>2.8219999999999999E-2</v>
      </c>
      <c r="G175" s="351">
        <v>95.3</v>
      </c>
      <c r="I175" s="335">
        <f t="shared" si="78"/>
        <v>34640</v>
      </c>
      <c r="J175" s="353">
        <v>34645</v>
      </c>
      <c r="K175" s="317">
        <f t="shared" si="71"/>
        <v>5</v>
      </c>
      <c r="M175" s="339">
        <v>3.4450000000000001E-2</v>
      </c>
      <c r="N175" s="339">
        <f>ROUND(((N174*SUM($K$10:K174))+(M175*K175))/SUM($K$10:K175),5)</f>
        <v>2.632E-2</v>
      </c>
      <c r="O175" s="316">
        <v>92.5</v>
      </c>
      <c r="Q175" s="335">
        <f t="shared" si="79"/>
        <v>35339</v>
      </c>
      <c r="R175" s="353">
        <v>35340</v>
      </c>
      <c r="S175" s="317">
        <f t="shared" si="72"/>
        <v>1</v>
      </c>
      <c r="U175" s="339">
        <v>3.6049999999999999E-2</v>
      </c>
      <c r="V175" s="339">
        <f>ROUND(((V174*SUM($S$10:S174))+(U175*S175))/SUM($S$10:S175),5)</f>
        <v>3.3399999999999999E-2</v>
      </c>
      <c r="W175" s="316">
        <v>107.2</v>
      </c>
      <c r="AC175" s="346"/>
      <c r="AD175" s="339">
        <f>ROUND(((AD174*SUM($AA$10:AA174))+(AC175*AA175))/SUM($AA$10:AA175),5)</f>
        <v>-1.92E-3</v>
      </c>
      <c r="AH175" s="345"/>
      <c r="AS175" s="346"/>
      <c r="BB175" s="352"/>
      <c r="BC175" s="348"/>
      <c r="BE175" s="335">
        <f t="shared" si="73"/>
        <v>34842</v>
      </c>
      <c r="BF175" s="353">
        <v>34849</v>
      </c>
      <c r="BG175" s="317">
        <f t="shared" si="67"/>
        <v>7</v>
      </c>
      <c r="BH175" s="339">
        <v>4.1399999999999999E-2</v>
      </c>
      <c r="BI175" s="337">
        <f t="shared" si="83"/>
        <v>23819.18</v>
      </c>
      <c r="BK175" s="337"/>
      <c r="BO175" s="335">
        <f t="shared" si="74"/>
        <v>36797</v>
      </c>
      <c r="BP175" s="345">
        <v>36800</v>
      </c>
      <c r="BQ175" s="317">
        <f t="shared" si="63"/>
        <v>3</v>
      </c>
      <c r="BR175" s="347">
        <v>5.5199999999999999E-2</v>
      </c>
      <c r="BS175" s="337">
        <f t="shared" si="88"/>
        <v>7691.8032789999997</v>
      </c>
      <c r="BT175" s="341">
        <f>SUM(BS171:BS175)</f>
        <v>59667.213114999999</v>
      </c>
      <c r="BW175" s="335">
        <f t="shared" si="82"/>
        <v>37021</v>
      </c>
      <c r="BX175" s="345">
        <v>37028</v>
      </c>
      <c r="BY175" s="317">
        <f t="shared" si="68"/>
        <v>7</v>
      </c>
      <c r="BZ175" s="346">
        <v>3.3399999999999999E-2</v>
      </c>
      <c r="CA175" s="337">
        <f t="shared" si="84"/>
        <v>32027.397260000002</v>
      </c>
      <c r="CD175" s="335">
        <f t="shared" si="81"/>
        <v>37021</v>
      </c>
      <c r="CE175" s="345">
        <v>37028</v>
      </c>
      <c r="CF175" s="317">
        <f t="shared" si="69"/>
        <v>7</v>
      </c>
      <c r="CG175" s="347">
        <v>3.3399999999999999E-2</v>
      </c>
      <c r="CH175" s="337">
        <f t="shared" si="86"/>
        <v>32027.397260000002</v>
      </c>
      <c r="CL175" s="335">
        <f t="shared" si="75"/>
        <v>37712</v>
      </c>
      <c r="CM175" s="345">
        <v>37714</v>
      </c>
      <c r="CN175" s="317">
        <f t="shared" si="87"/>
        <v>2</v>
      </c>
      <c r="CO175" s="347">
        <v>1.15E-2</v>
      </c>
      <c r="CP175" s="347"/>
      <c r="CQ175" s="347"/>
      <c r="CR175" s="347"/>
      <c r="CS175" s="347"/>
      <c r="CT175" s="347"/>
      <c r="CU175" s="347"/>
      <c r="CV175" s="337">
        <f>ROUND($CR$5*CO175*CN175/365,1)</f>
        <v>5251.2</v>
      </c>
    </row>
    <row r="176" spans="1:101" hidden="1" x14ac:dyDescent="0.25">
      <c r="A176" s="335">
        <f t="shared" si="77"/>
        <v>34823</v>
      </c>
      <c r="B176" s="353">
        <v>34824</v>
      </c>
      <c r="C176" s="317">
        <f t="shared" si="70"/>
        <v>1</v>
      </c>
      <c r="E176" s="339">
        <v>4.1100000000000005E-2</v>
      </c>
      <c r="F176" s="339">
        <f>ROUND(((F175*SUM($C$10:C175))+(E176*C176))/SUM($C$10:C176),5)</f>
        <v>2.8230000000000002E-2</v>
      </c>
      <c r="G176" s="351">
        <v>96</v>
      </c>
      <c r="I176" s="335">
        <f t="shared" si="78"/>
        <v>34645</v>
      </c>
      <c r="J176" s="353">
        <v>34646</v>
      </c>
      <c r="K176" s="317">
        <f t="shared" si="71"/>
        <v>1</v>
      </c>
      <c r="M176" s="339">
        <v>3.4450000000000001E-2</v>
      </c>
      <c r="N176" s="339">
        <f>ROUND(((N175*SUM($K$10:K175))+(M176*K176))/SUM($K$10:K176),5)</f>
        <v>2.6329999999999999E-2</v>
      </c>
      <c r="O176" s="351">
        <v>93</v>
      </c>
      <c r="Q176" s="335">
        <f t="shared" si="79"/>
        <v>35340</v>
      </c>
      <c r="R176" s="353">
        <v>35346</v>
      </c>
      <c r="S176" s="317">
        <f t="shared" si="72"/>
        <v>6</v>
      </c>
      <c r="U176" s="339">
        <v>3.6060000000000002E-2</v>
      </c>
      <c r="V176" s="339">
        <f>ROUND(((V175*SUM($S$10:S175))+(U176*S176))/SUM($S$10:S176),5)</f>
        <v>3.3410000000000002E-2</v>
      </c>
      <c r="W176" s="316">
        <v>110.1</v>
      </c>
      <c r="AC176" s="346"/>
      <c r="AD176" s="339">
        <f>ROUND(((AD175*SUM($AA$10:AA175))+(AC176*AA176))/SUM($AA$10:AA176),5)</f>
        <v>-1.92E-3</v>
      </c>
      <c r="AH176" s="345"/>
      <c r="AS176" s="346"/>
      <c r="BB176" s="352"/>
      <c r="BC176" s="348"/>
      <c r="BE176" s="335">
        <f t="shared" si="73"/>
        <v>34849</v>
      </c>
      <c r="BF176" s="353">
        <v>34851</v>
      </c>
      <c r="BG176" s="317">
        <f t="shared" si="67"/>
        <v>2</v>
      </c>
      <c r="BH176" s="339">
        <v>3.7600000000000001E-2</v>
      </c>
      <c r="BI176" s="337">
        <f t="shared" si="83"/>
        <v>6180.82</v>
      </c>
      <c r="BJ176" s="341">
        <f>SUM(BI171:BI176)</f>
        <v>112668.51000000001</v>
      </c>
      <c r="BK176" s="337">
        <v>104703.64</v>
      </c>
      <c r="BL176" s="341">
        <f>BJ176-BK176</f>
        <v>7964.8700000000099</v>
      </c>
      <c r="BM176" s="341">
        <f>BM170+BL176</f>
        <v>-7773.9700000000266</v>
      </c>
      <c r="BO176" s="335">
        <f t="shared" si="74"/>
        <v>36800</v>
      </c>
      <c r="BP176" s="345">
        <v>36804</v>
      </c>
      <c r="BQ176" s="317">
        <f t="shared" si="63"/>
        <v>4</v>
      </c>
      <c r="BR176" s="347">
        <v>5.5199999999999999E-2</v>
      </c>
      <c r="BS176" s="337">
        <f t="shared" si="88"/>
        <v>10255.737705</v>
      </c>
      <c r="BW176" s="335">
        <f t="shared" si="82"/>
        <v>37028</v>
      </c>
      <c r="BX176" s="345">
        <v>37035</v>
      </c>
      <c r="BY176" s="317">
        <f t="shared" si="68"/>
        <v>7</v>
      </c>
      <c r="BZ176" s="346">
        <v>2.9000000000000001E-2</v>
      </c>
      <c r="CA176" s="337">
        <f t="shared" si="84"/>
        <v>27808.219177999999</v>
      </c>
      <c r="CD176" s="335">
        <f t="shared" si="81"/>
        <v>37028</v>
      </c>
      <c r="CE176" s="345">
        <v>37035</v>
      </c>
      <c r="CF176" s="317">
        <f t="shared" si="69"/>
        <v>7</v>
      </c>
      <c r="CG176" s="347">
        <v>2.9000000000000001E-2</v>
      </c>
      <c r="CH176" s="337">
        <f t="shared" si="86"/>
        <v>27808.219177999999</v>
      </c>
      <c r="CL176" s="335">
        <f t="shared" si="75"/>
        <v>37714</v>
      </c>
      <c r="CM176" s="345">
        <v>37721</v>
      </c>
      <c r="CN176" s="317">
        <f t="shared" si="87"/>
        <v>7</v>
      </c>
      <c r="CO176" s="347">
        <v>1.0800000000000001E-2</v>
      </c>
      <c r="CP176" s="347"/>
      <c r="CQ176" s="347"/>
      <c r="CR176" s="347"/>
      <c r="CS176" s="347"/>
      <c r="CT176" s="347"/>
      <c r="CU176" s="347"/>
      <c r="CV176" s="337">
        <f>ROUND($CR$5*CO176*CN176/365,1)</f>
        <v>17260.599999999999</v>
      </c>
    </row>
    <row r="177" spans="1:101" hidden="1" x14ac:dyDescent="0.25">
      <c r="A177" s="335">
        <f t="shared" si="77"/>
        <v>34824</v>
      </c>
      <c r="B177" s="353">
        <v>34831</v>
      </c>
      <c r="C177" s="317">
        <f t="shared" si="70"/>
        <v>7</v>
      </c>
      <c r="E177" s="339">
        <v>4.113E-2</v>
      </c>
      <c r="F177" s="339">
        <f>ROUND(((F176*SUM($C$10:C176))+(E177*C177))/SUM($C$10:C177),5)</f>
        <v>2.8320000000000001E-2</v>
      </c>
      <c r="G177" s="351">
        <v>106.7</v>
      </c>
      <c r="I177" s="335">
        <f t="shared" si="78"/>
        <v>34646</v>
      </c>
      <c r="J177" s="353">
        <v>34653</v>
      </c>
      <c r="K177" s="317">
        <f t="shared" si="71"/>
        <v>7</v>
      </c>
      <c r="M177" s="339">
        <v>3.4470000000000001E-2</v>
      </c>
      <c r="N177" s="339">
        <f>ROUND(((N176*SUM($K$10:K176))+(M177*K177))/SUM($K$10:K177),5)</f>
        <v>2.64E-2</v>
      </c>
      <c r="O177" s="351">
        <v>92.8</v>
      </c>
      <c r="Q177" s="335">
        <f t="shared" si="79"/>
        <v>35346</v>
      </c>
      <c r="R177" s="353">
        <v>35353</v>
      </c>
      <c r="S177" s="317">
        <f t="shared" si="72"/>
        <v>7</v>
      </c>
      <c r="U177" s="339">
        <v>3.6200000000000003E-2</v>
      </c>
      <c r="V177" s="339">
        <f>ROUND(((V176*SUM($S$10:S176))+(U177*S177))/SUM($S$10:S177),5)</f>
        <v>3.3430000000000001E-2</v>
      </c>
      <c r="W177" s="316">
        <v>107.3</v>
      </c>
      <c r="AC177" s="346"/>
      <c r="AD177" s="339">
        <f>ROUND(((AD176*SUM($AA$10:AA176))+(AC177*AA177))/SUM($AA$10:AA177),5)</f>
        <v>-1.92E-3</v>
      </c>
      <c r="AH177" s="345"/>
      <c r="AS177" s="346"/>
      <c r="BB177" s="352"/>
      <c r="BC177" s="348"/>
      <c r="BE177" s="335">
        <f t="shared" si="73"/>
        <v>34851</v>
      </c>
      <c r="BF177" s="353">
        <v>34856</v>
      </c>
      <c r="BG177" s="317">
        <f t="shared" si="67"/>
        <v>5</v>
      </c>
      <c r="BH177" s="339">
        <v>3.7600000000000001E-2</v>
      </c>
      <c r="BI177" s="337">
        <f t="shared" si="83"/>
        <v>15452.05</v>
      </c>
      <c r="BK177" s="337"/>
      <c r="BO177" s="335">
        <f t="shared" si="74"/>
        <v>36804</v>
      </c>
      <c r="BP177" s="345">
        <v>36811</v>
      </c>
      <c r="BQ177" s="317">
        <f t="shared" si="63"/>
        <v>7</v>
      </c>
      <c r="BR177" s="347">
        <v>4.1599999999999998E-2</v>
      </c>
      <c r="BS177" s="337">
        <f t="shared" si="88"/>
        <v>13525.683059999999</v>
      </c>
      <c r="BW177" s="335">
        <f t="shared" si="82"/>
        <v>37035</v>
      </c>
      <c r="BX177" s="345">
        <v>37042</v>
      </c>
      <c r="BY177" s="317">
        <f t="shared" si="68"/>
        <v>7</v>
      </c>
      <c r="BZ177" s="346">
        <v>3.0300000000000001E-2</v>
      </c>
      <c r="CA177" s="337">
        <f t="shared" si="84"/>
        <v>29054.794521</v>
      </c>
      <c r="CD177" s="335">
        <f t="shared" si="81"/>
        <v>37035</v>
      </c>
      <c r="CE177" s="345">
        <v>37042</v>
      </c>
      <c r="CF177" s="317">
        <f t="shared" si="69"/>
        <v>7</v>
      </c>
      <c r="CG177" s="347">
        <v>3.0300000000000001E-2</v>
      </c>
      <c r="CH177" s="337">
        <f t="shared" si="86"/>
        <v>29054.794521</v>
      </c>
      <c r="CL177" s="335">
        <f t="shared" si="75"/>
        <v>37721</v>
      </c>
      <c r="CM177" s="345">
        <v>37728</v>
      </c>
      <c r="CN177" s="317">
        <f t="shared" si="87"/>
        <v>7</v>
      </c>
      <c r="CO177" s="347">
        <v>1.14E-2</v>
      </c>
      <c r="CP177" s="347"/>
      <c r="CQ177" s="347"/>
      <c r="CR177" s="347"/>
      <c r="CS177" s="347"/>
      <c r="CT177" s="347"/>
      <c r="CU177" s="347"/>
      <c r="CV177" s="337">
        <f>ROUND($CR$5*CO177*CN177/365,1)</f>
        <v>18219.5</v>
      </c>
    </row>
    <row r="178" spans="1:101" hidden="1" x14ac:dyDescent="0.25">
      <c r="A178" s="335">
        <f t="shared" si="77"/>
        <v>34831</v>
      </c>
      <c r="B178" s="353">
        <v>34834</v>
      </c>
      <c r="C178" s="317">
        <f t="shared" si="70"/>
        <v>3</v>
      </c>
      <c r="E178" s="339">
        <v>4.1149999999999999E-2</v>
      </c>
      <c r="F178" s="339">
        <f>ROUND(((F177*SUM($C$10:C177))+(E178*C178))/SUM($C$10:C178),5)</f>
        <v>2.836E-2</v>
      </c>
      <c r="G178" s="351">
        <v>106.3</v>
      </c>
      <c r="I178" s="335">
        <f t="shared" si="78"/>
        <v>34653</v>
      </c>
      <c r="J178" s="353">
        <v>34654</v>
      </c>
      <c r="K178" s="317">
        <f t="shared" si="71"/>
        <v>1</v>
      </c>
      <c r="M178" s="339">
        <v>3.4500000000000003E-2</v>
      </c>
      <c r="N178" s="339">
        <f>ROUND(((N177*SUM($K$10:K177))+(M178*K178))/SUM($K$10:K178),5)</f>
        <v>2.6409999999999999E-2</v>
      </c>
      <c r="O178" s="351">
        <v>91.3</v>
      </c>
      <c r="Q178" s="335">
        <f t="shared" si="79"/>
        <v>35353</v>
      </c>
      <c r="R178" s="353">
        <v>35360</v>
      </c>
      <c r="S178" s="317">
        <f t="shared" si="72"/>
        <v>7</v>
      </c>
      <c r="U178" s="339">
        <v>3.6500000000000005E-2</v>
      </c>
      <c r="V178" s="339">
        <f>ROUND(((V177*SUM($S$10:S177))+(U178*S178))/SUM($S$10:S178),5)</f>
        <v>3.3450000000000001E-2</v>
      </c>
      <c r="W178" s="316">
        <v>65.400000000000006</v>
      </c>
      <c r="AC178" s="346"/>
      <c r="AD178" s="339">
        <f>ROUND(((AD177*SUM($AA$10:AA177))+(AC178*AA178))/SUM($AA$10:AA178),5)</f>
        <v>-1.92E-3</v>
      </c>
      <c r="AH178" s="345"/>
      <c r="AS178" s="346"/>
      <c r="BB178" s="352"/>
      <c r="BC178" s="348"/>
      <c r="BE178" s="335">
        <f t="shared" si="73"/>
        <v>34856</v>
      </c>
      <c r="BF178" s="353">
        <v>34863</v>
      </c>
      <c r="BG178" s="317">
        <f t="shared" si="67"/>
        <v>7</v>
      </c>
      <c r="BH178" s="339">
        <v>2.8500000000000001E-2</v>
      </c>
      <c r="BI178" s="337">
        <f t="shared" si="83"/>
        <v>16397.259999999998</v>
      </c>
      <c r="BK178" s="337"/>
      <c r="BO178" s="335">
        <f t="shared" si="74"/>
        <v>36811</v>
      </c>
      <c r="BP178" s="345">
        <v>36818</v>
      </c>
      <c r="BQ178" s="317">
        <f t="shared" si="63"/>
        <v>7</v>
      </c>
      <c r="BR178" s="347">
        <v>4.2099999999999999E-2</v>
      </c>
      <c r="BS178" s="337">
        <f t="shared" si="88"/>
        <v>13688.251366</v>
      </c>
      <c r="BW178" s="335">
        <f t="shared" si="82"/>
        <v>37042</v>
      </c>
      <c r="BX178" s="345">
        <v>37043</v>
      </c>
      <c r="BY178" s="317">
        <f t="shared" si="68"/>
        <v>1</v>
      </c>
      <c r="BZ178" s="346">
        <v>2.9499999999999998E-2</v>
      </c>
      <c r="CA178" s="337">
        <f t="shared" si="84"/>
        <v>4041.0958900000001</v>
      </c>
      <c r="CB178" s="341">
        <f>SUM(CA173:CA178)</f>
        <v>142479.452055</v>
      </c>
      <c r="CD178" s="335">
        <f t="shared" si="81"/>
        <v>37042</v>
      </c>
      <c r="CE178" s="345">
        <v>37043</v>
      </c>
      <c r="CF178" s="317">
        <f t="shared" si="69"/>
        <v>1</v>
      </c>
      <c r="CG178" s="347">
        <v>2.9499999999999998E-2</v>
      </c>
      <c r="CH178" s="337">
        <f t="shared" si="86"/>
        <v>4041.0958900000001</v>
      </c>
      <c r="CI178" s="341">
        <f>SUM(CH173:CH178)</f>
        <v>142479.452055</v>
      </c>
      <c r="CL178" s="335">
        <f t="shared" si="75"/>
        <v>37728</v>
      </c>
      <c r="CM178" s="345">
        <v>37735</v>
      </c>
      <c r="CN178" s="317">
        <f t="shared" si="87"/>
        <v>7</v>
      </c>
      <c r="CO178" s="347">
        <v>1.24E-2</v>
      </c>
      <c r="CP178" s="347"/>
      <c r="CQ178" s="347"/>
      <c r="CR178" s="347"/>
      <c r="CS178" s="347"/>
      <c r="CT178" s="347"/>
      <c r="CU178" s="347"/>
      <c r="CV178" s="337">
        <f>ROUND($CR$5*CO178*CN178/365,1)</f>
        <v>19817.7</v>
      </c>
    </row>
    <row r="179" spans="1:101" hidden="1" x14ac:dyDescent="0.25">
      <c r="A179" s="335">
        <f t="shared" si="77"/>
        <v>34834</v>
      </c>
      <c r="B179" s="353">
        <v>34837</v>
      </c>
      <c r="C179" s="317">
        <f t="shared" si="70"/>
        <v>3</v>
      </c>
      <c r="E179" s="339">
        <v>4.1059999999999999E-2</v>
      </c>
      <c r="F179" s="339">
        <f>ROUND(((F178*SUM($C$10:C178))+(E179*C179))/SUM($C$10:C179),5)</f>
        <v>2.8400000000000002E-2</v>
      </c>
      <c r="G179" s="351">
        <v>105.4</v>
      </c>
      <c r="I179" s="335">
        <f t="shared" si="78"/>
        <v>34654</v>
      </c>
      <c r="J179" s="353">
        <v>34655</v>
      </c>
      <c r="K179" s="317">
        <f t="shared" si="71"/>
        <v>1</v>
      </c>
      <c r="M179" s="339">
        <v>3.456E-2</v>
      </c>
      <c r="N179" s="339">
        <f>ROUND(((N178*SUM($K$10:K178))+(M179*K179))/SUM($K$10:K179),5)</f>
        <v>2.6419999999999999E-2</v>
      </c>
      <c r="O179" s="351">
        <v>92.7</v>
      </c>
      <c r="Q179" s="335">
        <f t="shared" si="79"/>
        <v>35360</v>
      </c>
      <c r="R179" s="353">
        <v>35367</v>
      </c>
      <c r="S179" s="317">
        <f t="shared" si="72"/>
        <v>7</v>
      </c>
      <c r="U179" s="339">
        <v>3.637E-2</v>
      </c>
      <c r="V179" s="339">
        <f>ROUND(((V178*SUM($S$10:S178))+(U179*S179))/SUM($S$10:S179),5)</f>
        <v>3.347E-2</v>
      </c>
      <c r="W179" s="316">
        <v>58.9</v>
      </c>
      <c r="AC179" s="346"/>
      <c r="AD179" s="339">
        <f>ROUND(((AD178*SUM($AA$10:AA178))+(AC179*AA179))/SUM($AA$10:AA179),5)</f>
        <v>-1.92E-3</v>
      </c>
      <c r="AH179" s="345"/>
      <c r="AS179" s="346"/>
      <c r="BB179" s="352"/>
      <c r="BC179" s="348"/>
      <c r="BE179" s="335">
        <f t="shared" si="73"/>
        <v>34863</v>
      </c>
      <c r="BF179" s="353">
        <v>34870</v>
      </c>
      <c r="BG179" s="317">
        <f t="shared" si="67"/>
        <v>7</v>
      </c>
      <c r="BH179" s="339">
        <v>4.0300000000000002E-2</v>
      </c>
      <c r="BI179" s="337">
        <f t="shared" si="83"/>
        <v>23186.3</v>
      </c>
      <c r="BK179" s="337"/>
      <c r="BO179" s="335">
        <f t="shared" si="74"/>
        <v>36818</v>
      </c>
      <c r="BP179" s="345">
        <v>36825</v>
      </c>
      <c r="BQ179" s="317">
        <f t="shared" si="63"/>
        <v>7</v>
      </c>
      <c r="BR179" s="347">
        <v>4.2299999999999997E-2</v>
      </c>
      <c r="BS179" s="337">
        <f t="shared" si="88"/>
        <v>13753.278689000001</v>
      </c>
      <c r="BW179" s="335">
        <f t="shared" si="82"/>
        <v>37043</v>
      </c>
      <c r="BX179" s="344">
        <v>37049</v>
      </c>
      <c r="BY179" s="317">
        <f t="shared" si="68"/>
        <v>6</v>
      </c>
      <c r="BZ179" s="346">
        <v>2.9499999999999998E-2</v>
      </c>
      <c r="CA179" s="337">
        <f t="shared" si="84"/>
        <v>24246.575342</v>
      </c>
      <c r="CD179" s="335">
        <f t="shared" si="81"/>
        <v>37043</v>
      </c>
      <c r="CE179" s="345">
        <v>37049</v>
      </c>
      <c r="CF179" s="317">
        <f t="shared" si="69"/>
        <v>6</v>
      </c>
      <c r="CG179" s="347">
        <v>2.9499999999999998E-2</v>
      </c>
      <c r="CH179" s="337">
        <f t="shared" si="86"/>
        <v>24246.575342</v>
      </c>
      <c r="CL179" s="335">
        <f t="shared" si="75"/>
        <v>37735</v>
      </c>
      <c r="CM179" s="345">
        <v>37742</v>
      </c>
      <c r="CN179" s="317">
        <f t="shared" si="87"/>
        <v>7</v>
      </c>
      <c r="CO179" s="347">
        <v>1.3599999999999999E-2</v>
      </c>
      <c r="CP179" s="347"/>
      <c r="CQ179" s="347"/>
      <c r="CR179" s="347"/>
      <c r="CS179" s="347"/>
      <c r="CT179" s="347"/>
      <c r="CU179" s="347"/>
      <c r="CV179" s="337">
        <f>ROUND($CR$5*CO179*CN179/365,1)</f>
        <v>21735.599999999999</v>
      </c>
      <c r="CW179" s="341">
        <f>SUM(CV175:CV179)</f>
        <v>82284.600000000006</v>
      </c>
    </row>
    <row r="180" spans="1:101" hidden="1" x14ac:dyDescent="0.25">
      <c r="A180" s="335">
        <f t="shared" si="77"/>
        <v>34837</v>
      </c>
      <c r="B180" s="353">
        <v>34856</v>
      </c>
      <c r="C180" s="317">
        <f t="shared" si="70"/>
        <v>19</v>
      </c>
      <c r="E180" s="339">
        <v>4.0939999999999997E-2</v>
      </c>
      <c r="F180" s="339">
        <f>ROUND(((F179*SUM($C$10:C179))+(E180*C180))/SUM($C$10:C180),5)</f>
        <v>2.8639999999999999E-2</v>
      </c>
      <c r="G180" s="351">
        <v>104.6</v>
      </c>
      <c r="I180" s="335">
        <f t="shared" si="78"/>
        <v>34655</v>
      </c>
      <c r="J180" s="353">
        <v>34666</v>
      </c>
      <c r="K180" s="317">
        <f t="shared" si="71"/>
        <v>11</v>
      </c>
      <c r="M180" s="339">
        <v>3.526E-2</v>
      </c>
      <c r="N180" s="339">
        <f>ROUND(((N179*SUM($K$10:K179))+(M180*K180))/SUM($K$10:K180),5)</f>
        <v>2.6540000000000001E-2</v>
      </c>
      <c r="O180" s="351">
        <v>96.1</v>
      </c>
      <c r="Q180" s="335">
        <f t="shared" si="79"/>
        <v>35367</v>
      </c>
      <c r="R180" s="353">
        <v>35381</v>
      </c>
      <c r="S180" s="317">
        <f t="shared" si="72"/>
        <v>14</v>
      </c>
      <c r="U180" s="339">
        <v>3.644E-2</v>
      </c>
      <c r="V180" s="339">
        <f>ROUND(((V179*SUM($S$10:S179))+(U180*S180))/SUM($S$10:S180),5)</f>
        <v>3.3509999999999998E-2</v>
      </c>
      <c r="W180" s="357">
        <v>72</v>
      </c>
      <c r="AC180" s="346"/>
      <c r="AD180" s="339">
        <f>ROUND(((AD179*SUM($AA$10:AA179))+(AC180*AA180))/SUM($AA$10:AA180),5)</f>
        <v>-1.92E-3</v>
      </c>
      <c r="AH180" s="345"/>
      <c r="AS180" s="346"/>
      <c r="BB180" s="352"/>
      <c r="BC180" s="348"/>
      <c r="BE180" s="335">
        <f t="shared" si="73"/>
        <v>34870</v>
      </c>
      <c r="BF180" s="353">
        <v>34877</v>
      </c>
      <c r="BG180" s="317">
        <f t="shared" si="67"/>
        <v>7</v>
      </c>
      <c r="BH180" s="339">
        <v>4.2500000000000003E-2</v>
      </c>
      <c r="BI180" s="337">
        <f t="shared" si="83"/>
        <v>24452.05</v>
      </c>
      <c r="BK180" s="337"/>
      <c r="BO180" s="335">
        <f t="shared" si="74"/>
        <v>36825</v>
      </c>
      <c r="BP180" s="345">
        <v>36831</v>
      </c>
      <c r="BQ180" s="317">
        <f t="shared" si="63"/>
        <v>6</v>
      </c>
      <c r="BR180" s="347">
        <v>4.3299999999999998E-2</v>
      </c>
      <c r="BS180" s="337">
        <f t="shared" si="88"/>
        <v>12067.213115</v>
      </c>
      <c r="BT180" s="341">
        <f>SUM(BS176:BS180)</f>
        <v>63290.163934999997</v>
      </c>
      <c r="BW180" s="335">
        <f t="shared" si="82"/>
        <v>37049</v>
      </c>
      <c r="BX180" s="345">
        <v>37056</v>
      </c>
      <c r="BY180" s="317">
        <f t="shared" si="68"/>
        <v>7</v>
      </c>
      <c r="BZ180" s="346">
        <v>2.1499999999999998E-2</v>
      </c>
      <c r="CA180" s="337">
        <f t="shared" si="84"/>
        <v>20616.438355999999</v>
      </c>
      <c r="CB180" s="341" t="s">
        <v>35</v>
      </c>
      <c r="CD180" s="335">
        <f t="shared" si="81"/>
        <v>37049</v>
      </c>
      <c r="CE180" s="345">
        <v>37056</v>
      </c>
      <c r="CF180" s="317">
        <f t="shared" si="69"/>
        <v>7</v>
      </c>
      <c r="CG180" s="347">
        <v>2.1499999999999998E-2</v>
      </c>
      <c r="CH180" s="337">
        <f t="shared" si="86"/>
        <v>20616.438355999999</v>
      </c>
      <c r="CI180" s="341" t="s">
        <v>35</v>
      </c>
      <c r="CL180" s="335">
        <f t="shared" si="75"/>
        <v>37742</v>
      </c>
      <c r="CM180" s="345">
        <v>37749</v>
      </c>
      <c r="CN180" s="317">
        <f t="shared" si="87"/>
        <v>7</v>
      </c>
      <c r="CO180" s="346">
        <v>1.35E-2</v>
      </c>
      <c r="CP180" s="346"/>
      <c r="CQ180" s="346"/>
      <c r="CR180" s="346"/>
      <c r="CS180" s="346"/>
      <c r="CT180" s="346"/>
      <c r="CU180" s="346"/>
      <c r="CV180" s="337">
        <f>ROUND($CR$5*CO180*CN180/365,3)</f>
        <v>21575.774000000001</v>
      </c>
    </row>
    <row r="181" spans="1:101" hidden="1" x14ac:dyDescent="0.25">
      <c r="A181" s="335">
        <f t="shared" si="77"/>
        <v>34856</v>
      </c>
      <c r="B181" s="353">
        <v>34858</v>
      </c>
      <c r="C181" s="317">
        <f t="shared" si="70"/>
        <v>2</v>
      </c>
      <c r="E181" s="339">
        <v>3.9780000000000003E-2</v>
      </c>
      <c r="F181" s="339">
        <f>ROUND(((F180*SUM($C$10:C180))+(E181*C181))/SUM($C$10:C181),5)</f>
        <v>2.8660000000000001E-2</v>
      </c>
      <c r="G181" s="351">
        <v>90.8</v>
      </c>
      <c r="I181" s="335">
        <f t="shared" si="78"/>
        <v>34666</v>
      </c>
      <c r="J181" s="353">
        <v>34667</v>
      </c>
      <c r="K181" s="317">
        <f t="shared" si="71"/>
        <v>1</v>
      </c>
      <c r="M181" s="339">
        <v>3.542E-2</v>
      </c>
      <c r="N181" s="339">
        <f>ROUND(((N180*SUM($K$10:K180))+(M181*K181))/SUM($K$10:K181),5)</f>
        <v>2.6550000000000001E-2</v>
      </c>
      <c r="O181" s="351">
        <v>95.4</v>
      </c>
      <c r="Q181" s="335">
        <f t="shared" si="79"/>
        <v>35381</v>
      </c>
      <c r="R181" s="353">
        <v>35383</v>
      </c>
      <c r="S181" s="317">
        <f t="shared" si="72"/>
        <v>2</v>
      </c>
      <c r="U181" s="339">
        <v>3.6479999999999999E-2</v>
      </c>
      <c r="V181" s="339">
        <f>ROUND(((V180*SUM($S$10:S180))+(U181*S181))/SUM($S$10:S181),5)</f>
        <v>3.3520000000000001E-2</v>
      </c>
      <c r="W181" s="357">
        <v>74.5</v>
      </c>
      <c r="AC181" s="346"/>
      <c r="AD181" s="339">
        <f>ROUND(((AD180*SUM($AA$10:AA180))+(AC181*AA181))/SUM($AA$10:AA181),5)</f>
        <v>-1.92E-3</v>
      </c>
      <c r="AH181" s="345"/>
      <c r="AS181" s="346"/>
      <c r="BB181" s="352"/>
      <c r="BC181" s="348"/>
      <c r="BE181" s="335">
        <f t="shared" si="73"/>
        <v>34877</v>
      </c>
      <c r="BF181" s="353">
        <v>34881</v>
      </c>
      <c r="BG181" s="317">
        <f t="shared" si="67"/>
        <v>4</v>
      </c>
      <c r="BH181" s="339">
        <v>4.0600000000000004E-2</v>
      </c>
      <c r="BI181" s="337">
        <f t="shared" si="83"/>
        <v>13347.95</v>
      </c>
      <c r="BJ181" s="341">
        <f>SUM(BI177:BI181)</f>
        <v>92835.61</v>
      </c>
      <c r="BK181" s="337">
        <v>90753.65</v>
      </c>
      <c r="BL181" s="341">
        <f>BJ181-BK181</f>
        <v>2081.9600000000064</v>
      </c>
      <c r="BM181" s="341">
        <f>BM176+BL181</f>
        <v>-5692.0100000000202</v>
      </c>
      <c r="BO181" s="335">
        <f t="shared" si="74"/>
        <v>36831</v>
      </c>
      <c r="BP181" s="345">
        <v>36832</v>
      </c>
      <c r="BQ181" s="317">
        <f t="shared" si="63"/>
        <v>1</v>
      </c>
      <c r="BR181" s="347">
        <v>4.3299999999999998E-2</v>
      </c>
      <c r="BS181" s="337">
        <f t="shared" si="88"/>
        <v>2011.202186</v>
      </c>
      <c r="BW181" s="335">
        <f t="shared" si="82"/>
        <v>37056</v>
      </c>
      <c r="BX181" s="345">
        <v>37063</v>
      </c>
      <c r="BY181" s="317">
        <f t="shared" si="68"/>
        <v>7</v>
      </c>
      <c r="BZ181" s="346">
        <v>3.0499999999999999E-2</v>
      </c>
      <c r="CA181" s="337">
        <f t="shared" si="84"/>
        <v>29246.575342</v>
      </c>
      <c r="CD181" s="335">
        <f t="shared" si="81"/>
        <v>37056</v>
      </c>
      <c r="CE181" s="345">
        <v>37063</v>
      </c>
      <c r="CF181" s="317">
        <f t="shared" si="69"/>
        <v>7</v>
      </c>
      <c r="CG181" s="347">
        <v>3.0499999999999999E-2</v>
      </c>
      <c r="CH181" s="337">
        <f t="shared" si="86"/>
        <v>29246.575342</v>
      </c>
      <c r="CL181" s="335">
        <f t="shared" si="75"/>
        <v>37749</v>
      </c>
      <c r="CM181" s="345">
        <v>37756</v>
      </c>
      <c r="CN181" s="317">
        <f t="shared" si="87"/>
        <v>7</v>
      </c>
      <c r="CO181" s="346">
        <v>1.23E-2</v>
      </c>
      <c r="CP181" s="346"/>
      <c r="CQ181" s="346"/>
      <c r="CR181" s="346"/>
      <c r="CS181" s="346"/>
      <c r="CT181" s="346"/>
      <c r="CU181" s="346"/>
      <c r="CV181" s="337">
        <f>ROUND($CR$5*CO181*CN181/365,3)</f>
        <v>19657.927</v>
      </c>
    </row>
    <row r="182" spans="1:101" hidden="1" x14ac:dyDescent="0.25">
      <c r="A182" s="335">
        <f t="shared" si="77"/>
        <v>34858</v>
      </c>
      <c r="B182" s="353">
        <v>34891</v>
      </c>
      <c r="C182" s="317">
        <f t="shared" si="70"/>
        <v>33</v>
      </c>
      <c r="E182" s="339">
        <v>3.6940000000000001E-2</v>
      </c>
      <c r="F182" s="339">
        <f>ROUND(((F181*SUM($C$10:C181))+(E182*C182))/SUM($C$10:C182),5)</f>
        <v>2.8930000000000001E-2</v>
      </c>
      <c r="G182" s="351">
        <v>88</v>
      </c>
      <c r="I182" s="335">
        <f t="shared" si="78"/>
        <v>34667</v>
      </c>
      <c r="J182" s="353">
        <v>34673</v>
      </c>
      <c r="K182" s="317">
        <f t="shared" si="71"/>
        <v>6</v>
      </c>
      <c r="M182" s="339">
        <v>3.5860000000000003E-2</v>
      </c>
      <c r="N182" s="339">
        <f>ROUND(((N181*SUM($K$10:K181))+(M182*K182))/SUM($K$10:K182),5)</f>
        <v>2.6620000000000001E-2</v>
      </c>
      <c r="O182" s="351">
        <v>93.3</v>
      </c>
      <c r="Q182" s="335">
        <f t="shared" si="79"/>
        <v>35383</v>
      </c>
      <c r="R182" s="353">
        <v>35391</v>
      </c>
      <c r="S182" s="317">
        <f t="shared" si="72"/>
        <v>8</v>
      </c>
      <c r="U182" s="339">
        <v>3.6519999999999997E-2</v>
      </c>
      <c r="V182" s="339">
        <f>ROUND(((V181*SUM($S$10:S181))+(U182*S182))/SUM($S$10:S182),5)</f>
        <v>3.354E-2</v>
      </c>
      <c r="W182" s="357">
        <v>78.8</v>
      </c>
      <c r="AC182" s="346"/>
      <c r="AD182" s="339">
        <f>ROUND(((AD181*SUM($AA$10:AA181))+(AC182*AA182))/SUM($AA$10:AA182),5)</f>
        <v>-1.92E-3</v>
      </c>
      <c r="AH182" s="345"/>
      <c r="AS182" s="346"/>
      <c r="BB182" s="352"/>
      <c r="BC182" s="348"/>
      <c r="BE182" s="335">
        <f t="shared" si="73"/>
        <v>34881</v>
      </c>
      <c r="BF182" s="353">
        <v>34885</v>
      </c>
      <c r="BG182" s="317">
        <f t="shared" si="67"/>
        <v>4</v>
      </c>
      <c r="BH182" s="339">
        <v>4.0600000000000004E-2</v>
      </c>
      <c r="BI182" s="337">
        <f t="shared" si="83"/>
        <v>13347.95</v>
      </c>
      <c r="BK182" s="337"/>
      <c r="BO182" s="335">
        <f t="shared" si="74"/>
        <v>36832</v>
      </c>
      <c r="BP182" s="345">
        <v>36833</v>
      </c>
      <c r="BQ182" s="317">
        <f t="shared" si="63"/>
        <v>1</v>
      </c>
      <c r="BR182" s="347">
        <v>4.2799999999999998E-2</v>
      </c>
      <c r="BS182" s="337">
        <f t="shared" si="88"/>
        <v>1987.9781419999999</v>
      </c>
      <c r="BT182" s="341" t="s">
        <v>35</v>
      </c>
      <c r="BW182" s="335">
        <f t="shared" si="82"/>
        <v>37063</v>
      </c>
      <c r="BX182" s="345">
        <v>37070</v>
      </c>
      <c r="BY182" s="317">
        <f t="shared" si="68"/>
        <v>7</v>
      </c>
      <c r="BZ182" s="346">
        <v>2.9700000000000001E-2</v>
      </c>
      <c r="CA182" s="337">
        <f t="shared" si="84"/>
        <v>28479.452055000002</v>
      </c>
      <c r="CD182" s="335">
        <f t="shared" si="81"/>
        <v>37063</v>
      </c>
      <c r="CE182" s="345">
        <v>37070</v>
      </c>
      <c r="CF182" s="317">
        <f t="shared" si="69"/>
        <v>7</v>
      </c>
      <c r="CG182" s="347">
        <v>2.9700000000000001E-2</v>
      </c>
      <c r="CH182" s="337">
        <f t="shared" si="86"/>
        <v>28479.452055000002</v>
      </c>
      <c r="CL182" s="335">
        <f t="shared" si="75"/>
        <v>37756</v>
      </c>
      <c r="CM182" s="345">
        <v>37763</v>
      </c>
      <c r="CN182" s="317">
        <f t="shared" si="87"/>
        <v>7</v>
      </c>
      <c r="CO182" s="346">
        <v>1.2200000000000001E-2</v>
      </c>
      <c r="CP182" s="346"/>
      <c r="CQ182" s="346"/>
      <c r="CR182" s="346"/>
      <c r="CS182" s="346"/>
      <c r="CT182" s="346"/>
      <c r="CU182" s="346"/>
      <c r="CV182" s="337">
        <f>ROUND($CR$5*CO182*CN182/365,3)</f>
        <v>19498.107</v>
      </c>
    </row>
    <row r="183" spans="1:101" hidden="1" x14ac:dyDescent="0.25">
      <c r="A183" s="335">
        <f t="shared" si="77"/>
        <v>34891</v>
      </c>
      <c r="B183" s="353">
        <v>34893</v>
      </c>
      <c r="C183" s="317">
        <f t="shared" si="70"/>
        <v>2</v>
      </c>
      <c r="E183" s="339">
        <v>3.6900000000000002E-2</v>
      </c>
      <c r="F183" s="339">
        <f>ROUND(((F182*SUM($C$10:C182))+(E183*C183))/SUM($C$10:C183),5)</f>
        <v>2.895E-2</v>
      </c>
      <c r="G183" s="351">
        <v>85.5</v>
      </c>
      <c r="I183" s="335">
        <f t="shared" si="78"/>
        <v>34673</v>
      </c>
      <c r="J183" s="353">
        <v>34674</v>
      </c>
      <c r="K183" s="317">
        <f t="shared" si="71"/>
        <v>1</v>
      </c>
      <c r="M183" s="339">
        <v>3.5880000000000002E-2</v>
      </c>
      <c r="N183" s="339">
        <f>ROUND(((N182*SUM($K$10:K182))+(M183*K183))/SUM($K$10:K183),5)</f>
        <v>2.6630000000000001E-2</v>
      </c>
      <c r="O183" s="351">
        <v>92.5</v>
      </c>
      <c r="Q183" s="335">
        <f t="shared" si="79"/>
        <v>35391</v>
      </c>
      <c r="R183" s="353">
        <v>35394</v>
      </c>
      <c r="S183" s="317">
        <f t="shared" si="72"/>
        <v>3</v>
      </c>
      <c r="U183" s="339">
        <v>3.6630000000000003E-2</v>
      </c>
      <c r="V183" s="339">
        <f>ROUND(((V182*SUM($S$10:S182))+(U183*S183))/SUM($S$10:S183),5)</f>
        <v>3.3550000000000003E-2</v>
      </c>
      <c r="W183" s="357">
        <v>73.599999999999994</v>
      </c>
      <c r="AC183" s="346"/>
      <c r="AD183" s="339">
        <f>ROUND(((AD182*SUM($AA$10:AA182))+(AC183*AA183))/SUM($AA$10:AA183),5)</f>
        <v>-1.92E-3</v>
      </c>
      <c r="AH183" s="345"/>
      <c r="AS183" s="346"/>
      <c r="BB183" s="352"/>
      <c r="BC183" s="348"/>
      <c r="BE183" s="335">
        <f t="shared" si="73"/>
        <v>34885</v>
      </c>
      <c r="BF183" s="353">
        <v>34891</v>
      </c>
      <c r="BG183" s="317">
        <f t="shared" si="67"/>
        <v>6</v>
      </c>
      <c r="BH183" s="339">
        <v>3.2800000000000003E-2</v>
      </c>
      <c r="BI183" s="337">
        <f t="shared" si="83"/>
        <v>16175.34</v>
      </c>
      <c r="BK183" s="337"/>
      <c r="BO183" s="335">
        <f t="shared" si="74"/>
        <v>36833</v>
      </c>
      <c r="BP183" s="345">
        <v>36839</v>
      </c>
      <c r="BQ183" s="317">
        <f t="shared" si="63"/>
        <v>6</v>
      </c>
      <c r="BR183" s="347">
        <v>4.2799999999999998E-2</v>
      </c>
      <c r="BS183" s="337">
        <f t="shared" si="88"/>
        <v>11927.868852</v>
      </c>
      <c r="BW183" s="335">
        <f t="shared" si="82"/>
        <v>37070</v>
      </c>
      <c r="BX183" s="345">
        <v>37073</v>
      </c>
      <c r="BY183" s="317">
        <f t="shared" si="68"/>
        <v>3</v>
      </c>
      <c r="BZ183" s="346">
        <v>2.6800000000000001E-2</v>
      </c>
      <c r="CA183" s="337">
        <f t="shared" si="84"/>
        <v>11013.698630000001</v>
      </c>
      <c r="CB183" s="341">
        <f>SUM(CA179:CA183)</f>
        <v>113602.73972499999</v>
      </c>
      <c r="CD183" s="335">
        <f t="shared" si="81"/>
        <v>37070</v>
      </c>
      <c r="CE183" s="345">
        <v>37073</v>
      </c>
      <c r="CF183" s="317">
        <f t="shared" si="69"/>
        <v>3</v>
      </c>
      <c r="CG183" s="347">
        <v>2.6800000000000001E-2</v>
      </c>
      <c r="CH183" s="337">
        <f t="shared" si="86"/>
        <v>11013.698630000001</v>
      </c>
      <c r="CI183" s="341">
        <f>SUM(CH179:CH183)</f>
        <v>113602.73972499999</v>
      </c>
      <c r="CL183" s="335">
        <f t="shared" si="75"/>
        <v>37763</v>
      </c>
      <c r="CM183" s="345">
        <v>37770</v>
      </c>
      <c r="CN183" s="317">
        <f t="shared" si="87"/>
        <v>7</v>
      </c>
      <c r="CO183" s="346">
        <v>1.2E-2</v>
      </c>
      <c r="CP183" s="346"/>
      <c r="CQ183" s="346"/>
      <c r="CR183" s="346"/>
      <c r="CS183" s="346"/>
      <c r="CT183" s="346"/>
      <c r="CU183" s="346"/>
      <c r="CV183" s="337">
        <f>ROUND($CR$5*CO183*CN183/365,3)</f>
        <v>19178.466</v>
      </c>
    </row>
    <row r="184" spans="1:101" hidden="1" x14ac:dyDescent="0.25">
      <c r="A184" s="335">
        <f t="shared" si="77"/>
        <v>34893</v>
      </c>
      <c r="B184" s="353">
        <v>34912</v>
      </c>
      <c r="C184" s="317">
        <f t="shared" si="70"/>
        <v>19</v>
      </c>
      <c r="E184" s="339">
        <v>3.6150000000000002E-2</v>
      </c>
      <c r="F184" s="339">
        <f>ROUND(((F183*SUM($C$10:C183))+(E184*C184))/SUM($C$10:C184),5)</f>
        <v>2.9080000000000002E-2</v>
      </c>
      <c r="G184" s="351">
        <v>84.9</v>
      </c>
      <c r="I184" s="335">
        <f t="shared" si="78"/>
        <v>34674</v>
      </c>
      <c r="J184" s="353">
        <v>34675</v>
      </c>
      <c r="K184" s="317">
        <f t="shared" si="71"/>
        <v>1</v>
      </c>
      <c r="M184" s="339">
        <v>3.5869999999999999E-2</v>
      </c>
      <c r="N184" s="339">
        <f>ROUND(((N183*SUM($K$10:K183))+(M184*K184))/SUM($K$10:K184),5)</f>
        <v>2.664E-2</v>
      </c>
      <c r="O184" s="351">
        <v>93.8</v>
      </c>
      <c r="Q184" s="335">
        <f t="shared" si="79"/>
        <v>35394</v>
      </c>
      <c r="R184" s="353">
        <v>35403</v>
      </c>
      <c r="S184" s="317">
        <f t="shared" si="72"/>
        <v>9</v>
      </c>
      <c r="U184" s="339">
        <v>3.6269999999999997E-2</v>
      </c>
      <c r="V184" s="339">
        <f>ROUND(((V183*SUM($S$10:S183))+(U184*S184))/SUM($S$10:S184),5)</f>
        <v>3.3570000000000003E-2</v>
      </c>
      <c r="W184" s="357">
        <v>93.5</v>
      </c>
      <c r="AC184" s="346"/>
      <c r="AD184" s="339">
        <f>ROUND(((AD183*SUM($AA$10:AA183))+(AC184*AA184))/SUM($AA$10:AA184),5)</f>
        <v>-1.92E-3</v>
      </c>
      <c r="AH184" s="345"/>
      <c r="AS184" s="346"/>
      <c r="BB184" s="352"/>
      <c r="BC184" s="348"/>
      <c r="BE184" s="335">
        <f t="shared" si="73"/>
        <v>34891</v>
      </c>
      <c r="BF184" s="353">
        <v>34898</v>
      </c>
      <c r="BG184" s="317">
        <f t="shared" si="67"/>
        <v>7</v>
      </c>
      <c r="BH184" s="339">
        <v>2.9100000000000001E-2</v>
      </c>
      <c r="BI184" s="337">
        <f t="shared" si="83"/>
        <v>16742.47</v>
      </c>
      <c r="BK184" s="337"/>
      <c r="BO184" s="335">
        <f t="shared" si="74"/>
        <v>36839</v>
      </c>
      <c r="BP184" s="345">
        <v>36846</v>
      </c>
      <c r="BQ184" s="317">
        <f t="shared" si="63"/>
        <v>7</v>
      </c>
      <c r="BR184" s="347">
        <v>4.3900000000000002E-2</v>
      </c>
      <c r="BS184" s="337">
        <f t="shared" si="88"/>
        <v>14273.497267999999</v>
      </c>
      <c r="BW184" s="335">
        <f t="shared" si="82"/>
        <v>37073</v>
      </c>
      <c r="BX184" s="345">
        <v>37077</v>
      </c>
      <c r="BY184" s="317">
        <f t="shared" si="68"/>
        <v>4</v>
      </c>
      <c r="BZ184" s="346">
        <v>2.6800000000000001E-2</v>
      </c>
      <c r="CA184" s="337">
        <f t="shared" si="84"/>
        <v>14684.931506999999</v>
      </c>
      <c r="CD184" s="335">
        <f t="shared" si="81"/>
        <v>37073</v>
      </c>
      <c r="CE184" s="345">
        <v>37077</v>
      </c>
      <c r="CF184" s="317">
        <f t="shared" si="69"/>
        <v>4</v>
      </c>
      <c r="CG184" s="347">
        <v>2.6800000000000001E-2</v>
      </c>
      <c r="CH184" s="337">
        <f t="shared" si="86"/>
        <v>14684.931506999999</v>
      </c>
      <c r="CL184" s="335">
        <f t="shared" si="75"/>
        <v>37770</v>
      </c>
      <c r="CM184" s="345">
        <v>37773</v>
      </c>
      <c r="CN184" s="317">
        <f t="shared" si="87"/>
        <v>3</v>
      </c>
      <c r="CO184" s="346">
        <v>1.1900000000000001E-2</v>
      </c>
      <c r="CP184" s="346"/>
      <c r="CQ184" s="346"/>
      <c r="CR184" s="346"/>
      <c r="CS184" s="346"/>
      <c r="CT184" s="346"/>
      <c r="CU184" s="346"/>
      <c r="CV184" s="337">
        <f>ROUND($CR$5*CO184*CN184/365,3)</f>
        <v>8150.848</v>
      </c>
      <c r="CW184" s="341">
        <f>SUM(CV180:CV184)</f>
        <v>88061.122000000003</v>
      </c>
    </row>
    <row r="185" spans="1:101" hidden="1" x14ac:dyDescent="0.25">
      <c r="A185" s="335">
        <f t="shared" si="77"/>
        <v>34912</v>
      </c>
      <c r="B185" s="353">
        <v>34918</v>
      </c>
      <c r="C185" s="317">
        <f t="shared" si="70"/>
        <v>6</v>
      </c>
      <c r="E185" s="339">
        <v>3.6600000000000001E-2</v>
      </c>
      <c r="F185" s="339">
        <f>ROUND(((F184*SUM($C$10:C184))+(E185*C185))/SUM($C$10:C185),5)</f>
        <v>2.912E-2</v>
      </c>
      <c r="G185" s="351">
        <v>96.6</v>
      </c>
      <c r="I185" s="335">
        <f t="shared" si="78"/>
        <v>34675</v>
      </c>
      <c r="J185" s="353">
        <v>34680</v>
      </c>
      <c r="K185" s="317">
        <f t="shared" si="71"/>
        <v>5</v>
      </c>
      <c r="M185" s="339">
        <v>3.5869999999999999E-2</v>
      </c>
      <c r="N185" s="339">
        <f>ROUND(((N184*SUM($K$10:K184))+(M185*K185))/SUM($K$10:K185),5)</f>
        <v>2.6700000000000002E-2</v>
      </c>
      <c r="O185" s="351">
        <v>94.4</v>
      </c>
      <c r="Q185" s="335">
        <f t="shared" si="79"/>
        <v>35403</v>
      </c>
      <c r="R185" s="353">
        <v>35412</v>
      </c>
      <c r="S185" s="317">
        <f t="shared" si="72"/>
        <v>9</v>
      </c>
      <c r="U185" s="339">
        <v>3.6139999999999999E-2</v>
      </c>
      <c r="V185" s="339">
        <f>ROUND(((V184*SUM($S$10:S184))+(U185*S185))/SUM($S$10:S185),5)</f>
        <v>3.3590000000000002E-2</v>
      </c>
      <c r="W185" s="357">
        <v>91</v>
      </c>
      <c r="AC185" s="346"/>
      <c r="AD185" s="339">
        <f>ROUND(((AD184*SUM($AA$10:AA184))+(AC185*AA185))/SUM($AA$10:AA185),5)</f>
        <v>-1.92E-3</v>
      </c>
      <c r="AH185" s="345"/>
      <c r="AS185" s="346"/>
      <c r="BB185" s="352"/>
      <c r="BC185" s="348"/>
      <c r="BE185" s="335">
        <f t="shared" si="73"/>
        <v>34898</v>
      </c>
      <c r="BF185" s="353">
        <v>34905</v>
      </c>
      <c r="BG185" s="317">
        <f t="shared" si="67"/>
        <v>7</v>
      </c>
      <c r="BH185" s="339">
        <v>3.7600000000000001E-2</v>
      </c>
      <c r="BI185" s="337">
        <f t="shared" si="83"/>
        <v>21632.880000000001</v>
      </c>
      <c r="BK185" s="337"/>
      <c r="BO185" s="335">
        <f t="shared" si="74"/>
        <v>36846</v>
      </c>
      <c r="BP185" s="345">
        <v>36854</v>
      </c>
      <c r="BQ185" s="317">
        <f t="shared" si="63"/>
        <v>8</v>
      </c>
      <c r="BR185" s="347">
        <v>4.5600000000000002E-2</v>
      </c>
      <c r="BS185" s="337">
        <f t="shared" si="88"/>
        <v>16944.262295</v>
      </c>
      <c r="BW185" s="335">
        <f t="shared" si="82"/>
        <v>37077</v>
      </c>
      <c r="BX185" s="345">
        <v>37084</v>
      </c>
      <c r="BY185" s="317">
        <f t="shared" si="68"/>
        <v>7</v>
      </c>
      <c r="BZ185" s="346">
        <v>2.12E-2</v>
      </c>
      <c r="CA185" s="337">
        <f t="shared" si="84"/>
        <v>20328.767123000001</v>
      </c>
      <c r="CD185" s="335">
        <f t="shared" si="81"/>
        <v>37077</v>
      </c>
      <c r="CE185" s="345">
        <v>37084</v>
      </c>
      <c r="CF185" s="317">
        <f t="shared" si="69"/>
        <v>7</v>
      </c>
      <c r="CG185" s="347">
        <v>2.12E-2</v>
      </c>
      <c r="CH185" s="337">
        <f t="shared" si="86"/>
        <v>20328.767123000001</v>
      </c>
      <c r="CL185" s="335">
        <f t="shared" si="75"/>
        <v>37773</v>
      </c>
      <c r="CM185" s="345">
        <v>37777</v>
      </c>
      <c r="CN185" s="317">
        <f t="shared" si="87"/>
        <v>4</v>
      </c>
      <c r="CO185" s="346">
        <v>1.1900000000000001E-2</v>
      </c>
      <c r="CP185" s="346"/>
      <c r="CQ185" s="346"/>
      <c r="CR185" s="346"/>
      <c r="CS185" s="346"/>
      <c r="CT185" s="346"/>
      <c r="CU185" s="346"/>
      <c r="CV185" s="337">
        <f>ROUND($CR$5*CO185*CN185/365,10)</f>
        <v>10867.797260273999</v>
      </c>
    </row>
    <row r="186" spans="1:101" hidden="1" x14ac:dyDescent="0.25">
      <c r="A186" s="335">
        <f t="shared" si="77"/>
        <v>34918</v>
      </c>
      <c r="B186" s="353">
        <v>34919</v>
      </c>
      <c r="C186" s="317">
        <f t="shared" si="70"/>
        <v>1</v>
      </c>
      <c r="E186" s="339">
        <v>3.6609999999999997E-2</v>
      </c>
      <c r="F186" s="339">
        <f>ROUND(((F185*SUM($C$10:C185))+(E186*C186))/SUM($C$10:C186),5)</f>
        <v>2.913E-2</v>
      </c>
      <c r="G186" s="351">
        <v>96.6</v>
      </c>
      <c r="I186" s="335">
        <f t="shared" si="78"/>
        <v>34680</v>
      </c>
      <c r="J186" s="353">
        <v>34681</v>
      </c>
      <c r="K186" s="317">
        <f t="shared" si="71"/>
        <v>1</v>
      </c>
      <c r="M186" s="339">
        <v>3.6549999999999999E-2</v>
      </c>
      <c r="N186" s="339">
        <f>ROUND(((N185*SUM($K$10:K185))+(M186*K186))/SUM($K$10:K186),5)</f>
        <v>2.6710000000000001E-2</v>
      </c>
      <c r="O186" s="351">
        <v>93.2</v>
      </c>
      <c r="Q186" s="335">
        <f t="shared" si="79"/>
        <v>35412</v>
      </c>
      <c r="R186" s="353">
        <v>35416</v>
      </c>
      <c r="S186" s="317">
        <f t="shared" si="72"/>
        <v>4</v>
      </c>
      <c r="U186" s="339">
        <v>3.5630000000000002E-2</v>
      </c>
      <c r="V186" s="339">
        <f>ROUND(((V185*SUM($S$10:S185))+(U186*S186))/SUM($S$10:S186),5)</f>
        <v>3.3599999999999998E-2</v>
      </c>
      <c r="W186" s="357">
        <v>92.9</v>
      </c>
      <c r="AC186" s="346"/>
      <c r="AD186" s="339">
        <f>ROUND(((AD185*SUM($AA$10:AA185))+(AC186*AA186))/SUM($AA$10:AA186),5)</f>
        <v>-1.92E-3</v>
      </c>
      <c r="AH186" s="345"/>
      <c r="AS186" s="346"/>
      <c r="BB186" s="352"/>
      <c r="BC186" s="348"/>
      <c r="BE186" s="335">
        <f t="shared" si="73"/>
        <v>34905</v>
      </c>
      <c r="BF186" s="353">
        <v>34912</v>
      </c>
      <c r="BG186" s="317">
        <f t="shared" si="67"/>
        <v>7</v>
      </c>
      <c r="BH186" s="339">
        <v>3.8100000000000002E-2</v>
      </c>
      <c r="BI186" s="337">
        <f t="shared" si="83"/>
        <v>21920.55</v>
      </c>
      <c r="BJ186" s="341">
        <f>SUM(BI182:BI186)</f>
        <v>89819.19</v>
      </c>
      <c r="BK186" s="337">
        <v>88542.48</v>
      </c>
      <c r="BL186" s="341">
        <f>BJ186-BK186</f>
        <v>1276.7100000000064</v>
      </c>
      <c r="BM186" s="341">
        <f>BM181+BL186</f>
        <v>-4415.3000000000138</v>
      </c>
      <c r="BO186" s="335">
        <f t="shared" si="74"/>
        <v>36854</v>
      </c>
      <c r="BP186" s="345">
        <v>36860</v>
      </c>
      <c r="BQ186" s="317">
        <f t="shared" si="63"/>
        <v>6</v>
      </c>
      <c r="BR186" s="347">
        <v>4.2999999999999997E-2</v>
      </c>
      <c r="BS186" s="337">
        <f t="shared" si="88"/>
        <v>11983.606556999999</v>
      </c>
      <c r="BW186" s="335">
        <f t="shared" si="82"/>
        <v>37084</v>
      </c>
      <c r="BX186" s="345">
        <v>37091</v>
      </c>
      <c r="BY186" s="317">
        <f t="shared" si="68"/>
        <v>7</v>
      </c>
      <c r="BZ186" s="346">
        <v>2.3400000000000001E-2</v>
      </c>
      <c r="CA186" s="337">
        <f t="shared" si="84"/>
        <v>22438.356164000001</v>
      </c>
      <c r="CD186" s="335">
        <f t="shared" si="81"/>
        <v>37084</v>
      </c>
      <c r="CE186" s="345">
        <v>37091</v>
      </c>
      <c r="CF186" s="317">
        <f t="shared" si="69"/>
        <v>7</v>
      </c>
      <c r="CG186" s="347">
        <v>2.3400000000000001E-2</v>
      </c>
      <c r="CH186" s="337">
        <f t="shared" si="86"/>
        <v>22438.356164000001</v>
      </c>
      <c r="CL186" s="335">
        <f t="shared" si="75"/>
        <v>37777</v>
      </c>
      <c r="CM186" s="345">
        <v>37784</v>
      </c>
      <c r="CN186" s="317">
        <f t="shared" si="87"/>
        <v>7</v>
      </c>
      <c r="CO186" s="346">
        <v>1.03E-2</v>
      </c>
      <c r="CP186" s="346"/>
      <c r="CQ186" s="346"/>
      <c r="CR186" s="346"/>
      <c r="CS186" s="346"/>
      <c r="CT186" s="346"/>
      <c r="CU186" s="346"/>
      <c r="CV186" s="337">
        <f>ROUND($CR$5*CO186*CN186/365,10)</f>
        <v>16461.516438356201</v>
      </c>
    </row>
    <row r="187" spans="1:101" hidden="1" x14ac:dyDescent="0.25">
      <c r="A187" s="335">
        <f t="shared" si="77"/>
        <v>34919</v>
      </c>
      <c r="B187" s="353">
        <v>34921</v>
      </c>
      <c r="C187" s="317">
        <f t="shared" si="70"/>
        <v>2</v>
      </c>
      <c r="E187" s="339">
        <v>3.7470000000000003E-2</v>
      </c>
      <c r="F187" s="339">
        <f>ROUND(((F186*SUM($C$10:C186))+(E187*C187))/SUM($C$10:C187),5)</f>
        <v>2.9149999999999999E-2</v>
      </c>
      <c r="G187" s="351">
        <v>99.3</v>
      </c>
      <c r="I187" s="335">
        <f t="shared" si="78"/>
        <v>34681</v>
      </c>
      <c r="J187" s="353">
        <v>34682</v>
      </c>
      <c r="K187" s="317">
        <f t="shared" si="71"/>
        <v>1</v>
      </c>
      <c r="M187" s="339">
        <v>3.7190000000000001E-2</v>
      </c>
      <c r="N187" s="339">
        <f>ROUND(((N186*SUM($K$10:K186))+(M187*K187))/SUM($K$10:K187),5)</f>
        <v>2.6720000000000001E-2</v>
      </c>
      <c r="O187" s="351">
        <v>89.8</v>
      </c>
      <c r="Q187" s="335">
        <f t="shared" si="79"/>
        <v>35416</v>
      </c>
      <c r="R187" s="353">
        <v>35417</v>
      </c>
      <c r="S187" s="317">
        <f t="shared" si="72"/>
        <v>1</v>
      </c>
      <c r="U187" s="339">
        <v>3.5540000000000002E-2</v>
      </c>
      <c r="V187" s="339">
        <f>ROUND(((V186*SUM($S$10:S186))+(U187*S187))/SUM($S$10:S187),5)</f>
        <v>3.3599999999999998E-2</v>
      </c>
      <c r="W187" s="357">
        <v>84.1</v>
      </c>
      <c r="AC187" s="346"/>
      <c r="AD187" s="339">
        <f>ROUND(((AD186*SUM($AA$10:AA186))+(AC187*AA187))/SUM($AA$10:AA187),5)</f>
        <v>-1.92E-3</v>
      </c>
      <c r="AH187" s="345"/>
      <c r="AS187" s="346"/>
      <c r="BB187" s="352"/>
      <c r="BC187" s="348"/>
      <c r="BE187" s="335">
        <f t="shared" si="73"/>
        <v>34912</v>
      </c>
      <c r="BF187" s="353">
        <v>34919</v>
      </c>
      <c r="BG187" s="317">
        <f t="shared" si="67"/>
        <v>7</v>
      </c>
      <c r="BH187" s="339">
        <v>3.6200000000000003E-2</v>
      </c>
      <c r="BI187" s="337">
        <f t="shared" si="83"/>
        <v>20827.400000000001</v>
      </c>
      <c r="BK187" s="337"/>
      <c r="BO187" s="335">
        <f t="shared" si="74"/>
        <v>36860</v>
      </c>
      <c r="BP187" s="345">
        <v>36861</v>
      </c>
      <c r="BQ187" s="317">
        <f t="shared" si="63"/>
        <v>1</v>
      </c>
      <c r="BR187" s="347">
        <v>4.1200000000000001E-2</v>
      </c>
      <c r="BS187" s="337">
        <f t="shared" si="88"/>
        <v>1913.661202</v>
      </c>
      <c r="BT187" s="341">
        <f>SUM(BS181:BS187)</f>
        <v>61042.076502000004</v>
      </c>
      <c r="BW187" s="335">
        <f t="shared" si="82"/>
        <v>37091</v>
      </c>
      <c r="BX187" s="345">
        <v>37098</v>
      </c>
      <c r="BY187" s="317">
        <f t="shared" si="68"/>
        <v>7</v>
      </c>
      <c r="BZ187" s="346">
        <v>2.6800000000000001E-2</v>
      </c>
      <c r="CA187" s="337">
        <f t="shared" si="84"/>
        <v>25698.630137</v>
      </c>
      <c r="CD187" s="335">
        <f t="shared" si="81"/>
        <v>37091</v>
      </c>
      <c r="CE187" s="345">
        <v>37098</v>
      </c>
      <c r="CF187" s="317">
        <f t="shared" si="69"/>
        <v>7</v>
      </c>
      <c r="CG187" s="347">
        <v>2.6800000000000001E-2</v>
      </c>
      <c r="CH187" s="337">
        <f t="shared" si="86"/>
        <v>25698.630137</v>
      </c>
      <c r="CL187" s="335">
        <f t="shared" si="75"/>
        <v>37784</v>
      </c>
      <c r="CM187" s="345">
        <v>37791</v>
      </c>
      <c r="CN187" s="317">
        <f t="shared" si="87"/>
        <v>7</v>
      </c>
      <c r="CO187" s="346">
        <v>1.06E-2</v>
      </c>
      <c r="CP187" s="346"/>
      <c r="CQ187" s="346"/>
      <c r="CR187" s="346"/>
      <c r="CS187" s="346"/>
      <c r="CT187" s="346"/>
      <c r="CU187" s="346"/>
      <c r="CV187" s="337">
        <f>ROUND($CR$5*CO187*CN187/365,10)</f>
        <v>16940.978082191799</v>
      </c>
    </row>
    <row r="188" spans="1:101" hidden="1" x14ac:dyDescent="0.25">
      <c r="A188" s="335">
        <f t="shared" si="77"/>
        <v>34921</v>
      </c>
      <c r="B188" s="353">
        <v>34926</v>
      </c>
      <c r="C188" s="317">
        <f t="shared" si="70"/>
        <v>5</v>
      </c>
      <c r="E188" s="339">
        <v>3.7130000000000003E-2</v>
      </c>
      <c r="F188" s="339">
        <f>ROUND(((F187*SUM($C$10:C187))+(E188*C188))/SUM($C$10:C188),5)</f>
        <v>2.9190000000000001E-2</v>
      </c>
      <c r="G188" s="351">
        <v>97</v>
      </c>
      <c r="I188" s="335">
        <f t="shared" si="78"/>
        <v>34682</v>
      </c>
      <c r="J188" s="353">
        <v>34683</v>
      </c>
      <c r="K188" s="317">
        <f t="shared" si="71"/>
        <v>1</v>
      </c>
      <c r="M188" s="339">
        <v>3.7260000000000001E-2</v>
      </c>
      <c r="N188" s="339">
        <f>ROUND(((N187*SUM($K$10:K187))+(M188*K188))/SUM($K$10:K188),5)</f>
        <v>2.673E-2</v>
      </c>
      <c r="O188" s="351">
        <v>91</v>
      </c>
      <c r="Q188" s="335">
        <f t="shared" si="79"/>
        <v>35417</v>
      </c>
      <c r="R188" s="353">
        <v>35433</v>
      </c>
      <c r="S188" s="317">
        <f t="shared" si="72"/>
        <v>16</v>
      </c>
      <c r="U188" s="339">
        <v>3.5549999999999998E-2</v>
      </c>
      <c r="V188" s="339">
        <f>ROUND(((V187*SUM($S$10:S187))+(U188*S188))/SUM($S$10:S188),5)</f>
        <v>3.363E-2</v>
      </c>
      <c r="W188" s="357">
        <v>85.4</v>
      </c>
      <c r="AC188" s="346"/>
      <c r="AD188" s="339">
        <f>ROUND(((AD187*SUM($AA$10:AA187))+(AC188*AA188))/SUM($AA$10:AA188),5)</f>
        <v>-1.92E-3</v>
      </c>
      <c r="AH188" s="345"/>
      <c r="AS188" s="346"/>
      <c r="BB188" s="352"/>
      <c r="BC188" s="348"/>
      <c r="BE188" s="335">
        <f t="shared" si="73"/>
        <v>34919</v>
      </c>
      <c r="BF188" s="353">
        <v>34926</v>
      </c>
      <c r="BG188" s="317">
        <f t="shared" si="67"/>
        <v>7</v>
      </c>
      <c r="BH188" s="339">
        <v>3.8400000000000004E-2</v>
      </c>
      <c r="BI188" s="337">
        <f t="shared" si="83"/>
        <v>22093.15</v>
      </c>
      <c r="BK188" s="337"/>
      <c r="BO188" s="335">
        <f t="shared" si="74"/>
        <v>36861</v>
      </c>
      <c r="BP188" s="345">
        <v>36867</v>
      </c>
      <c r="BQ188" s="317">
        <f t="shared" si="63"/>
        <v>6</v>
      </c>
      <c r="BR188" s="347">
        <v>4.1200000000000001E-2</v>
      </c>
      <c r="BS188" s="337">
        <f t="shared" si="88"/>
        <v>11481.967213</v>
      </c>
      <c r="BW188" s="335">
        <f t="shared" si="82"/>
        <v>37098</v>
      </c>
      <c r="BX188" s="345">
        <v>37104</v>
      </c>
      <c r="BY188" s="317">
        <f t="shared" si="68"/>
        <v>6</v>
      </c>
      <c r="BZ188" s="346">
        <v>2.64E-2</v>
      </c>
      <c r="CA188" s="337">
        <f t="shared" si="84"/>
        <v>21698.630137</v>
      </c>
      <c r="CB188" s="341">
        <f>SUM(CA184:CA188)</f>
        <v>104849.315068</v>
      </c>
      <c r="CD188" s="335">
        <f t="shared" si="81"/>
        <v>37098</v>
      </c>
      <c r="CE188" s="345">
        <v>37104</v>
      </c>
      <c r="CF188" s="317">
        <f t="shared" si="69"/>
        <v>6</v>
      </c>
      <c r="CG188" s="347">
        <v>2.64E-2</v>
      </c>
      <c r="CH188" s="337">
        <f t="shared" si="86"/>
        <v>21698.630137</v>
      </c>
      <c r="CI188" s="341">
        <f>SUM(CH184:CH188)</f>
        <v>104849.315068</v>
      </c>
      <c r="CL188" s="335">
        <f t="shared" si="75"/>
        <v>37791</v>
      </c>
      <c r="CM188" s="345">
        <v>37798</v>
      </c>
      <c r="CN188" s="317">
        <f t="shared" si="87"/>
        <v>7</v>
      </c>
      <c r="CO188" s="346">
        <v>1.04E-2</v>
      </c>
      <c r="CP188" s="346"/>
      <c r="CQ188" s="346"/>
      <c r="CR188" s="346"/>
      <c r="CS188" s="346"/>
      <c r="CT188" s="346"/>
      <c r="CU188" s="346"/>
      <c r="CV188" s="337">
        <f>ROUND($CR$5*CO188*CN188/365,10)</f>
        <v>16621.336986301401</v>
      </c>
    </row>
    <row r="189" spans="1:101" hidden="1" x14ac:dyDescent="0.25">
      <c r="A189" s="335">
        <f t="shared" si="77"/>
        <v>34926</v>
      </c>
      <c r="B189" s="353">
        <v>34927</v>
      </c>
      <c r="C189" s="317">
        <f t="shared" si="70"/>
        <v>1</v>
      </c>
      <c r="E189" s="339">
        <v>3.6990000000000002E-2</v>
      </c>
      <c r="F189" s="339">
        <f>ROUND(((F188*SUM($C$10:C188))+(E189*C189))/SUM($C$10:C189),5)</f>
        <v>2.92E-2</v>
      </c>
      <c r="G189" s="351">
        <v>95.2</v>
      </c>
      <c r="I189" s="335">
        <f t="shared" si="78"/>
        <v>34683</v>
      </c>
      <c r="J189" s="353">
        <v>34687</v>
      </c>
      <c r="K189" s="317">
        <f t="shared" si="71"/>
        <v>4</v>
      </c>
      <c r="M189" s="339">
        <v>3.7280000000000001E-2</v>
      </c>
      <c r="N189" s="339">
        <f>ROUND(((N188*SUM($K$10:K188))+(M189*K189))/SUM($K$10:K189),5)</f>
        <v>2.6780000000000002E-2</v>
      </c>
      <c r="O189" s="351">
        <v>90.7</v>
      </c>
      <c r="Q189" s="335">
        <f t="shared" si="79"/>
        <v>35433</v>
      </c>
      <c r="R189" s="353">
        <v>35436</v>
      </c>
      <c r="S189" s="317">
        <f t="shared" si="72"/>
        <v>3</v>
      </c>
      <c r="U189" s="339">
        <v>3.5139999999999998E-2</v>
      </c>
      <c r="V189" s="339">
        <f>ROUND(((V188*SUM($S$10:S188))+(U189*S189))/SUM($S$10:S189),5)</f>
        <v>3.363E-2</v>
      </c>
      <c r="W189" s="357">
        <v>83.7</v>
      </c>
      <c r="AC189" s="346"/>
      <c r="AD189" s="339">
        <f>ROUND(((AD188*SUM($AA$10:AA188))+(AC189*AA189))/SUM($AA$10:AA189),5)</f>
        <v>-1.92E-3</v>
      </c>
      <c r="AH189" s="345"/>
      <c r="AS189" s="346"/>
      <c r="BB189" s="352"/>
      <c r="BC189" s="348"/>
      <c r="BE189" s="335">
        <f t="shared" si="73"/>
        <v>34926</v>
      </c>
      <c r="BF189" s="353">
        <v>34933</v>
      </c>
      <c r="BG189" s="317">
        <f t="shared" si="67"/>
        <v>7</v>
      </c>
      <c r="BH189" s="339">
        <v>3.85E-2</v>
      </c>
      <c r="BI189" s="337">
        <f t="shared" si="83"/>
        <v>22150.68</v>
      </c>
      <c r="BK189" s="337"/>
      <c r="BO189" s="335">
        <f t="shared" si="74"/>
        <v>36867</v>
      </c>
      <c r="BP189" s="345">
        <v>36874</v>
      </c>
      <c r="BQ189" s="317">
        <f t="shared" ref="BQ189:BQ252" si="89">BP189-BO189</f>
        <v>7</v>
      </c>
      <c r="BR189" s="347">
        <v>3.6700000000000003E-2</v>
      </c>
      <c r="BS189" s="337">
        <f t="shared" si="88"/>
        <v>11932.513661000001</v>
      </c>
      <c r="BW189" s="335">
        <f t="shared" si="82"/>
        <v>37104</v>
      </c>
      <c r="BX189" s="345">
        <v>37105</v>
      </c>
      <c r="BY189" s="317">
        <f t="shared" si="68"/>
        <v>1</v>
      </c>
      <c r="BZ189" s="347">
        <v>2.64E-2</v>
      </c>
      <c r="CA189" s="337">
        <f t="shared" si="84"/>
        <v>3616.4383560000001</v>
      </c>
      <c r="CD189" s="335">
        <f t="shared" si="81"/>
        <v>37104</v>
      </c>
      <c r="CE189" s="345">
        <v>37105</v>
      </c>
      <c r="CF189" s="317">
        <f t="shared" si="69"/>
        <v>1</v>
      </c>
      <c r="CG189" s="347">
        <v>2.64E-2</v>
      </c>
      <c r="CH189" s="337">
        <f t="shared" si="86"/>
        <v>3616.4383560000001</v>
      </c>
      <c r="CL189" s="335">
        <f t="shared" si="75"/>
        <v>37798</v>
      </c>
      <c r="CM189" s="345">
        <v>37803</v>
      </c>
      <c r="CN189" s="317">
        <f t="shared" si="87"/>
        <v>5</v>
      </c>
      <c r="CO189" s="346">
        <v>9.7999999999999997E-3</v>
      </c>
      <c r="CP189" s="346"/>
      <c r="CQ189" s="346"/>
      <c r="CR189" s="346"/>
      <c r="CS189" s="346"/>
      <c r="CT189" s="346"/>
      <c r="CU189" s="346"/>
      <c r="CV189" s="337">
        <f>ROUND($CR$5*CO189*CN189/365,10)</f>
        <v>11187.438356164401</v>
      </c>
      <c r="CW189" s="341">
        <f>SUM(CV185:CV189)</f>
        <v>72079.067123287794</v>
      </c>
    </row>
    <row r="190" spans="1:101" hidden="1" x14ac:dyDescent="0.25">
      <c r="A190" s="335">
        <f t="shared" si="77"/>
        <v>34927</v>
      </c>
      <c r="B190" s="353">
        <v>34928</v>
      </c>
      <c r="C190" s="317">
        <f t="shared" si="70"/>
        <v>1</v>
      </c>
      <c r="E190" s="339">
        <v>3.653E-2</v>
      </c>
      <c r="F190" s="339">
        <f>ROUND(((F189*SUM($C$10:C189))+(E190*C190))/SUM($C$10:C190),5)</f>
        <v>2.921E-2</v>
      </c>
      <c r="G190" s="351">
        <v>91.7</v>
      </c>
      <c r="I190" s="335">
        <f t="shared" si="78"/>
        <v>34687</v>
      </c>
      <c r="J190" s="353">
        <v>34688</v>
      </c>
      <c r="K190" s="317">
        <f t="shared" si="71"/>
        <v>1</v>
      </c>
      <c r="M190" s="339">
        <v>3.7409999999999999E-2</v>
      </c>
      <c r="N190" s="339">
        <f>ROUND(((N189*SUM($K$10:K189))+(M190*K190))/SUM($K$10:K190),5)</f>
        <v>2.6790000000000001E-2</v>
      </c>
      <c r="O190" s="351">
        <v>86.7</v>
      </c>
      <c r="Q190" s="335">
        <f t="shared" si="79"/>
        <v>35436</v>
      </c>
      <c r="R190" s="353">
        <v>35437</v>
      </c>
      <c r="S190" s="317">
        <f t="shared" si="72"/>
        <v>1</v>
      </c>
      <c r="U190" s="339">
        <v>3.5009999999999999E-2</v>
      </c>
      <c r="V190" s="339">
        <f>ROUND(((V189*SUM($S$10:S189))+(U190*S190))/SUM($S$10:S190),5)</f>
        <v>3.363E-2</v>
      </c>
      <c r="W190" s="357">
        <v>82.5</v>
      </c>
      <c r="AC190" s="346"/>
      <c r="AD190" s="339">
        <f>ROUND(((AD189*SUM($AA$10:AA189))+(AC190*AA190))/SUM($AA$10:AA190),5)</f>
        <v>-1.92E-3</v>
      </c>
      <c r="AH190" s="345"/>
      <c r="AS190" s="346"/>
      <c r="BB190" s="352"/>
      <c r="BC190" s="348"/>
      <c r="BE190" s="335">
        <f t="shared" si="73"/>
        <v>34933</v>
      </c>
      <c r="BF190" s="353">
        <v>34940</v>
      </c>
      <c r="BG190" s="317">
        <f t="shared" si="67"/>
        <v>7</v>
      </c>
      <c r="BH190" s="339">
        <v>3.7400000000000003E-2</v>
      </c>
      <c r="BI190" s="337">
        <f t="shared" si="83"/>
        <v>21517.81</v>
      </c>
      <c r="BK190" s="337"/>
      <c r="BO190" s="335">
        <f t="shared" si="74"/>
        <v>36874</v>
      </c>
      <c r="BP190" s="345">
        <v>36881</v>
      </c>
      <c r="BQ190" s="317">
        <f t="shared" si="89"/>
        <v>7</v>
      </c>
      <c r="BR190" s="347">
        <v>4.2099999999999999E-2</v>
      </c>
      <c r="BS190" s="337">
        <f t="shared" si="88"/>
        <v>13688.251366</v>
      </c>
      <c r="BW190" s="335">
        <f t="shared" si="82"/>
        <v>37105</v>
      </c>
      <c r="BX190" s="345">
        <v>37112</v>
      </c>
      <c r="BY190" s="317">
        <f t="shared" si="68"/>
        <v>7</v>
      </c>
      <c r="BZ190" s="347">
        <v>2.4199999999999999E-2</v>
      </c>
      <c r="CA190" s="337">
        <f t="shared" si="84"/>
        <v>23205.479452</v>
      </c>
      <c r="CD190" s="335">
        <f t="shared" si="81"/>
        <v>37105</v>
      </c>
      <c r="CE190" s="345">
        <v>37112</v>
      </c>
      <c r="CF190" s="317">
        <f t="shared" si="69"/>
        <v>7</v>
      </c>
      <c r="CG190" s="347">
        <v>2.4199999999999999E-2</v>
      </c>
      <c r="CH190" s="337">
        <f t="shared" si="86"/>
        <v>23205.479452</v>
      </c>
      <c r="CL190" s="335">
        <f t="shared" si="75"/>
        <v>37803</v>
      </c>
      <c r="CM190" s="345">
        <v>37805</v>
      </c>
      <c r="CN190" s="317">
        <f t="shared" si="87"/>
        <v>2</v>
      </c>
      <c r="CO190" s="346">
        <v>9.7999999999999997E-3</v>
      </c>
      <c r="CP190" s="346"/>
      <c r="CQ190" s="346"/>
      <c r="CR190" s="346"/>
      <c r="CS190" s="346"/>
      <c r="CT190" s="346"/>
      <c r="CU190" s="346"/>
      <c r="CV190" s="337">
        <f t="shared" ref="CV190:CV221" si="90">ROUND($CR$5*CO190*CN190/365,2)</f>
        <v>4474.9799999999996</v>
      </c>
    </row>
    <row r="191" spans="1:101" hidden="1" x14ac:dyDescent="0.25">
      <c r="A191" s="335">
        <f t="shared" si="77"/>
        <v>34928</v>
      </c>
      <c r="B191" s="353">
        <v>34933</v>
      </c>
      <c r="C191" s="317">
        <f t="shared" si="70"/>
        <v>5</v>
      </c>
      <c r="E191" s="339">
        <v>3.6429999999999997E-2</v>
      </c>
      <c r="F191" s="339">
        <f>ROUND(((F190*SUM($C$10:C190))+(E191*C191))/SUM($C$10:C191),5)</f>
        <v>2.9239999999999999E-2</v>
      </c>
      <c r="G191" s="351">
        <v>92</v>
      </c>
      <c r="I191" s="335">
        <f t="shared" si="78"/>
        <v>34688</v>
      </c>
      <c r="J191" s="353">
        <v>34689</v>
      </c>
      <c r="K191" s="317">
        <f t="shared" si="71"/>
        <v>1</v>
      </c>
      <c r="M191" s="339">
        <v>3.7409999999999999E-2</v>
      </c>
      <c r="N191" s="339">
        <f>ROUND(((N190*SUM($K$10:K190))+(M191*K191))/SUM($K$10:K191),5)</f>
        <v>2.6800000000000001E-2</v>
      </c>
      <c r="O191" s="351">
        <v>86.7</v>
      </c>
      <c r="Q191" s="335">
        <f t="shared" si="79"/>
        <v>35437</v>
      </c>
      <c r="R191" s="353">
        <v>35438</v>
      </c>
      <c r="S191" s="317">
        <f t="shared" si="72"/>
        <v>1</v>
      </c>
      <c r="U191" s="339">
        <v>3.4729999999999997E-2</v>
      </c>
      <c r="V191" s="339">
        <f>ROUND(((V190*SUM($S$10:S190))+(U191*S191))/SUM($S$10:S191),5)</f>
        <v>3.363E-2</v>
      </c>
      <c r="W191" s="357">
        <v>72.8</v>
      </c>
      <c r="AC191" s="346"/>
      <c r="AD191" s="339">
        <f>ROUND(((AD190*SUM($AA$10:AA190))+(AC191*AA191))/SUM($AA$10:AA191),5)</f>
        <v>-1.92E-3</v>
      </c>
      <c r="AH191" s="345"/>
      <c r="AS191" s="346"/>
      <c r="BB191" s="352"/>
      <c r="BC191" s="348"/>
      <c r="BE191" s="335">
        <f t="shared" si="73"/>
        <v>34940</v>
      </c>
      <c r="BF191" s="353">
        <v>34943</v>
      </c>
      <c r="BG191" s="317">
        <f t="shared" si="67"/>
        <v>3</v>
      </c>
      <c r="BH191" s="339">
        <v>3.61E-2</v>
      </c>
      <c r="BI191" s="337">
        <f t="shared" si="83"/>
        <v>8901.3700000000008</v>
      </c>
      <c r="BJ191" s="341">
        <f>SUM(BI187:BI191)</f>
        <v>95490.41</v>
      </c>
      <c r="BK191" s="337">
        <v>93124.62</v>
      </c>
      <c r="BL191" s="341">
        <f>BJ191-BK191</f>
        <v>2365.7900000000081</v>
      </c>
      <c r="BM191" s="341">
        <f>BM186+BL191</f>
        <v>-2049.5100000000057</v>
      </c>
      <c r="BO191" s="335">
        <f t="shared" si="74"/>
        <v>36881</v>
      </c>
      <c r="BP191" s="345">
        <v>36888</v>
      </c>
      <c r="BQ191" s="317">
        <f t="shared" si="89"/>
        <v>7</v>
      </c>
      <c r="BR191" s="347">
        <v>4.6300000000000001E-2</v>
      </c>
      <c r="BS191" s="337">
        <f t="shared" si="88"/>
        <v>15053.825137</v>
      </c>
      <c r="BW191" s="335">
        <f t="shared" si="82"/>
        <v>37112</v>
      </c>
      <c r="BX191" s="345">
        <v>37119</v>
      </c>
      <c r="BY191" s="317">
        <f t="shared" si="68"/>
        <v>7</v>
      </c>
      <c r="BZ191" s="347">
        <v>2.1899999999999999E-2</v>
      </c>
      <c r="CA191" s="337">
        <f t="shared" si="84"/>
        <v>21000</v>
      </c>
      <c r="CD191" s="335">
        <f t="shared" si="81"/>
        <v>37112</v>
      </c>
      <c r="CE191" s="345">
        <v>37119</v>
      </c>
      <c r="CF191" s="317">
        <f t="shared" si="69"/>
        <v>7</v>
      </c>
      <c r="CG191" s="347">
        <v>2.1899999999999999E-2</v>
      </c>
      <c r="CH191" s="337">
        <f t="shared" si="86"/>
        <v>21000</v>
      </c>
      <c r="CL191" s="335">
        <f t="shared" si="75"/>
        <v>37805</v>
      </c>
      <c r="CM191" s="345">
        <v>37812</v>
      </c>
      <c r="CN191" s="317">
        <f t="shared" si="87"/>
        <v>7</v>
      </c>
      <c r="CO191" s="346">
        <v>8.0000000000000002E-3</v>
      </c>
      <c r="CP191" s="346"/>
      <c r="CQ191" s="346"/>
      <c r="CR191" s="346"/>
      <c r="CS191" s="346"/>
      <c r="CT191" s="346"/>
      <c r="CU191" s="346"/>
      <c r="CV191" s="337">
        <f t="shared" si="90"/>
        <v>12785.64</v>
      </c>
    </row>
    <row r="192" spans="1:101" hidden="1" x14ac:dyDescent="0.25">
      <c r="A192" s="335">
        <f t="shared" si="77"/>
        <v>34933</v>
      </c>
      <c r="B192" s="353">
        <v>34934</v>
      </c>
      <c r="C192" s="317">
        <f t="shared" si="70"/>
        <v>1</v>
      </c>
      <c r="E192" s="339">
        <v>3.6240000000000001E-2</v>
      </c>
      <c r="F192" s="339">
        <f>ROUND(((F191*SUM($C$10:C191))+(E192*C192))/SUM($C$10:C192),5)</f>
        <v>2.9250000000000002E-2</v>
      </c>
      <c r="G192" s="351">
        <v>90.4</v>
      </c>
      <c r="I192" s="335">
        <f t="shared" si="78"/>
        <v>34689</v>
      </c>
      <c r="J192" s="353">
        <v>34702</v>
      </c>
      <c r="K192" s="317">
        <f t="shared" si="71"/>
        <v>13</v>
      </c>
      <c r="M192" s="339">
        <v>3.746E-2</v>
      </c>
      <c r="N192" s="339">
        <f>ROUND(((N191*SUM($K$10:K191))+(M192*K192))/SUM($K$10:K192),5)</f>
        <v>2.6970000000000001E-2</v>
      </c>
      <c r="O192" s="351">
        <v>87.3</v>
      </c>
      <c r="Q192" s="335">
        <f t="shared" si="79"/>
        <v>35438</v>
      </c>
      <c r="R192" s="353">
        <v>35439</v>
      </c>
      <c r="S192" s="317">
        <f t="shared" si="72"/>
        <v>1</v>
      </c>
      <c r="U192" s="339">
        <v>3.4729999999999997E-2</v>
      </c>
      <c r="V192" s="339">
        <f>ROUND(((V191*SUM($S$10:S191))+(U192*S192))/SUM($S$10:S192),5)</f>
        <v>3.363E-2</v>
      </c>
      <c r="W192" s="357">
        <v>72.8</v>
      </c>
      <c r="AC192" s="346"/>
      <c r="AD192" s="339">
        <f>ROUND(((AD191*SUM($AA$10:AA191))+(AC192*AA192))/SUM($AA$10:AA192),5)</f>
        <v>-1.92E-3</v>
      </c>
      <c r="AH192" s="345"/>
      <c r="AS192" s="346"/>
      <c r="BB192" s="352"/>
      <c r="BC192" s="348"/>
      <c r="BE192" s="335">
        <f t="shared" si="73"/>
        <v>34943</v>
      </c>
      <c r="BF192" s="353">
        <v>34947</v>
      </c>
      <c r="BG192" s="317">
        <f t="shared" si="67"/>
        <v>4</v>
      </c>
      <c r="BH192" s="339">
        <v>3.61E-2</v>
      </c>
      <c r="BI192" s="337">
        <f t="shared" si="83"/>
        <v>11868.49</v>
      </c>
      <c r="BK192" s="337"/>
      <c r="BO192" s="335">
        <f t="shared" si="74"/>
        <v>36888</v>
      </c>
      <c r="BP192" s="345">
        <v>36892</v>
      </c>
      <c r="BQ192" s="317">
        <f t="shared" si="89"/>
        <v>4</v>
      </c>
      <c r="BR192" s="347">
        <v>4.8399999999999999E-2</v>
      </c>
      <c r="BS192" s="337">
        <f t="shared" si="88"/>
        <v>8992.3497270000007</v>
      </c>
      <c r="BT192" s="341">
        <f>SUM(BS188:BS192)</f>
        <v>61148.907103999998</v>
      </c>
      <c r="BW192" s="335">
        <f t="shared" si="82"/>
        <v>37119</v>
      </c>
      <c r="BX192" s="345">
        <v>37126</v>
      </c>
      <c r="BY192" s="317">
        <f t="shared" si="68"/>
        <v>7</v>
      </c>
      <c r="BZ192" s="346">
        <v>2.3199999999999998E-2</v>
      </c>
      <c r="CA192" s="337">
        <f t="shared" si="84"/>
        <v>22246.575342</v>
      </c>
      <c r="CD192" s="335">
        <f t="shared" si="81"/>
        <v>37119</v>
      </c>
      <c r="CE192" s="345">
        <v>37126</v>
      </c>
      <c r="CF192" s="317">
        <f t="shared" si="69"/>
        <v>7</v>
      </c>
      <c r="CG192" s="346">
        <v>2.3199999999999998E-2</v>
      </c>
      <c r="CH192" s="337">
        <f t="shared" si="86"/>
        <v>22246.575342</v>
      </c>
      <c r="CL192" s="335">
        <f t="shared" si="75"/>
        <v>37812</v>
      </c>
      <c r="CM192" s="345">
        <v>37819</v>
      </c>
      <c r="CN192" s="317">
        <f t="shared" si="87"/>
        <v>7</v>
      </c>
      <c r="CO192" s="346">
        <v>7.0000000000000001E-3</v>
      </c>
      <c r="CP192" s="346"/>
      <c r="CQ192" s="346"/>
      <c r="CR192" s="346"/>
      <c r="CS192" s="346"/>
      <c r="CT192" s="346"/>
      <c r="CU192" s="346"/>
      <c r="CV192" s="337">
        <f t="shared" si="90"/>
        <v>11187.44</v>
      </c>
    </row>
    <row r="193" spans="1:101" hidden="1" x14ac:dyDescent="0.25">
      <c r="A193" s="335">
        <f t="shared" si="77"/>
        <v>34934</v>
      </c>
      <c r="B193" s="353">
        <v>34974</v>
      </c>
      <c r="C193" s="317">
        <f t="shared" si="70"/>
        <v>40</v>
      </c>
      <c r="E193" s="339">
        <v>3.5929999999999997E-2</v>
      </c>
      <c r="F193" s="339">
        <f>ROUND(((F192*SUM($C$10:C192))+(E193*C193))/SUM($C$10:C193),5)</f>
        <v>2.9489999999999999E-2</v>
      </c>
      <c r="G193" s="351">
        <v>87.6</v>
      </c>
      <c r="I193" s="335">
        <f t="shared" si="78"/>
        <v>34702</v>
      </c>
      <c r="J193" s="353">
        <v>34716</v>
      </c>
      <c r="K193" s="317">
        <f t="shared" si="71"/>
        <v>14</v>
      </c>
      <c r="M193" s="339">
        <v>3.7580000000000002E-2</v>
      </c>
      <c r="N193" s="339">
        <f>ROUND(((N192*SUM($K$10:K192))+(M193*K193))/SUM($K$10:K193),5)</f>
        <v>2.7140000000000001E-2</v>
      </c>
      <c r="O193" s="351">
        <v>88.9</v>
      </c>
      <c r="Q193" s="335">
        <f t="shared" si="79"/>
        <v>35439</v>
      </c>
      <c r="R193" s="353">
        <v>35440</v>
      </c>
      <c r="S193" s="317">
        <f t="shared" si="72"/>
        <v>1</v>
      </c>
      <c r="U193" s="339">
        <v>3.4759999999999999E-2</v>
      </c>
      <c r="V193" s="339">
        <f>ROUND(((V192*SUM($S$10:S192))+(U193*S193))/SUM($S$10:S193),5)</f>
        <v>3.363E-2</v>
      </c>
      <c r="W193" s="357">
        <v>74.8</v>
      </c>
      <c r="AC193" s="346"/>
      <c r="AD193" s="339">
        <f>ROUND(((AD192*SUM($AA$10:AA192))+(AC193*AA193))/SUM($AA$10:AA193),5)</f>
        <v>-1.92E-3</v>
      </c>
      <c r="AH193" s="345"/>
      <c r="AS193" s="346"/>
      <c r="BB193" s="352"/>
      <c r="BC193" s="348"/>
      <c r="BE193" s="335">
        <f t="shared" si="73"/>
        <v>34947</v>
      </c>
      <c r="BF193" s="353">
        <v>34954</v>
      </c>
      <c r="BG193" s="317">
        <f t="shared" si="67"/>
        <v>7</v>
      </c>
      <c r="BH193" s="339">
        <v>3.4200000000000001E-2</v>
      </c>
      <c r="BI193" s="337">
        <f t="shared" si="83"/>
        <v>19676.71</v>
      </c>
      <c r="BK193" s="337"/>
      <c r="BO193" s="335">
        <f t="shared" si="74"/>
        <v>36892</v>
      </c>
      <c r="BP193" s="345">
        <v>36895</v>
      </c>
      <c r="BQ193" s="317">
        <f t="shared" si="89"/>
        <v>3</v>
      </c>
      <c r="BR193" s="347">
        <v>4.8399999999999999E-2</v>
      </c>
      <c r="BS193" s="337">
        <f>ROUND($BS$5*BR193*BQ193/365,6)</f>
        <v>6762.7397259999998</v>
      </c>
      <c r="BW193" s="335">
        <f t="shared" si="82"/>
        <v>37126</v>
      </c>
      <c r="BX193" s="345">
        <v>37133</v>
      </c>
      <c r="BY193" s="317">
        <f t="shared" si="68"/>
        <v>7</v>
      </c>
      <c r="BZ193" s="346">
        <v>2.1000000000000001E-2</v>
      </c>
      <c r="CA193" s="337">
        <f t="shared" si="84"/>
        <v>20136.986301000001</v>
      </c>
      <c r="CD193" s="335">
        <f t="shared" si="81"/>
        <v>37126</v>
      </c>
      <c r="CE193" s="345">
        <v>37133</v>
      </c>
      <c r="CF193" s="317">
        <f t="shared" si="69"/>
        <v>7</v>
      </c>
      <c r="CG193" s="346">
        <v>2.1000000000000001E-2</v>
      </c>
      <c r="CH193" s="337">
        <f t="shared" si="86"/>
        <v>20136.986301000001</v>
      </c>
      <c r="CL193" s="335">
        <f t="shared" si="75"/>
        <v>37819</v>
      </c>
      <c r="CM193" s="345">
        <v>37826</v>
      </c>
      <c r="CN193" s="317">
        <f t="shared" si="87"/>
        <v>7</v>
      </c>
      <c r="CO193" s="346">
        <v>7.9000000000000008E-3</v>
      </c>
      <c r="CP193" s="346"/>
      <c r="CQ193" s="346"/>
      <c r="CR193" s="346"/>
      <c r="CS193" s="346"/>
      <c r="CT193" s="346"/>
      <c r="CU193" s="346"/>
      <c r="CV193" s="337">
        <f t="shared" si="90"/>
        <v>12625.82</v>
      </c>
    </row>
    <row r="194" spans="1:101" hidden="1" x14ac:dyDescent="0.25">
      <c r="A194" s="335">
        <f t="shared" si="77"/>
        <v>34974</v>
      </c>
      <c r="B194" s="353">
        <v>34975</v>
      </c>
      <c r="C194" s="317">
        <f t="shared" si="70"/>
        <v>1</v>
      </c>
      <c r="E194" s="339">
        <v>3.5909999999999997E-2</v>
      </c>
      <c r="F194" s="339">
        <f>ROUND(((F193*SUM($C$10:C193))+(E194*C194))/SUM($C$10:C194),5)</f>
        <v>2.9499999999999998E-2</v>
      </c>
      <c r="G194" s="351">
        <v>89.8</v>
      </c>
      <c r="I194" s="335">
        <f t="shared" si="78"/>
        <v>34716</v>
      </c>
      <c r="J194" s="353">
        <v>34717</v>
      </c>
      <c r="K194" s="317">
        <f t="shared" si="71"/>
        <v>1</v>
      </c>
      <c r="M194" s="339">
        <v>3.7810000000000003E-2</v>
      </c>
      <c r="N194" s="339">
        <f>ROUND(((N193*SUM($K$10:K193))+(M194*K194))/SUM($K$10:K194),5)</f>
        <v>2.7150000000000001E-2</v>
      </c>
      <c r="O194" s="351">
        <v>71.400000000000006</v>
      </c>
      <c r="Q194" s="335">
        <f t="shared" si="79"/>
        <v>35440</v>
      </c>
      <c r="R194" s="353">
        <v>35446</v>
      </c>
      <c r="S194" s="317">
        <f t="shared" si="72"/>
        <v>6</v>
      </c>
      <c r="U194" s="339">
        <v>3.4470000000000001E-2</v>
      </c>
      <c r="V194" s="339">
        <f>ROUND(((V193*SUM($S$10:S193))+(U194*S194))/SUM($S$10:S194),5)</f>
        <v>3.363E-2</v>
      </c>
      <c r="W194" s="357">
        <v>69.8</v>
      </c>
      <c r="AC194" s="346"/>
      <c r="AD194" s="339">
        <f>ROUND(((AD193*SUM($AA$10:AA193))+(AC194*AA194))/SUM($AA$10:AA194),5)</f>
        <v>-1.92E-3</v>
      </c>
      <c r="AH194" s="345"/>
      <c r="AS194" s="346"/>
      <c r="BB194" s="352"/>
      <c r="BC194" s="348"/>
      <c r="BE194" s="335">
        <f t="shared" si="73"/>
        <v>34954</v>
      </c>
      <c r="BF194" s="353">
        <v>34961</v>
      </c>
      <c r="BG194" s="317">
        <f t="shared" si="67"/>
        <v>7</v>
      </c>
      <c r="BH194" s="339">
        <v>3.85E-2</v>
      </c>
      <c r="BI194" s="337">
        <f t="shared" si="83"/>
        <v>22150.68</v>
      </c>
      <c r="BK194" s="337"/>
      <c r="BO194" s="335">
        <f t="shared" si="74"/>
        <v>36895</v>
      </c>
      <c r="BP194" s="345">
        <v>36902</v>
      </c>
      <c r="BQ194" s="317">
        <f t="shared" si="89"/>
        <v>7</v>
      </c>
      <c r="BR194" s="347">
        <v>2.98E-2</v>
      </c>
      <c r="BS194" s="337">
        <f t="shared" ref="BS194:BS257" si="91">ROUND($BS$5*BR194*BQ194/365,6)</f>
        <v>9715.6164379999991</v>
      </c>
      <c r="BT194" s="350" t="s">
        <v>35</v>
      </c>
      <c r="BW194" s="335">
        <f t="shared" si="82"/>
        <v>37133</v>
      </c>
      <c r="BX194" s="345">
        <v>37135</v>
      </c>
      <c r="BY194" s="317">
        <f t="shared" si="68"/>
        <v>2</v>
      </c>
      <c r="BZ194" s="346">
        <v>2.01E-2</v>
      </c>
      <c r="CA194" s="337">
        <f t="shared" si="84"/>
        <v>5506.8493150000004</v>
      </c>
      <c r="CB194" s="341">
        <f>SUM(CA189:CA194)</f>
        <v>95712.328765999991</v>
      </c>
      <c r="CD194" s="335">
        <f t="shared" si="81"/>
        <v>37133</v>
      </c>
      <c r="CE194" s="345">
        <v>37135</v>
      </c>
      <c r="CF194" s="317">
        <f t="shared" si="69"/>
        <v>2</v>
      </c>
      <c r="CG194" s="346">
        <v>2.01E-2</v>
      </c>
      <c r="CH194" s="337">
        <f t="shared" si="86"/>
        <v>5506.8493150000004</v>
      </c>
      <c r="CI194" s="341">
        <f>SUM(CH189:CH194)</f>
        <v>95712.328765999991</v>
      </c>
      <c r="CL194" s="335">
        <f t="shared" si="75"/>
        <v>37826</v>
      </c>
      <c r="CM194" s="345">
        <v>37833</v>
      </c>
      <c r="CN194" s="317">
        <f t="shared" si="87"/>
        <v>7</v>
      </c>
      <c r="CO194" s="346">
        <v>8.5000000000000006E-3</v>
      </c>
      <c r="CP194" s="346"/>
      <c r="CQ194" s="346"/>
      <c r="CR194" s="346"/>
      <c r="CS194" s="346"/>
      <c r="CT194" s="346"/>
      <c r="CU194" s="346"/>
      <c r="CV194" s="337">
        <f t="shared" si="90"/>
        <v>13584.75</v>
      </c>
    </row>
    <row r="195" spans="1:101" hidden="1" x14ac:dyDescent="0.25">
      <c r="A195" s="335">
        <f t="shared" si="77"/>
        <v>34975</v>
      </c>
      <c r="B195" s="353">
        <v>34983</v>
      </c>
      <c r="C195" s="317">
        <f t="shared" si="70"/>
        <v>8</v>
      </c>
      <c r="E195" s="339">
        <v>3.6650000000000002E-2</v>
      </c>
      <c r="F195" s="339">
        <f>ROUND(((F194*SUM($C$10:C194))+(E195*C195))/SUM($C$10:C195),5)</f>
        <v>2.955E-2</v>
      </c>
      <c r="G195" s="351">
        <v>88.4</v>
      </c>
      <c r="I195" s="335">
        <f t="shared" si="78"/>
        <v>34717</v>
      </c>
      <c r="J195" s="353">
        <v>34718</v>
      </c>
      <c r="K195" s="317">
        <f t="shared" si="71"/>
        <v>1</v>
      </c>
      <c r="M195" s="339">
        <v>3.8339999999999999E-2</v>
      </c>
      <c r="N195" s="339">
        <f>ROUND(((N194*SUM($K$10:K194))+(M195*K195))/SUM($K$10:K195),5)</f>
        <v>2.716E-2</v>
      </c>
      <c r="O195" s="351">
        <v>73.099999999999994</v>
      </c>
      <c r="Q195" s="335">
        <f t="shared" si="79"/>
        <v>35446</v>
      </c>
      <c r="R195" s="353">
        <v>35451</v>
      </c>
      <c r="S195" s="317">
        <f t="shared" si="72"/>
        <v>5</v>
      </c>
      <c r="U195" s="339">
        <v>3.449E-2</v>
      </c>
      <c r="V195" s="339">
        <f>ROUND(((V194*SUM($S$10:S194))+(U195*S195))/SUM($S$10:S195),5)</f>
        <v>3.363E-2</v>
      </c>
      <c r="W195" s="357">
        <v>72.7</v>
      </c>
      <c r="AC195" s="346"/>
      <c r="AD195" s="339">
        <f>ROUND(((AD194*SUM($AA$10:AA194))+(AC195*AA195))/SUM($AA$10:AA195),5)</f>
        <v>-1.92E-3</v>
      </c>
      <c r="AH195" s="345"/>
      <c r="AS195" s="346"/>
      <c r="BB195" s="352"/>
      <c r="BC195" s="348"/>
      <c r="BE195" s="335">
        <f t="shared" si="73"/>
        <v>34961</v>
      </c>
      <c r="BF195" s="353">
        <v>34968</v>
      </c>
      <c r="BG195" s="317">
        <f t="shared" si="67"/>
        <v>7</v>
      </c>
      <c r="BH195" s="339">
        <v>0.04</v>
      </c>
      <c r="BI195" s="337">
        <f t="shared" si="83"/>
        <v>23013.7</v>
      </c>
      <c r="BK195" s="337"/>
      <c r="BO195" s="335">
        <f t="shared" si="74"/>
        <v>36902</v>
      </c>
      <c r="BP195" s="345">
        <v>36909</v>
      </c>
      <c r="BQ195" s="317">
        <f t="shared" si="89"/>
        <v>7</v>
      </c>
      <c r="BR195" s="347">
        <v>1.8100000000000002E-2</v>
      </c>
      <c r="BS195" s="337">
        <f t="shared" si="91"/>
        <v>5901.0958899999996</v>
      </c>
      <c r="BW195" s="335">
        <f t="shared" si="82"/>
        <v>37135</v>
      </c>
      <c r="BX195" s="345">
        <v>37140</v>
      </c>
      <c r="BY195" s="317">
        <f t="shared" si="68"/>
        <v>5</v>
      </c>
      <c r="BZ195" s="346">
        <v>2.01E-2</v>
      </c>
      <c r="CA195" s="337">
        <f t="shared" si="84"/>
        <v>13767.123288000001</v>
      </c>
      <c r="CB195" s="341" t="s">
        <v>35</v>
      </c>
      <c r="CD195" s="335">
        <f t="shared" si="81"/>
        <v>37135</v>
      </c>
      <c r="CE195" s="345">
        <v>37140</v>
      </c>
      <c r="CF195" s="317">
        <f t="shared" si="69"/>
        <v>5</v>
      </c>
      <c r="CG195" s="347">
        <v>2.01E-2</v>
      </c>
      <c r="CH195" s="337">
        <f t="shared" si="86"/>
        <v>13767.123288000001</v>
      </c>
      <c r="CL195" s="335">
        <f t="shared" si="75"/>
        <v>37833</v>
      </c>
      <c r="CM195" s="345">
        <v>37834</v>
      </c>
      <c r="CN195" s="317">
        <f t="shared" si="87"/>
        <v>1</v>
      </c>
      <c r="CO195" s="346">
        <v>8.5000000000000006E-3</v>
      </c>
      <c r="CP195" s="346"/>
      <c r="CQ195" s="346"/>
      <c r="CR195" s="346"/>
      <c r="CS195" s="346"/>
      <c r="CT195" s="346"/>
      <c r="CU195" s="346"/>
      <c r="CV195" s="337">
        <f t="shared" si="90"/>
        <v>1940.68</v>
      </c>
      <c r="CW195" s="341">
        <f>SUM(CV190:CV195)</f>
        <v>56599.31</v>
      </c>
    </row>
    <row r="196" spans="1:101" hidden="1" x14ac:dyDescent="0.25">
      <c r="A196" s="335">
        <f t="shared" si="77"/>
        <v>34983</v>
      </c>
      <c r="B196" s="353">
        <v>34990</v>
      </c>
      <c r="C196" s="317">
        <f t="shared" si="70"/>
        <v>7</v>
      </c>
      <c r="E196" s="339">
        <v>3.6659999999999998E-2</v>
      </c>
      <c r="F196" s="339">
        <f>ROUND(((F195*SUM($C$10:C195))+(E196*C196))/SUM($C$10:C196),5)</f>
        <v>2.9590000000000002E-2</v>
      </c>
      <c r="G196" s="351">
        <v>88.6</v>
      </c>
      <c r="I196" s="335">
        <f t="shared" si="78"/>
        <v>34718</v>
      </c>
      <c r="J196" s="353">
        <v>34722</v>
      </c>
      <c r="K196" s="317">
        <f t="shared" si="71"/>
        <v>4</v>
      </c>
      <c r="M196" s="339">
        <v>3.8539999999999998E-2</v>
      </c>
      <c r="N196" s="339">
        <f>ROUND(((N195*SUM($K$10:K195))+(M196*K196))/SUM($K$10:K196),5)</f>
        <v>2.7210000000000002E-2</v>
      </c>
      <c r="O196" s="351">
        <v>72.099999999999994</v>
      </c>
      <c r="Q196" s="335">
        <f t="shared" si="79"/>
        <v>35451</v>
      </c>
      <c r="R196" s="353">
        <v>35452</v>
      </c>
      <c r="S196" s="317">
        <f t="shared" si="72"/>
        <v>1</v>
      </c>
      <c r="U196" s="339">
        <v>3.449E-2</v>
      </c>
      <c r="V196" s="339">
        <f>ROUND(((V195*SUM($S$10:S195))+(U196*S196))/SUM($S$10:S196),5)</f>
        <v>3.363E-2</v>
      </c>
      <c r="W196" s="357">
        <v>73.5</v>
      </c>
      <c r="AC196" s="346"/>
      <c r="AD196" s="339">
        <f>ROUND(((AD195*SUM($AA$10:AA195))+(AC196*AA196))/SUM($AA$10:AA196),5)</f>
        <v>-1.92E-3</v>
      </c>
      <c r="AH196" s="345"/>
      <c r="AS196" s="346"/>
      <c r="BB196" s="352"/>
      <c r="BC196" s="348"/>
      <c r="BE196" s="335">
        <f t="shared" si="73"/>
        <v>34968</v>
      </c>
      <c r="BF196" s="353">
        <v>34973</v>
      </c>
      <c r="BG196" s="317">
        <f t="shared" si="67"/>
        <v>5</v>
      </c>
      <c r="BH196" s="339">
        <v>4.3500000000000004E-2</v>
      </c>
      <c r="BI196" s="337">
        <f t="shared" si="83"/>
        <v>17876.71</v>
      </c>
      <c r="BJ196" s="341">
        <f>SUM(BI192:BI196)</f>
        <v>94586.290000000008</v>
      </c>
      <c r="BK196" s="337">
        <v>89339.82</v>
      </c>
      <c r="BL196" s="341">
        <f>BJ196-BK196</f>
        <v>5246.4700000000012</v>
      </c>
      <c r="BM196" s="341">
        <f>BM191+BL196</f>
        <v>3196.9599999999955</v>
      </c>
      <c r="BO196" s="335">
        <f t="shared" si="74"/>
        <v>36909</v>
      </c>
      <c r="BP196" s="345">
        <v>36916</v>
      </c>
      <c r="BQ196" s="317">
        <f t="shared" si="89"/>
        <v>7</v>
      </c>
      <c r="BR196" s="347">
        <v>1.8599999999999998E-2</v>
      </c>
      <c r="BS196" s="337">
        <f t="shared" si="91"/>
        <v>6064.1095889999997</v>
      </c>
      <c r="BW196" s="335">
        <f t="shared" si="82"/>
        <v>37140</v>
      </c>
      <c r="BX196" s="345">
        <v>37144</v>
      </c>
      <c r="BY196" s="317">
        <f t="shared" si="68"/>
        <v>4</v>
      </c>
      <c r="BZ196" s="346">
        <v>2.1499999999999998E-2</v>
      </c>
      <c r="CA196" s="337">
        <f t="shared" si="84"/>
        <v>11780.821918</v>
      </c>
      <c r="CB196" s="341">
        <f>SUM(CA195:CA196)</f>
        <v>25547.945206</v>
      </c>
      <c r="CD196" s="335">
        <f t="shared" si="81"/>
        <v>37140</v>
      </c>
      <c r="CE196" s="345">
        <v>37145</v>
      </c>
      <c r="CF196" s="317">
        <f t="shared" si="69"/>
        <v>5</v>
      </c>
      <c r="CG196" s="347">
        <v>2.1499999999999998E-2</v>
      </c>
      <c r="CH196" s="337">
        <f t="shared" si="86"/>
        <v>14726.027397</v>
      </c>
      <c r="CI196" s="341">
        <f>SUM(CH195:CH196)</f>
        <v>28493.150685000001</v>
      </c>
      <c r="CL196" s="335">
        <f t="shared" si="75"/>
        <v>37834</v>
      </c>
      <c r="CM196" s="345">
        <v>37840</v>
      </c>
      <c r="CN196" s="317">
        <f t="shared" si="87"/>
        <v>6</v>
      </c>
      <c r="CO196" s="346">
        <v>8.5000000000000006E-3</v>
      </c>
      <c r="CP196" s="346"/>
      <c r="CQ196" s="346"/>
      <c r="CR196" s="346"/>
      <c r="CS196" s="346"/>
      <c r="CT196" s="346"/>
      <c r="CU196" s="346"/>
      <c r="CV196" s="337">
        <f t="shared" si="90"/>
        <v>11644.07</v>
      </c>
    </row>
    <row r="197" spans="1:101" hidden="1" x14ac:dyDescent="0.25">
      <c r="A197" s="335">
        <f t="shared" si="77"/>
        <v>34990</v>
      </c>
      <c r="B197" s="353">
        <v>34991</v>
      </c>
      <c r="C197" s="317">
        <f t="shared" si="70"/>
        <v>1</v>
      </c>
      <c r="E197" s="339">
        <v>3.6740000000000002E-2</v>
      </c>
      <c r="F197" s="339">
        <f>ROUND(((F196*SUM($C$10:C196))+(E197*C197))/SUM($C$10:C197),5)</f>
        <v>2.9600000000000001E-2</v>
      </c>
      <c r="G197" s="351">
        <v>91.2</v>
      </c>
      <c r="I197" s="335">
        <f t="shared" si="78"/>
        <v>34722</v>
      </c>
      <c r="J197" s="353">
        <v>34739</v>
      </c>
      <c r="K197" s="317">
        <f t="shared" si="71"/>
        <v>17</v>
      </c>
      <c r="M197" s="339">
        <v>3.8589999999999999E-2</v>
      </c>
      <c r="N197" s="339">
        <f>ROUND(((N196*SUM($K$10:K196))+(M197*K197))/SUM($K$10:K197),5)</f>
        <v>2.743E-2</v>
      </c>
      <c r="O197" s="351">
        <v>72.099999999999994</v>
      </c>
      <c r="Q197" s="335">
        <f t="shared" si="79"/>
        <v>35452</v>
      </c>
      <c r="R197" s="353">
        <v>35454</v>
      </c>
      <c r="S197" s="317">
        <f t="shared" si="72"/>
        <v>2</v>
      </c>
      <c r="U197" s="339">
        <v>3.4479999999999997E-2</v>
      </c>
      <c r="V197" s="339">
        <f>ROUND(((V196*SUM($S$10:S196))+(U197*S197))/SUM($S$10:S197),5)</f>
        <v>3.363E-2</v>
      </c>
      <c r="W197" s="357">
        <v>73.7</v>
      </c>
      <c r="AD197" s="339">
        <f>ROUND(((AD196*SUM($AA$10:AA196))+(AC197*AA197))/SUM($AA$10:AA197),5)</f>
        <v>-1.92E-3</v>
      </c>
      <c r="AH197" s="345"/>
      <c r="AS197" s="346"/>
      <c r="BB197" s="352"/>
      <c r="BC197" s="348"/>
      <c r="BE197" s="335">
        <f t="shared" si="73"/>
        <v>34973</v>
      </c>
      <c r="BF197" s="353">
        <v>34975</v>
      </c>
      <c r="BG197" s="317">
        <f t="shared" si="67"/>
        <v>2</v>
      </c>
      <c r="BH197" s="339">
        <v>4.3500000000000004E-2</v>
      </c>
      <c r="BI197" s="337">
        <f t="shared" si="83"/>
        <v>7150.68</v>
      </c>
      <c r="BK197" s="337"/>
      <c r="BO197" s="335">
        <f t="shared" si="74"/>
        <v>36916</v>
      </c>
      <c r="BP197" s="345">
        <v>36923</v>
      </c>
      <c r="BQ197" s="317">
        <f t="shared" si="89"/>
        <v>7</v>
      </c>
      <c r="BR197" s="347">
        <v>4.48E-2</v>
      </c>
      <c r="BS197" s="337">
        <f t="shared" si="91"/>
        <v>14606.027397</v>
      </c>
      <c r="BT197" s="341">
        <f>SUM(BS193:BS197)</f>
        <v>43049.589039999999</v>
      </c>
      <c r="BW197" s="335" t="s">
        <v>346</v>
      </c>
      <c r="BX197" s="345"/>
      <c r="BY197" s="317" t="s">
        <v>35</v>
      </c>
      <c r="BZ197" s="346"/>
      <c r="CA197" s="337" t="s">
        <v>35</v>
      </c>
      <c r="CD197" s="358" t="s">
        <v>347</v>
      </c>
      <c r="CE197" s="345"/>
      <c r="CG197" s="347"/>
      <c r="CH197" s="337"/>
      <c r="CL197" s="335">
        <f t="shared" si="75"/>
        <v>37840</v>
      </c>
      <c r="CM197" s="345">
        <v>37847</v>
      </c>
      <c r="CN197" s="317">
        <f t="shared" si="87"/>
        <v>7</v>
      </c>
      <c r="CO197" s="346">
        <v>7.3000000000000001E-3</v>
      </c>
      <c r="CP197" s="346"/>
      <c r="CQ197" s="346"/>
      <c r="CR197" s="346"/>
      <c r="CS197" s="346"/>
      <c r="CT197" s="346"/>
      <c r="CU197" s="346"/>
      <c r="CV197" s="337">
        <f t="shared" si="90"/>
        <v>11666.9</v>
      </c>
    </row>
    <row r="198" spans="1:101" hidden="1" x14ac:dyDescent="0.25">
      <c r="A198" s="335">
        <f t="shared" si="77"/>
        <v>34991</v>
      </c>
      <c r="B198" s="353">
        <v>34995</v>
      </c>
      <c r="C198" s="317">
        <f t="shared" si="70"/>
        <v>4</v>
      </c>
      <c r="E198" s="339">
        <v>3.6799999999999999E-2</v>
      </c>
      <c r="F198" s="339">
        <f>ROUND(((F197*SUM($C$10:C197))+(E198*C198))/SUM($C$10:C198),5)</f>
        <v>2.963E-2</v>
      </c>
      <c r="G198" s="351">
        <v>92.6</v>
      </c>
      <c r="I198" s="335">
        <f t="shared" si="78"/>
        <v>34739</v>
      </c>
      <c r="J198" s="353">
        <v>34743</v>
      </c>
      <c r="K198" s="317">
        <f t="shared" si="71"/>
        <v>4</v>
      </c>
      <c r="M198" s="339">
        <v>3.8650000000000004E-2</v>
      </c>
      <c r="N198" s="339">
        <f>ROUND(((N197*SUM($K$10:K197))+(M198*K198))/SUM($K$10:K198),5)</f>
        <v>2.7480000000000001E-2</v>
      </c>
      <c r="O198" s="351">
        <v>72.2</v>
      </c>
      <c r="Q198" s="335">
        <f t="shared" si="79"/>
        <v>35454</v>
      </c>
      <c r="R198" s="353">
        <v>35466</v>
      </c>
      <c r="S198" s="317">
        <f t="shared" si="72"/>
        <v>12</v>
      </c>
      <c r="U198" s="339">
        <v>3.4529999999999998E-2</v>
      </c>
      <c r="V198" s="339">
        <f>ROUND(((V197*SUM($S$10:S197))+(U198*S198))/SUM($S$10:S198),5)</f>
        <v>3.3640000000000003E-2</v>
      </c>
      <c r="W198" s="357">
        <v>82.4</v>
      </c>
      <c r="AD198" s="339">
        <f>ROUND(((AD197*SUM($AA$10:AA197))+(AC198*AA198))/SUM($AA$10:AA198),5)</f>
        <v>-1.92E-3</v>
      </c>
      <c r="AH198" s="345"/>
      <c r="AS198" s="346"/>
      <c r="BB198" s="352"/>
      <c r="BC198" s="348"/>
      <c r="BE198" s="335">
        <f t="shared" si="73"/>
        <v>34975</v>
      </c>
      <c r="BF198" s="353">
        <v>34982</v>
      </c>
      <c r="BG198" s="317">
        <f t="shared" si="67"/>
        <v>7</v>
      </c>
      <c r="BH198" s="339">
        <v>3.6000000000000004E-2</v>
      </c>
      <c r="BI198" s="337">
        <f t="shared" si="83"/>
        <v>20712.330000000002</v>
      </c>
      <c r="BK198" s="337"/>
      <c r="BO198" s="335">
        <f t="shared" si="74"/>
        <v>36923</v>
      </c>
      <c r="BP198" s="345">
        <v>36925</v>
      </c>
      <c r="BQ198" s="317">
        <f t="shared" si="89"/>
        <v>2</v>
      </c>
      <c r="BR198" s="347">
        <v>3.9699999999999999E-2</v>
      </c>
      <c r="BS198" s="337">
        <f t="shared" si="91"/>
        <v>3698.0821919999998</v>
      </c>
      <c r="BT198" s="341" t="s">
        <v>35</v>
      </c>
      <c r="BW198" s="359" t="s">
        <v>35</v>
      </c>
      <c r="BX198" s="345"/>
      <c r="BY198" s="317"/>
      <c r="BZ198" s="346"/>
      <c r="CA198" s="337"/>
      <c r="CD198" s="359" t="s">
        <v>35</v>
      </c>
      <c r="CE198" s="345"/>
      <c r="CG198" s="347"/>
      <c r="CH198" s="337"/>
      <c r="CL198" s="335">
        <f t="shared" si="75"/>
        <v>37847</v>
      </c>
      <c r="CM198" s="345">
        <v>37854</v>
      </c>
      <c r="CN198" s="317">
        <f t="shared" si="87"/>
        <v>7</v>
      </c>
      <c r="CO198" s="346">
        <v>8.2000000000000007E-3</v>
      </c>
      <c r="CP198" s="346"/>
      <c r="CQ198" s="346"/>
      <c r="CR198" s="346"/>
      <c r="CS198" s="346"/>
      <c r="CT198" s="346"/>
      <c r="CU198" s="346"/>
      <c r="CV198" s="337">
        <f t="shared" si="90"/>
        <v>13105.28</v>
      </c>
    </row>
    <row r="199" spans="1:101" hidden="1" x14ac:dyDescent="0.25">
      <c r="A199" s="335">
        <f t="shared" si="77"/>
        <v>34995</v>
      </c>
      <c r="B199" s="353">
        <v>34997</v>
      </c>
      <c r="C199" s="317">
        <f t="shared" si="70"/>
        <v>2</v>
      </c>
      <c r="E199" s="339">
        <v>3.7289999999999997E-2</v>
      </c>
      <c r="F199" s="339">
        <f>ROUND(((F198*SUM($C$10:C198))+(E199*C199))/SUM($C$10:C199),5)</f>
        <v>2.964E-2</v>
      </c>
      <c r="G199" s="351">
        <v>93.5</v>
      </c>
      <c r="I199" s="335">
        <f t="shared" si="78"/>
        <v>34743</v>
      </c>
      <c r="J199" s="353">
        <v>34745</v>
      </c>
      <c r="K199" s="317">
        <f t="shared" si="71"/>
        <v>2</v>
      </c>
      <c r="M199" s="339">
        <v>3.9949999999999999E-2</v>
      </c>
      <c r="N199" s="339">
        <f>ROUND(((N198*SUM($K$10:K198))+(M199*K199))/SUM($K$10:K199),5)</f>
        <v>2.751E-2</v>
      </c>
      <c r="O199" s="351">
        <v>81.2</v>
      </c>
      <c r="Q199" s="335">
        <f t="shared" si="79"/>
        <v>35466</v>
      </c>
      <c r="R199" s="353">
        <v>35468</v>
      </c>
      <c r="S199" s="317">
        <f t="shared" si="72"/>
        <v>2</v>
      </c>
      <c r="U199" s="339">
        <v>3.4540000000000001E-2</v>
      </c>
      <c r="V199" s="339">
        <f>ROUND(((V198*SUM($S$10:S198))+(U199*S199))/SUM($S$10:S199),5)</f>
        <v>3.3640000000000003E-2</v>
      </c>
      <c r="W199" s="357">
        <v>82.7</v>
      </c>
      <c r="AD199" s="339">
        <f>ROUND(((AD198*SUM($AA$10:AA198))+(AC199*AA199))/SUM($AA$10:AA199),5)</f>
        <v>-1.92E-3</v>
      </c>
      <c r="AH199" s="345"/>
      <c r="AS199" s="346"/>
      <c r="BB199" s="352"/>
      <c r="BC199" s="348"/>
      <c r="BE199" s="335">
        <f t="shared" si="73"/>
        <v>34982</v>
      </c>
      <c r="BF199" s="353">
        <v>34989</v>
      </c>
      <c r="BG199" s="317">
        <f t="shared" si="67"/>
        <v>7</v>
      </c>
      <c r="BH199" s="339">
        <v>3.6500000000000005E-2</v>
      </c>
      <c r="BI199" s="337">
        <f t="shared" si="83"/>
        <v>21000</v>
      </c>
      <c r="BK199" s="337"/>
      <c r="BO199" s="335">
        <f t="shared" si="74"/>
        <v>36925</v>
      </c>
      <c r="BP199" s="345">
        <v>36930</v>
      </c>
      <c r="BQ199" s="317">
        <f t="shared" si="89"/>
        <v>5</v>
      </c>
      <c r="BR199" s="347">
        <v>3.9699999999999999E-2</v>
      </c>
      <c r="BS199" s="337">
        <f t="shared" si="91"/>
        <v>9245.2054790000002</v>
      </c>
      <c r="BW199" s="335"/>
      <c r="BX199" s="345"/>
      <c r="BY199" s="317"/>
      <c r="BZ199" s="346"/>
      <c r="CA199" s="337"/>
      <c r="CD199" s="335"/>
      <c r="CE199" s="345"/>
      <c r="CH199" s="337"/>
      <c r="CL199" s="335">
        <f t="shared" si="75"/>
        <v>37854</v>
      </c>
      <c r="CM199" s="345">
        <v>37861</v>
      </c>
      <c r="CN199" s="317">
        <f t="shared" si="87"/>
        <v>7</v>
      </c>
      <c r="CO199" s="346">
        <v>8.2000000000000007E-3</v>
      </c>
      <c r="CP199" s="346"/>
      <c r="CQ199" s="346"/>
      <c r="CR199" s="346"/>
      <c r="CS199" s="346"/>
      <c r="CT199" s="346"/>
      <c r="CU199" s="346"/>
      <c r="CV199" s="337">
        <f t="shared" si="90"/>
        <v>13105.28</v>
      </c>
      <c r="CW199" s="341"/>
    </row>
    <row r="200" spans="1:101" hidden="1" x14ac:dyDescent="0.25">
      <c r="A200" s="335">
        <f t="shared" si="77"/>
        <v>34997</v>
      </c>
      <c r="B200" s="353">
        <v>34998</v>
      </c>
      <c r="C200" s="317">
        <f t="shared" si="70"/>
        <v>1</v>
      </c>
      <c r="E200" s="339">
        <v>3.7490000000000002E-2</v>
      </c>
      <c r="F200" s="339">
        <f>ROUND(((F199*SUM($C$10:C199))+(E200*C200))/SUM($C$10:C200),5)</f>
        <v>2.9649999999999999E-2</v>
      </c>
      <c r="G200" s="351">
        <v>105.3</v>
      </c>
      <c r="I200" s="335">
        <f t="shared" si="78"/>
        <v>34745</v>
      </c>
      <c r="J200" s="353">
        <v>34747</v>
      </c>
      <c r="K200" s="317">
        <f t="shared" si="71"/>
        <v>2</v>
      </c>
      <c r="M200" s="339">
        <v>4.0390000000000002E-2</v>
      </c>
      <c r="N200" s="339">
        <f>ROUND(((N199*SUM($K$10:K199))+(M200*K200))/SUM($K$10:K200),5)</f>
        <v>2.7539999999999999E-2</v>
      </c>
      <c r="O200" s="351">
        <v>81.2</v>
      </c>
      <c r="Q200" s="335">
        <f t="shared" si="79"/>
        <v>35468</v>
      </c>
      <c r="R200" s="353">
        <v>35472</v>
      </c>
      <c r="S200" s="317">
        <f t="shared" si="72"/>
        <v>4</v>
      </c>
      <c r="U200" s="339">
        <v>3.4569999999999997E-2</v>
      </c>
      <c r="V200" s="339">
        <f>ROUND(((V199*SUM($S$10:S199))+(U200*S200))/SUM($S$10:S200),5)</f>
        <v>3.3640000000000003E-2</v>
      </c>
      <c r="W200" s="357">
        <v>86.7</v>
      </c>
      <c r="AD200" s="339">
        <f>ROUND(((AD199*SUM($AA$10:AA199))+(AC200*AA200))/SUM($AA$10:AA200),5)</f>
        <v>-1.92E-3</v>
      </c>
      <c r="AH200" s="345"/>
      <c r="AS200" s="346"/>
      <c r="BB200" s="352"/>
      <c r="BC200" s="348"/>
      <c r="BE200" s="335">
        <f t="shared" si="73"/>
        <v>34989</v>
      </c>
      <c r="BF200" s="353">
        <v>34996</v>
      </c>
      <c r="BG200" s="317">
        <f t="shared" si="67"/>
        <v>7</v>
      </c>
      <c r="BH200" s="339">
        <v>3.8100000000000002E-2</v>
      </c>
      <c r="BI200" s="337">
        <f t="shared" si="83"/>
        <v>21920.55</v>
      </c>
      <c r="BK200" s="337"/>
      <c r="BO200" s="335">
        <f t="shared" si="74"/>
        <v>36930</v>
      </c>
      <c r="BP200" s="345">
        <v>36937</v>
      </c>
      <c r="BQ200" s="317">
        <f t="shared" si="89"/>
        <v>7</v>
      </c>
      <c r="BR200" s="347">
        <v>3.1800000000000002E-2</v>
      </c>
      <c r="BS200" s="337">
        <f t="shared" si="91"/>
        <v>10367.671232999999</v>
      </c>
      <c r="BW200" s="335"/>
      <c r="BX200" s="345"/>
      <c r="BY200" s="317"/>
      <c r="BZ200" s="346"/>
      <c r="CA200" s="337"/>
      <c r="CD200" s="335"/>
      <c r="CE200" s="345"/>
      <c r="CH200" s="337"/>
      <c r="CL200" s="335">
        <f t="shared" si="75"/>
        <v>37861</v>
      </c>
      <c r="CM200" s="345">
        <v>37865</v>
      </c>
      <c r="CN200" s="317">
        <f t="shared" si="87"/>
        <v>4</v>
      </c>
      <c r="CO200" s="346">
        <v>8.3000000000000001E-3</v>
      </c>
      <c r="CP200" s="346"/>
      <c r="CQ200" s="346"/>
      <c r="CR200" s="346"/>
      <c r="CS200" s="346"/>
      <c r="CT200" s="346"/>
      <c r="CU200" s="346"/>
      <c r="CV200" s="337">
        <f t="shared" si="90"/>
        <v>7580.06</v>
      </c>
      <c r="CW200" s="341">
        <f>SUM(CV196:CV200)</f>
        <v>57101.59</v>
      </c>
    </row>
    <row r="201" spans="1:101" hidden="1" x14ac:dyDescent="0.25">
      <c r="A201" s="335">
        <f t="shared" si="77"/>
        <v>34998</v>
      </c>
      <c r="B201" s="353">
        <v>35023</v>
      </c>
      <c r="C201" s="317">
        <f t="shared" si="70"/>
        <v>25</v>
      </c>
      <c r="E201" s="339">
        <v>3.764E-2</v>
      </c>
      <c r="F201" s="339">
        <f>ROUND(((F200*SUM($C$10:C200))+(E201*C201))/SUM($C$10:C201),5)</f>
        <v>2.9819999999999999E-2</v>
      </c>
      <c r="G201" s="351">
        <v>110</v>
      </c>
      <c r="I201" s="335">
        <f t="shared" si="78"/>
        <v>34747</v>
      </c>
      <c r="J201" s="353">
        <v>34752</v>
      </c>
      <c r="K201" s="317">
        <f t="shared" si="71"/>
        <v>5</v>
      </c>
      <c r="M201" s="339">
        <v>4.0430000000000001E-2</v>
      </c>
      <c r="N201" s="339">
        <f>ROUND(((N200*SUM($K$10:K200))+(M201*K201))/SUM($K$10:K201),5)</f>
        <v>2.7609999999999999E-2</v>
      </c>
      <c r="O201" s="351">
        <v>79.3</v>
      </c>
      <c r="Q201" s="335">
        <f t="shared" si="79"/>
        <v>35472</v>
      </c>
      <c r="R201" s="353">
        <v>35474</v>
      </c>
      <c r="S201" s="317">
        <f t="shared" si="72"/>
        <v>2</v>
      </c>
      <c r="U201" s="339">
        <v>3.458E-2</v>
      </c>
      <c r="V201" s="339">
        <f>ROUND(((V200*SUM($S$10:S200))+(U201*S201))/SUM($S$10:S201),5)</f>
        <v>3.3640000000000003E-2</v>
      </c>
      <c r="W201" s="357">
        <v>87.5</v>
      </c>
      <c r="AD201" s="339">
        <f>ROUND(((AD200*SUM($AA$10:AA200))+(AC201*AA201))/SUM($AA$10:AA201),5)</f>
        <v>-1.92E-3</v>
      </c>
      <c r="AH201" s="345"/>
      <c r="AS201" s="346"/>
      <c r="BB201" s="352"/>
      <c r="BC201" s="348"/>
      <c r="BE201" s="335">
        <f t="shared" si="73"/>
        <v>34996</v>
      </c>
      <c r="BF201" s="353">
        <v>35003</v>
      </c>
      <c r="BG201" s="317">
        <f t="shared" ref="BG201:BG264" si="92">BF201-BE201</f>
        <v>7</v>
      </c>
      <c r="BH201" s="339">
        <v>3.95E-2</v>
      </c>
      <c r="BI201" s="337">
        <f t="shared" si="83"/>
        <v>22726.03</v>
      </c>
      <c r="BK201" s="337"/>
      <c r="BO201" s="335">
        <f t="shared" si="74"/>
        <v>36937</v>
      </c>
      <c r="BP201" s="345">
        <v>36944</v>
      </c>
      <c r="BQ201" s="317">
        <f t="shared" si="89"/>
        <v>7</v>
      </c>
      <c r="BR201" s="347">
        <v>3.6600000000000001E-2</v>
      </c>
      <c r="BS201" s="337">
        <f t="shared" si="91"/>
        <v>11932.60274</v>
      </c>
      <c r="BW201" s="335"/>
      <c r="BX201" s="345"/>
      <c r="BY201" s="317"/>
      <c r="BZ201" s="346"/>
      <c r="CA201" s="337"/>
      <c r="CD201" s="335"/>
      <c r="CE201" s="345"/>
      <c r="CH201" s="337"/>
      <c r="CL201" s="335">
        <f t="shared" si="75"/>
        <v>37865</v>
      </c>
      <c r="CM201" s="345">
        <v>37868</v>
      </c>
      <c r="CN201" s="317">
        <f t="shared" si="87"/>
        <v>3</v>
      </c>
      <c r="CO201" s="346">
        <v>8.3000000000000001E-3</v>
      </c>
      <c r="CP201" s="346"/>
      <c r="CQ201" s="346"/>
      <c r="CR201" s="346"/>
      <c r="CS201" s="346"/>
      <c r="CT201" s="346"/>
      <c r="CU201" s="346"/>
      <c r="CV201" s="337">
        <f t="shared" si="90"/>
        <v>5685.05</v>
      </c>
    </row>
    <row r="202" spans="1:101" hidden="1" x14ac:dyDescent="0.25">
      <c r="A202" s="335">
        <f t="shared" si="77"/>
        <v>35023</v>
      </c>
      <c r="B202" s="353">
        <v>35080</v>
      </c>
      <c r="C202" s="317">
        <f t="shared" ref="C202:C265" si="93">B202-A202</f>
        <v>57</v>
      </c>
      <c r="E202" s="339">
        <v>3.7490000000000002E-2</v>
      </c>
      <c r="F202" s="339">
        <f>ROUND(((F201*SUM($C$10:C201))+(E202*C202))/SUM($C$10:C202),5)</f>
        <v>3.0179999999999998E-2</v>
      </c>
      <c r="G202" s="351">
        <v>109.5</v>
      </c>
      <c r="I202" s="335">
        <f t="shared" si="78"/>
        <v>34752</v>
      </c>
      <c r="J202" s="353">
        <v>34757</v>
      </c>
      <c r="K202" s="317">
        <f t="shared" ref="K202:K265" si="94">J202-I202</f>
        <v>5</v>
      </c>
      <c r="M202" s="339">
        <v>4.0620000000000003E-2</v>
      </c>
      <c r="N202" s="339">
        <f>ROUND(((N201*SUM($K$10:K201))+(M202*K202))/SUM($K$10:K202),5)</f>
        <v>2.768E-2</v>
      </c>
      <c r="O202" s="351">
        <v>78.599999999999994</v>
      </c>
      <c r="Q202" s="335">
        <f t="shared" si="79"/>
        <v>35474</v>
      </c>
      <c r="R202" s="353">
        <v>35475</v>
      </c>
      <c r="S202" s="317">
        <f t="shared" ref="S202:S265" si="95">R202-Q202</f>
        <v>1</v>
      </c>
      <c r="U202" s="339">
        <v>3.4790000000000001E-2</v>
      </c>
      <c r="V202" s="339">
        <f>ROUND(((V201*SUM($S$10:S201))+(U202*S202))/SUM($S$10:S202),5)</f>
        <v>3.3640000000000003E-2</v>
      </c>
      <c r="W202" s="357">
        <v>94.5</v>
      </c>
      <c r="AD202" s="339">
        <f>ROUND(((AD201*SUM($AA$10:AA201))+(AC202*AA202))/SUM($AA$10:AA202),5)</f>
        <v>-1.92E-3</v>
      </c>
      <c r="AH202" s="345"/>
      <c r="AS202" s="346"/>
      <c r="BB202" s="352"/>
      <c r="BC202" s="348"/>
      <c r="BE202" s="335">
        <f t="shared" ref="BE202:BE265" si="96">BF201</f>
        <v>35003</v>
      </c>
      <c r="BF202" s="353">
        <v>35004</v>
      </c>
      <c r="BG202" s="317">
        <f t="shared" si="92"/>
        <v>1</v>
      </c>
      <c r="BH202" s="339">
        <v>3.7499999999999999E-2</v>
      </c>
      <c r="BI202" s="337">
        <f t="shared" si="83"/>
        <v>3082.19</v>
      </c>
      <c r="BJ202" s="341">
        <f>SUM(BI197:BI202)</f>
        <v>96591.78</v>
      </c>
      <c r="BK202" s="337">
        <v>94109.8</v>
      </c>
      <c r="BL202" s="341">
        <f>BJ202-BK202</f>
        <v>2481.9799999999959</v>
      </c>
      <c r="BM202" s="341">
        <f>BM196+BL202</f>
        <v>5678.9399999999914</v>
      </c>
      <c r="BO202" s="335">
        <f t="shared" ref="BO202:BO265" si="97">BP201</f>
        <v>36944</v>
      </c>
      <c r="BP202" s="345">
        <v>36951</v>
      </c>
      <c r="BQ202" s="317">
        <f t="shared" si="89"/>
        <v>7</v>
      </c>
      <c r="BR202" s="347">
        <v>3.4700000000000002E-2</v>
      </c>
      <c r="BS202" s="337">
        <f t="shared" si="91"/>
        <v>11313.150685000001</v>
      </c>
      <c r="BT202" s="341">
        <f>SUM(BS198:BS202)</f>
        <v>46556.712329000002</v>
      </c>
      <c r="BW202" s="335"/>
      <c r="BX202" s="345"/>
      <c r="BY202" s="317"/>
      <c r="BZ202" s="346"/>
      <c r="CA202" s="337"/>
      <c r="CD202" s="335"/>
      <c r="CE202" s="345"/>
      <c r="CH202" s="337"/>
      <c r="CL202" s="335">
        <f t="shared" ref="CL202:CL265" si="98">CM201</f>
        <v>37868</v>
      </c>
      <c r="CM202" s="345">
        <v>37875</v>
      </c>
      <c r="CN202" s="317">
        <f t="shared" si="87"/>
        <v>7</v>
      </c>
      <c r="CO202" s="346">
        <v>8.3000000000000001E-3</v>
      </c>
      <c r="CP202" s="346"/>
      <c r="CQ202" s="346"/>
      <c r="CR202" s="346"/>
      <c r="CS202" s="346"/>
      <c r="CT202" s="346"/>
      <c r="CU202" s="346"/>
      <c r="CV202" s="337">
        <f t="shared" si="90"/>
        <v>13265.11</v>
      </c>
    </row>
    <row r="203" spans="1:101" hidden="1" x14ac:dyDescent="0.25">
      <c r="A203" s="335">
        <f t="shared" ref="A203:A266" si="99">B202</f>
        <v>35080</v>
      </c>
      <c r="B203" s="353">
        <v>35087</v>
      </c>
      <c r="C203" s="317">
        <f t="shared" si="93"/>
        <v>7</v>
      </c>
      <c r="E203" s="339">
        <v>3.7379999999999997E-2</v>
      </c>
      <c r="F203" s="339">
        <f>ROUND(((F202*SUM($C$10:C202))+(E203*C203))/SUM($C$10:C203),5)</f>
        <v>3.022E-2</v>
      </c>
      <c r="G203" s="351">
        <v>103</v>
      </c>
      <c r="I203" s="335">
        <f t="shared" ref="I203:I266" si="100">J202</f>
        <v>34757</v>
      </c>
      <c r="J203" s="353">
        <v>34759</v>
      </c>
      <c r="K203" s="317">
        <f t="shared" si="94"/>
        <v>2</v>
      </c>
      <c r="M203" s="339">
        <v>4.0529999999999997E-2</v>
      </c>
      <c r="N203" s="339">
        <f>ROUND(((N202*SUM($K$10:K202))+(M203*K203))/SUM($K$10:K203),5)</f>
        <v>2.7709999999999999E-2</v>
      </c>
      <c r="O203" s="351">
        <v>78.3</v>
      </c>
      <c r="Q203" s="335">
        <f t="shared" ref="Q203:Q266" si="101">R202</f>
        <v>35475</v>
      </c>
      <c r="R203" s="353">
        <v>35482</v>
      </c>
      <c r="S203" s="317">
        <f t="shared" si="95"/>
        <v>7</v>
      </c>
      <c r="U203" s="339">
        <v>3.4729999999999997E-2</v>
      </c>
      <c r="V203" s="339">
        <f>ROUND(((V202*SUM($S$10:S202))+(U203*S203))/SUM($S$10:S203),5)</f>
        <v>3.3649999999999999E-2</v>
      </c>
      <c r="W203" s="357">
        <v>91.7</v>
      </c>
      <c r="AD203" s="339">
        <f>ROUND(((AD202*SUM($AA$10:AA202))+(AC203*AA203))/SUM($AA$10:AA203),5)</f>
        <v>-1.92E-3</v>
      </c>
      <c r="AH203" s="345"/>
      <c r="AS203" s="346"/>
      <c r="BB203" s="352"/>
      <c r="BC203" s="348"/>
      <c r="BE203" s="335">
        <f t="shared" si="96"/>
        <v>35004</v>
      </c>
      <c r="BF203" s="353">
        <v>35010</v>
      </c>
      <c r="BG203" s="317">
        <f t="shared" si="92"/>
        <v>6</v>
      </c>
      <c r="BH203" s="339">
        <v>3.7499999999999999E-2</v>
      </c>
      <c r="BI203" s="337">
        <f t="shared" si="83"/>
        <v>18493.150000000001</v>
      </c>
      <c r="BK203" s="337"/>
      <c r="BO203" s="335">
        <f t="shared" si="97"/>
        <v>36951</v>
      </c>
      <c r="BP203" s="345">
        <v>36958</v>
      </c>
      <c r="BQ203" s="317">
        <f t="shared" si="89"/>
        <v>7</v>
      </c>
      <c r="BR203" s="347">
        <v>3.15E-2</v>
      </c>
      <c r="BS203" s="337">
        <f t="shared" si="91"/>
        <v>10269.863014</v>
      </c>
      <c r="BW203" s="335"/>
      <c r="BX203" s="345"/>
      <c r="BY203" s="317"/>
      <c r="BZ203" s="346"/>
      <c r="CA203" s="337"/>
      <c r="CD203" s="335"/>
      <c r="CE203" s="345"/>
      <c r="CH203" s="337"/>
      <c r="CL203" s="335">
        <f t="shared" si="98"/>
        <v>37875</v>
      </c>
      <c r="CM203" s="345">
        <v>37882</v>
      </c>
      <c r="CN203" s="317">
        <f t="shared" si="87"/>
        <v>7</v>
      </c>
      <c r="CO203" s="346">
        <v>8.8999999999999999E-3</v>
      </c>
      <c r="CP203" s="346"/>
      <c r="CQ203" s="346"/>
      <c r="CR203" s="346"/>
      <c r="CS203" s="346"/>
      <c r="CT203" s="346"/>
      <c r="CU203" s="346"/>
      <c r="CV203" s="337">
        <f t="shared" si="90"/>
        <v>14224.03</v>
      </c>
    </row>
    <row r="204" spans="1:101" hidden="1" x14ac:dyDescent="0.25">
      <c r="A204" s="335">
        <f t="shared" si="99"/>
        <v>35087</v>
      </c>
      <c r="B204" s="353">
        <v>35089</v>
      </c>
      <c r="C204" s="317">
        <f t="shared" si="93"/>
        <v>2</v>
      </c>
      <c r="E204" s="339">
        <v>3.7179999999999998E-2</v>
      </c>
      <c r="F204" s="339">
        <f>ROUND(((F203*SUM($C$10:C203))+(E204*C204))/SUM($C$10:C204),5)</f>
        <v>3.023E-2</v>
      </c>
      <c r="G204" s="351">
        <v>102.4</v>
      </c>
      <c r="I204" s="335">
        <f t="shared" si="100"/>
        <v>34759</v>
      </c>
      <c r="J204" s="353">
        <v>34765</v>
      </c>
      <c r="K204" s="317">
        <f t="shared" si="94"/>
        <v>6</v>
      </c>
      <c r="M204" s="339">
        <v>4.0480000000000002E-2</v>
      </c>
      <c r="N204" s="339">
        <f>ROUND(((N203*SUM($K$10:K203))+(M204*K204))/SUM($K$10:K204),5)</f>
        <v>2.7799999999999998E-2</v>
      </c>
      <c r="O204" s="316">
        <v>81.3</v>
      </c>
      <c r="Q204" s="335">
        <f t="shared" si="101"/>
        <v>35482</v>
      </c>
      <c r="R204" s="353">
        <v>35485</v>
      </c>
      <c r="S204" s="317">
        <f t="shared" si="95"/>
        <v>3</v>
      </c>
      <c r="U204" s="339">
        <v>3.4680000000000002E-2</v>
      </c>
      <c r="V204" s="339">
        <f>ROUND(((V203*SUM($S$10:S203))+(U204*S204))/SUM($S$10:S204),5)</f>
        <v>3.3649999999999999E-2</v>
      </c>
      <c r="W204" s="357">
        <v>88.3</v>
      </c>
      <c r="AD204" s="339">
        <f>ROUND(((AD203*SUM($AA$10:AA203))+(AC204*AA204))/SUM($AA$10:AA204),5)</f>
        <v>-1.92E-3</v>
      </c>
      <c r="AH204" s="345"/>
      <c r="AS204" s="346"/>
      <c r="BB204" s="352"/>
      <c r="BC204" s="348"/>
      <c r="BE204" s="335">
        <f t="shared" si="96"/>
        <v>35010</v>
      </c>
      <c r="BF204" s="353">
        <v>35017</v>
      </c>
      <c r="BG204" s="317">
        <f t="shared" si="92"/>
        <v>7</v>
      </c>
      <c r="BH204" s="339">
        <v>3.85E-2</v>
      </c>
      <c r="BI204" s="337">
        <f t="shared" si="83"/>
        <v>22150.68</v>
      </c>
      <c r="BK204" s="337"/>
      <c r="BO204" s="335">
        <f t="shared" si="97"/>
        <v>36958</v>
      </c>
      <c r="BP204" s="345">
        <v>36965</v>
      </c>
      <c r="BQ204" s="317">
        <f t="shared" si="89"/>
        <v>7</v>
      </c>
      <c r="BR204" s="347">
        <v>2.4299999999999999E-2</v>
      </c>
      <c r="BS204" s="337">
        <f t="shared" si="91"/>
        <v>7922.4657530000004</v>
      </c>
      <c r="BW204" s="335"/>
      <c r="BX204" s="345"/>
      <c r="BY204" s="317"/>
      <c r="BZ204" s="346"/>
      <c r="CA204" s="337"/>
      <c r="CD204" s="335"/>
      <c r="CE204" s="345"/>
      <c r="CH204" s="337"/>
      <c r="CL204" s="335">
        <f t="shared" si="98"/>
        <v>37882</v>
      </c>
      <c r="CM204" s="345">
        <v>37889</v>
      </c>
      <c r="CN204" s="317">
        <f t="shared" si="87"/>
        <v>7</v>
      </c>
      <c r="CO204" s="346">
        <v>9.9000000000000008E-3</v>
      </c>
      <c r="CP204" s="346"/>
      <c r="CQ204" s="346"/>
      <c r="CR204" s="346"/>
      <c r="CS204" s="346"/>
      <c r="CT204" s="346"/>
      <c r="CU204" s="346"/>
      <c r="CV204" s="337">
        <f t="shared" si="90"/>
        <v>15822.23</v>
      </c>
    </row>
    <row r="205" spans="1:101" hidden="1" x14ac:dyDescent="0.25">
      <c r="A205" s="335">
        <f t="shared" si="99"/>
        <v>35089</v>
      </c>
      <c r="B205" s="353">
        <v>35107</v>
      </c>
      <c r="C205" s="317">
        <f t="shared" si="93"/>
        <v>18</v>
      </c>
      <c r="E205" s="339">
        <v>3.7069999999999999E-2</v>
      </c>
      <c r="F205" s="339">
        <f>ROUND(((F204*SUM($C$10:C204))+(E205*C205))/SUM($C$10:C205),5)</f>
        <v>3.0329999999999999E-2</v>
      </c>
      <c r="G205" s="351">
        <v>101.1</v>
      </c>
      <c r="I205" s="335">
        <f t="shared" si="100"/>
        <v>34765</v>
      </c>
      <c r="J205" s="353">
        <v>34767</v>
      </c>
      <c r="K205" s="317">
        <f t="shared" si="94"/>
        <v>2</v>
      </c>
      <c r="M205" s="339">
        <v>4.0579999999999998E-2</v>
      </c>
      <c r="N205" s="339">
        <f>ROUND(((N204*SUM($K$10:K204))+(M205*K205))/SUM($K$10:K205),5)</f>
        <v>2.7830000000000001E-2</v>
      </c>
      <c r="O205" s="316">
        <v>78.7</v>
      </c>
      <c r="Q205" s="335">
        <f t="shared" si="101"/>
        <v>35485</v>
      </c>
      <c r="R205" s="353">
        <v>35499</v>
      </c>
      <c r="S205" s="317">
        <f t="shared" si="95"/>
        <v>14</v>
      </c>
      <c r="U205" s="339">
        <v>3.4660000000000003E-2</v>
      </c>
      <c r="V205" s="339">
        <f>ROUND(((V204*SUM($S$10:S204))+(U205*S205))/SUM($S$10:S205),5)</f>
        <v>3.3660000000000002E-2</v>
      </c>
      <c r="W205" s="357">
        <v>90.5</v>
      </c>
      <c r="AD205" s="339">
        <f>ROUND(((AD204*SUM($AA$10:AA204))+(AC205*AA205))/SUM($AA$10:AA205),5)</f>
        <v>-1.92E-3</v>
      </c>
      <c r="AH205" s="345"/>
      <c r="AS205" s="346"/>
      <c r="BB205" s="352"/>
      <c r="BC205" s="348"/>
      <c r="BE205" s="335">
        <f t="shared" si="96"/>
        <v>35017</v>
      </c>
      <c r="BF205" s="353">
        <v>35024</v>
      </c>
      <c r="BG205" s="317">
        <f t="shared" si="92"/>
        <v>7</v>
      </c>
      <c r="BH205" s="339">
        <v>3.95E-2</v>
      </c>
      <c r="BI205" s="337">
        <f t="shared" si="83"/>
        <v>22726.03</v>
      </c>
      <c r="BK205" s="337"/>
      <c r="BO205" s="335">
        <f t="shared" si="97"/>
        <v>36965</v>
      </c>
      <c r="BP205" s="345">
        <v>36972</v>
      </c>
      <c r="BQ205" s="317">
        <f t="shared" si="89"/>
        <v>7</v>
      </c>
      <c r="BR205" s="347">
        <v>3.2599999999999997E-2</v>
      </c>
      <c r="BS205" s="337">
        <f t="shared" si="91"/>
        <v>10628.493151000001</v>
      </c>
      <c r="BW205" s="335"/>
      <c r="BX205" s="345"/>
      <c r="BY205" s="317"/>
      <c r="BZ205" s="346"/>
      <c r="CA205" s="337"/>
      <c r="CE205" s="345"/>
      <c r="CH205" s="337"/>
      <c r="CL205" s="335">
        <f t="shared" si="98"/>
        <v>37889</v>
      </c>
      <c r="CM205" s="345">
        <v>37895</v>
      </c>
      <c r="CN205" s="317">
        <f t="shared" si="87"/>
        <v>6</v>
      </c>
      <c r="CO205" s="346">
        <v>1.0800000000000001E-2</v>
      </c>
      <c r="CP205" s="346"/>
      <c r="CQ205" s="346"/>
      <c r="CR205" s="346"/>
      <c r="CS205" s="346"/>
      <c r="CT205" s="346"/>
      <c r="CU205" s="346"/>
      <c r="CV205" s="337">
        <f t="shared" si="90"/>
        <v>14794.82</v>
      </c>
      <c r="CW205" s="341">
        <f>SUM(CV201:CV205)</f>
        <v>63791.24</v>
      </c>
    </row>
    <row r="206" spans="1:101" hidden="1" x14ac:dyDescent="0.25">
      <c r="A206" s="335">
        <f t="shared" si="99"/>
        <v>35107</v>
      </c>
      <c r="B206" s="353">
        <v>35109</v>
      </c>
      <c r="C206" s="317">
        <f t="shared" si="93"/>
        <v>2</v>
      </c>
      <c r="E206" s="339">
        <v>3.6799999999999999E-2</v>
      </c>
      <c r="F206" s="339">
        <f>ROUND(((F205*SUM($C$10:C205))+(E206*C206))/SUM($C$10:C206),5)</f>
        <v>3.0339999999999999E-2</v>
      </c>
      <c r="G206" s="351">
        <v>100.1</v>
      </c>
      <c r="I206" s="335">
        <f t="shared" si="100"/>
        <v>34767</v>
      </c>
      <c r="J206" s="353">
        <v>34768</v>
      </c>
      <c r="K206" s="317">
        <f t="shared" si="94"/>
        <v>1</v>
      </c>
      <c r="M206" s="339">
        <v>4.0850000000000004E-2</v>
      </c>
      <c r="N206" s="339">
        <f>ROUND(((N205*SUM($K$10:K205))+(M206*K206))/SUM($K$10:K206),5)</f>
        <v>2.784E-2</v>
      </c>
      <c r="O206" s="316">
        <v>76.7</v>
      </c>
      <c r="Q206" s="335">
        <f t="shared" si="101"/>
        <v>35499</v>
      </c>
      <c r="R206" s="353">
        <v>35500</v>
      </c>
      <c r="S206" s="317">
        <f t="shared" si="95"/>
        <v>1</v>
      </c>
      <c r="U206" s="339">
        <v>3.4590000000000003E-2</v>
      </c>
      <c r="V206" s="339">
        <f>ROUND(((V205*SUM($S$10:S205))+(U206*S206))/SUM($S$10:S206),5)</f>
        <v>3.3660000000000002E-2</v>
      </c>
      <c r="W206" s="357">
        <v>89.2</v>
      </c>
      <c r="AD206" s="339">
        <f>ROUND(((AD205*SUM($AA$10:AA205))+(AC206*AA206))/SUM($AA$10:AA206),5)</f>
        <v>-1.92E-3</v>
      </c>
      <c r="AH206" s="345"/>
      <c r="AS206" s="346"/>
      <c r="BB206" s="352"/>
      <c r="BC206" s="348"/>
      <c r="BE206" s="335">
        <f t="shared" si="96"/>
        <v>35024</v>
      </c>
      <c r="BF206" s="353">
        <v>35031</v>
      </c>
      <c r="BG206" s="317">
        <f t="shared" si="92"/>
        <v>7</v>
      </c>
      <c r="BH206" s="339">
        <v>3.7999999999999999E-2</v>
      </c>
      <c r="BI206" s="337">
        <f t="shared" si="83"/>
        <v>21863.01</v>
      </c>
      <c r="BK206" s="337"/>
      <c r="BO206" s="335">
        <f t="shared" si="97"/>
        <v>36972</v>
      </c>
      <c r="BP206" s="345">
        <v>36979</v>
      </c>
      <c r="BQ206" s="317">
        <f t="shared" si="89"/>
        <v>7</v>
      </c>
      <c r="BR206" s="347">
        <v>3.4799999999999998E-2</v>
      </c>
      <c r="BS206" s="337">
        <f t="shared" si="91"/>
        <v>11345.753425000001</v>
      </c>
      <c r="BW206" s="335"/>
      <c r="BX206" s="345"/>
      <c r="BY206" s="317"/>
      <c r="BZ206" s="346"/>
      <c r="CA206" s="337"/>
      <c r="CE206" s="345"/>
      <c r="CH206" s="337"/>
      <c r="CL206" s="335">
        <f t="shared" si="98"/>
        <v>37895</v>
      </c>
      <c r="CM206" s="345">
        <v>37896</v>
      </c>
      <c r="CN206" s="317">
        <f t="shared" si="87"/>
        <v>1</v>
      </c>
      <c r="CO206" s="347">
        <v>1.0800000000000001E-2</v>
      </c>
      <c r="CP206" s="347"/>
      <c r="CQ206" s="347"/>
      <c r="CR206" s="347"/>
      <c r="CS206" s="347"/>
      <c r="CT206" s="347"/>
      <c r="CU206" s="347"/>
      <c r="CV206" s="337">
        <f t="shared" si="90"/>
        <v>2465.8000000000002</v>
      </c>
    </row>
    <row r="207" spans="1:101" hidden="1" x14ac:dyDescent="0.25">
      <c r="A207" s="335">
        <f t="shared" si="99"/>
        <v>35109</v>
      </c>
      <c r="B207" s="353">
        <v>35110</v>
      </c>
      <c r="C207" s="317">
        <f t="shared" si="93"/>
        <v>1</v>
      </c>
      <c r="E207" s="339">
        <v>3.5929999999999997E-2</v>
      </c>
      <c r="F207" s="339">
        <f>ROUND(((F206*SUM($C$10:C206))+(E207*C207))/SUM($C$10:C207),5)</f>
        <v>3.0339999999999999E-2</v>
      </c>
      <c r="G207" s="351">
        <v>97.6</v>
      </c>
      <c r="I207" s="335">
        <f t="shared" si="100"/>
        <v>34768</v>
      </c>
      <c r="J207" s="353">
        <v>34771</v>
      </c>
      <c r="K207" s="317">
        <f t="shared" si="94"/>
        <v>3</v>
      </c>
      <c r="M207" s="339">
        <v>4.088E-2</v>
      </c>
      <c r="N207" s="339">
        <f>ROUND(((N206*SUM($K$10:K206))+(M207*K207))/SUM($K$10:K207),5)</f>
        <v>2.7879999999999999E-2</v>
      </c>
      <c r="O207" s="316">
        <v>77.8</v>
      </c>
      <c r="Q207" s="335">
        <f t="shared" si="101"/>
        <v>35500</v>
      </c>
      <c r="R207" s="353">
        <v>35513</v>
      </c>
      <c r="S207" s="317">
        <f t="shared" si="95"/>
        <v>13</v>
      </c>
      <c r="U207" s="339">
        <v>3.449E-2</v>
      </c>
      <c r="V207" s="339">
        <f>ROUND(((V206*SUM($S$10:S206))+(U207*S207))/SUM($S$10:S207),5)</f>
        <v>3.3669999999999999E-2</v>
      </c>
      <c r="W207" s="357">
        <v>88.5</v>
      </c>
      <c r="AD207" s="339">
        <f>ROUND(((AD206*SUM($AA$10:AA206))+(AC207*AA207))/SUM($AA$10:AA207),5)</f>
        <v>-1.92E-3</v>
      </c>
      <c r="AH207" s="345"/>
      <c r="AS207" s="346"/>
      <c r="BB207" s="352"/>
      <c r="BC207" s="348"/>
      <c r="BE207" s="335">
        <f t="shared" si="96"/>
        <v>35031</v>
      </c>
      <c r="BF207" s="353">
        <v>35034</v>
      </c>
      <c r="BG207" s="317">
        <f t="shared" si="92"/>
        <v>3</v>
      </c>
      <c r="BH207" s="339">
        <v>3.7000000000000005E-2</v>
      </c>
      <c r="BI207" s="337">
        <f t="shared" si="83"/>
        <v>9123.2900000000009</v>
      </c>
      <c r="BJ207" s="341">
        <f>SUM(BI203:BI207)</f>
        <v>94356.160000000003</v>
      </c>
      <c r="BK207" s="337">
        <v>92586.75</v>
      </c>
      <c r="BL207" s="341">
        <f>BJ207-BK207</f>
        <v>1769.4100000000035</v>
      </c>
      <c r="BM207" s="341">
        <f>BM202+BL207</f>
        <v>7448.3499999999949</v>
      </c>
      <c r="BO207" s="335">
        <f t="shared" si="97"/>
        <v>36979</v>
      </c>
      <c r="BP207" s="345">
        <v>36982</v>
      </c>
      <c r="BQ207" s="317">
        <f t="shared" si="89"/>
        <v>3</v>
      </c>
      <c r="BR207" s="347">
        <v>3.4500000000000003E-2</v>
      </c>
      <c r="BS207" s="337">
        <f t="shared" si="91"/>
        <v>4820.5479450000003</v>
      </c>
      <c r="BT207" s="341">
        <f>SUM(BS203:BS207)</f>
        <v>44987.123288000003</v>
      </c>
      <c r="BW207" s="335"/>
      <c r="BX207" s="345"/>
      <c r="BZ207" s="346"/>
      <c r="CA207" s="337"/>
      <c r="CE207" s="345"/>
      <c r="CH207" s="337"/>
      <c r="CL207" s="335">
        <f t="shared" si="98"/>
        <v>37896</v>
      </c>
      <c r="CM207" s="345">
        <v>37903</v>
      </c>
      <c r="CN207" s="317">
        <f t="shared" si="87"/>
        <v>7</v>
      </c>
      <c r="CO207" s="347">
        <v>1.04E-2</v>
      </c>
      <c r="CP207" s="347"/>
      <c r="CQ207" s="347"/>
      <c r="CR207" s="347"/>
      <c r="CS207" s="347"/>
      <c r="CT207" s="347"/>
      <c r="CU207" s="347"/>
      <c r="CV207" s="337">
        <f t="shared" si="90"/>
        <v>16621.34</v>
      </c>
    </row>
    <row r="208" spans="1:101" hidden="1" x14ac:dyDescent="0.25">
      <c r="A208" s="335">
        <f t="shared" si="99"/>
        <v>35110</v>
      </c>
      <c r="B208" s="353">
        <v>35115</v>
      </c>
      <c r="C208" s="317">
        <f t="shared" si="93"/>
        <v>5</v>
      </c>
      <c r="E208" s="339">
        <v>3.551E-2</v>
      </c>
      <c r="F208" s="339">
        <f>ROUND(((F207*SUM($C$10:C207))+(E208*C208))/SUM($C$10:C208),5)</f>
        <v>3.0360000000000002E-2</v>
      </c>
      <c r="G208" s="351">
        <v>95.5</v>
      </c>
      <c r="I208" s="335">
        <f t="shared" si="100"/>
        <v>34771</v>
      </c>
      <c r="J208" s="353">
        <v>34792</v>
      </c>
      <c r="K208" s="317">
        <f t="shared" si="94"/>
        <v>21</v>
      </c>
      <c r="M208" s="339">
        <v>4.086E-2</v>
      </c>
      <c r="N208" s="339">
        <f>ROUND(((N207*SUM($K$10:K207))+(M208*K208))/SUM($K$10:K208),5)</f>
        <v>2.8170000000000001E-2</v>
      </c>
      <c r="O208" s="316">
        <v>77.2</v>
      </c>
      <c r="Q208" s="335">
        <f t="shared" si="101"/>
        <v>35513</v>
      </c>
      <c r="R208" s="353">
        <v>35514</v>
      </c>
      <c r="S208" s="317">
        <f t="shared" si="95"/>
        <v>1</v>
      </c>
      <c r="U208" s="339">
        <v>3.4520000000000002E-2</v>
      </c>
      <c r="V208" s="339">
        <f>ROUND(((V207*SUM($S$10:S207))+(U208*S208))/SUM($S$10:S208),5)</f>
        <v>3.3669999999999999E-2</v>
      </c>
      <c r="W208" s="357">
        <v>86.6</v>
      </c>
      <c r="AD208" s="339">
        <f>ROUND(((AD207*SUM($AA$10:AA207))+(AC208*AA208))/SUM($AA$10:AA208),5)</f>
        <v>-1.92E-3</v>
      </c>
      <c r="AH208" s="345"/>
      <c r="AS208" s="346"/>
      <c r="BB208" s="352"/>
      <c r="BC208" s="348"/>
      <c r="BE208" s="335">
        <f t="shared" si="96"/>
        <v>35034</v>
      </c>
      <c r="BF208" s="353">
        <v>35038</v>
      </c>
      <c r="BG208" s="317">
        <f t="shared" si="92"/>
        <v>4</v>
      </c>
      <c r="BH208" s="339">
        <v>3.7000000000000005E-2</v>
      </c>
      <c r="BI208" s="337">
        <f t="shared" si="83"/>
        <v>12164.38</v>
      </c>
      <c r="BK208" s="337"/>
      <c r="BO208" s="335">
        <f t="shared" si="97"/>
        <v>36982</v>
      </c>
      <c r="BP208" s="345">
        <v>36986</v>
      </c>
      <c r="BQ208" s="317">
        <f t="shared" si="89"/>
        <v>4</v>
      </c>
      <c r="BR208" s="347">
        <v>3.4500000000000003E-2</v>
      </c>
      <c r="BS208" s="337">
        <f t="shared" si="91"/>
        <v>6427.3972599999997</v>
      </c>
      <c r="BW208" s="335"/>
      <c r="BX208" s="345"/>
      <c r="BZ208" s="346"/>
      <c r="CA208" s="337"/>
      <c r="CE208" s="345"/>
      <c r="CH208" s="337"/>
      <c r="CL208" s="335">
        <f t="shared" si="98"/>
        <v>37903</v>
      </c>
      <c r="CM208" s="345">
        <v>37910</v>
      </c>
      <c r="CN208" s="317">
        <f t="shared" si="87"/>
        <v>7</v>
      </c>
      <c r="CO208" s="347">
        <v>9.1999999999999998E-3</v>
      </c>
      <c r="CP208" s="347"/>
      <c r="CQ208" s="347"/>
      <c r="CR208" s="347"/>
      <c r="CS208" s="347"/>
      <c r="CT208" s="347"/>
      <c r="CU208" s="347"/>
      <c r="CV208" s="337">
        <f t="shared" si="90"/>
        <v>14703.49</v>
      </c>
    </row>
    <row r="209" spans="1:102" hidden="1" x14ac:dyDescent="0.25">
      <c r="A209" s="335">
        <f t="shared" si="99"/>
        <v>35115</v>
      </c>
      <c r="B209" s="353">
        <v>35117</v>
      </c>
      <c r="C209" s="317">
        <f t="shared" si="93"/>
        <v>2</v>
      </c>
      <c r="E209" s="339">
        <v>3.4520000000000002E-2</v>
      </c>
      <c r="F209" s="339">
        <f>ROUND(((F208*SUM($C$10:C208))+(E209*C209))/SUM($C$10:C209),5)</f>
        <v>3.0370000000000001E-2</v>
      </c>
      <c r="G209" s="351">
        <v>91.7</v>
      </c>
      <c r="I209" s="335">
        <f t="shared" si="100"/>
        <v>34792</v>
      </c>
      <c r="J209" s="353">
        <v>34795</v>
      </c>
      <c r="K209" s="317">
        <f t="shared" si="94"/>
        <v>3</v>
      </c>
      <c r="M209" s="339">
        <v>4.0980000000000003E-2</v>
      </c>
      <c r="N209" s="339">
        <f>ROUND(((N208*SUM($K$10:K208))+(M209*K209))/SUM($K$10:K209),5)</f>
        <v>2.8209999999999999E-2</v>
      </c>
      <c r="O209" s="316">
        <v>81.8</v>
      </c>
      <c r="Q209" s="335">
        <f t="shared" si="101"/>
        <v>35514</v>
      </c>
      <c r="R209" s="353">
        <v>35516</v>
      </c>
      <c r="S209" s="317">
        <f t="shared" si="95"/>
        <v>2</v>
      </c>
      <c r="U209" s="339">
        <v>3.4569999999999997E-2</v>
      </c>
      <c r="V209" s="339">
        <f>ROUND(((V208*SUM($S$10:S208))+(U209*S209))/SUM($S$10:S209),5)</f>
        <v>3.3669999999999999E-2</v>
      </c>
      <c r="W209" s="357">
        <v>80.3</v>
      </c>
      <c r="AD209" s="339">
        <f>ROUND(((AD208*SUM($AA$10:AA208))+(AC209*AA209))/SUM($AA$10:AA209),5)</f>
        <v>-1.92E-3</v>
      </c>
      <c r="AH209" s="345"/>
      <c r="AS209" s="346"/>
      <c r="BB209" s="352"/>
      <c r="BC209" s="348"/>
      <c r="BE209" s="335">
        <f t="shared" si="96"/>
        <v>35038</v>
      </c>
      <c r="BF209" s="353">
        <v>35045</v>
      </c>
      <c r="BG209" s="317">
        <f t="shared" si="92"/>
        <v>7</v>
      </c>
      <c r="BH209" s="339">
        <v>3.4000000000000002E-2</v>
      </c>
      <c r="BI209" s="337">
        <f t="shared" si="83"/>
        <v>19561.64</v>
      </c>
      <c r="BK209" s="337"/>
      <c r="BO209" s="335">
        <f t="shared" si="97"/>
        <v>36986</v>
      </c>
      <c r="BP209" s="345">
        <v>36993</v>
      </c>
      <c r="BQ209" s="317">
        <f t="shared" si="89"/>
        <v>7</v>
      </c>
      <c r="BR209" s="347">
        <v>3.1899999999999998E-2</v>
      </c>
      <c r="BS209" s="337">
        <f t="shared" si="91"/>
        <v>10400.273972999999</v>
      </c>
      <c r="BW209" s="335"/>
      <c r="BX209" s="345"/>
      <c r="BZ209" s="346"/>
      <c r="CA209" s="337"/>
      <c r="CE209" s="345"/>
      <c r="CH209" s="337"/>
      <c r="CL209" s="335">
        <f t="shared" si="98"/>
        <v>37910</v>
      </c>
      <c r="CM209" s="345">
        <v>37917</v>
      </c>
      <c r="CN209" s="317">
        <f t="shared" si="87"/>
        <v>7</v>
      </c>
      <c r="CO209" s="347">
        <v>9.2999999999999992E-3</v>
      </c>
      <c r="CP209" s="347"/>
      <c r="CQ209" s="347"/>
      <c r="CR209" s="347"/>
      <c r="CS209" s="347"/>
      <c r="CT209" s="347"/>
      <c r="CU209" s="347"/>
      <c r="CV209" s="337">
        <f t="shared" si="90"/>
        <v>14863.31</v>
      </c>
    </row>
    <row r="210" spans="1:102" hidden="1" x14ac:dyDescent="0.25">
      <c r="A210" s="335">
        <f t="shared" si="99"/>
        <v>35117</v>
      </c>
      <c r="B210" s="353">
        <v>35121</v>
      </c>
      <c r="C210" s="317">
        <f t="shared" si="93"/>
        <v>4</v>
      </c>
      <c r="E210" s="339">
        <v>3.3489999999999999E-2</v>
      </c>
      <c r="F210" s="339">
        <f>ROUND(((F209*SUM($C$10:C209))+(E210*C210))/SUM($C$10:C210),5)</f>
        <v>3.0380000000000001E-2</v>
      </c>
      <c r="G210" s="351">
        <v>86.9</v>
      </c>
      <c r="I210" s="335">
        <f t="shared" si="100"/>
        <v>34795</v>
      </c>
      <c r="J210" s="353">
        <v>34796</v>
      </c>
      <c r="K210" s="317">
        <f t="shared" si="94"/>
        <v>1</v>
      </c>
      <c r="M210" s="339">
        <v>4.0969999999999999E-2</v>
      </c>
      <c r="N210" s="339">
        <f>ROUND(((N209*SUM($K$10:K209))+(M210*K210))/SUM($K$10:K210),5)</f>
        <v>2.8219999999999999E-2</v>
      </c>
      <c r="O210" s="316">
        <v>82.5</v>
      </c>
      <c r="Q210" s="335">
        <f t="shared" si="101"/>
        <v>35516</v>
      </c>
      <c r="R210" s="353">
        <v>35521</v>
      </c>
      <c r="S210" s="317">
        <f t="shared" si="95"/>
        <v>5</v>
      </c>
      <c r="U210" s="339">
        <v>3.5020000000000003E-2</v>
      </c>
      <c r="V210" s="339">
        <f>ROUND(((V209*SUM($S$10:S209))+(U210*S210))/SUM($S$10:S210),5)</f>
        <v>3.3680000000000002E-2</v>
      </c>
      <c r="W210" s="357">
        <v>87.8</v>
      </c>
      <c r="AD210" s="339">
        <f>ROUND(((AD209*SUM($AA$10:AA209))+(AC210*AA210))/SUM($AA$10:AA210),5)</f>
        <v>-1.92E-3</v>
      </c>
      <c r="AH210" s="345"/>
      <c r="AS210" s="346"/>
      <c r="BB210" s="352"/>
      <c r="BC210" s="348"/>
      <c r="BE210" s="335">
        <f t="shared" si="96"/>
        <v>35045</v>
      </c>
      <c r="BF210" s="353">
        <v>35052</v>
      </c>
      <c r="BG210" s="317">
        <f t="shared" si="92"/>
        <v>7</v>
      </c>
      <c r="BH210" s="339">
        <v>4.0899999999999999E-2</v>
      </c>
      <c r="BI210" s="337">
        <f t="shared" si="83"/>
        <v>23531.51</v>
      </c>
      <c r="BK210" s="337"/>
      <c r="BO210" s="335">
        <f t="shared" si="97"/>
        <v>36993</v>
      </c>
      <c r="BP210" s="345">
        <v>37000</v>
      </c>
      <c r="BQ210" s="317">
        <f t="shared" si="89"/>
        <v>7</v>
      </c>
      <c r="BR210" s="347">
        <v>3.8800000000000001E-2</v>
      </c>
      <c r="BS210" s="337">
        <f t="shared" si="91"/>
        <v>12649.863014</v>
      </c>
      <c r="BW210" s="335"/>
      <c r="BX210" s="345"/>
      <c r="BZ210" s="346"/>
      <c r="CA210" s="337"/>
      <c r="CE210" s="345"/>
      <c r="CH210" s="337"/>
      <c r="CL210" s="335">
        <f t="shared" si="98"/>
        <v>37917</v>
      </c>
      <c r="CM210" s="345">
        <v>37924</v>
      </c>
      <c r="CN210" s="317">
        <f t="shared" si="87"/>
        <v>7</v>
      </c>
      <c r="CO210" s="347">
        <v>9.7000000000000003E-3</v>
      </c>
      <c r="CP210" s="347"/>
      <c r="CQ210" s="347"/>
      <c r="CR210" s="347"/>
      <c r="CS210" s="347"/>
      <c r="CT210" s="347"/>
      <c r="CU210" s="347"/>
      <c r="CV210" s="337">
        <f t="shared" si="90"/>
        <v>15502.59</v>
      </c>
    </row>
    <row r="211" spans="1:102" hidden="1" x14ac:dyDescent="0.25">
      <c r="A211" s="335">
        <f t="shared" si="99"/>
        <v>35121</v>
      </c>
      <c r="B211" s="353">
        <v>35128</v>
      </c>
      <c r="C211" s="317">
        <f t="shared" si="93"/>
        <v>7</v>
      </c>
      <c r="E211" s="339">
        <v>3.193E-2</v>
      </c>
      <c r="F211" s="339">
        <f>ROUND(((F210*SUM($C$10:C210))+(E211*C211))/SUM($C$10:C211),5)</f>
        <v>3.039E-2</v>
      </c>
      <c r="G211" s="351">
        <v>95.6</v>
      </c>
      <c r="I211" s="335">
        <f t="shared" si="100"/>
        <v>34796</v>
      </c>
      <c r="J211" s="353">
        <v>34820</v>
      </c>
      <c r="K211" s="317">
        <f t="shared" si="94"/>
        <v>24</v>
      </c>
      <c r="M211" s="339">
        <v>4.1090000000000002E-2</v>
      </c>
      <c r="N211" s="339">
        <f>ROUND(((N210*SUM($K$10:K210))+(M211*K211))/SUM($K$10:K211),5)</f>
        <v>2.8539999999999999E-2</v>
      </c>
      <c r="O211" s="351">
        <v>90</v>
      </c>
      <c r="Q211" s="335">
        <f t="shared" si="101"/>
        <v>35521</v>
      </c>
      <c r="R211" s="353">
        <v>35522</v>
      </c>
      <c r="S211" s="317">
        <f t="shared" si="95"/>
        <v>1</v>
      </c>
      <c r="U211" s="339">
        <v>3.5060000000000001E-2</v>
      </c>
      <c r="V211" s="339">
        <f>ROUND(((V210*SUM($S$10:S210))+(U211*S211))/SUM($S$10:S211),5)</f>
        <v>3.3680000000000002E-2</v>
      </c>
      <c r="W211" s="357">
        <v>85.8</v>
      </c>
      <c r="AD211" s="339">
        <f>ROUND(((AD210*SUM($AA$10:AA210))+(AC211*AA211))/SUM($AA$10:AA211),5)</f>
        <v>-1.92E-3</v>
      </c>
      <c r="AH211" s="345"/>
      <c r="AS211" s="346"/>
      <c r="BB211" s="352"/>
      <c r="BC211" s="348"/>
      <c r="BE211" s="335">
        <f t="shared" si="96"/>
        <v>35052</v>
      </c>
      <c r="BF211" s="353">
        <v>35059</v>
      </c>
      <c r="BG211" s="317">
        <f t="shared" si="92"/>
        <v>7</v>
      </c>
      <c r="BH211" s="339">
        <v>4.9200000000000001E-2</v>
      </c>
      <c r="BI211" s="337">
        <f t="shared" si="83"/>
        <v>28306.85</v>
      </c>
      <c r="BK211" s="337"/>
      <c r="BO211" s="335">
        <f t="shared" si="97"/>
        <v>37000</v>
      </c>
      <c r="BP211" s="345">
        <v>37007</v>
      </c>
      <c r="BQ211" s="317">
        <f t="shared" si="89"/>
        <v>7</v>
      </c>
      <c r="BR211" s="347">
        <v>4.4499999999999998E-2</v>
      </c>
      <c r="BS211" s="337">
        <f t="shared" si="91"/>
        <v>14508.219177999999</v>
      </c>
      <c r="BW211" s="335"/>
      <c r="BX211" s="345"/>
      <c r="CA211" s="337"/>
      <c r="CE211" s="345"/>
      <c r="CH211" s="337"/>
      <c r="CL211" s="335">
        <f t="shared" si="98"/>
        <v>37924</v>
      </c>
      <c r="CM211" s="345">
        <v>37926</v>
      </c>
      <c r="CN211" s="317">
        <f t="shared" si="87"/>
        <v>2</v>
      </c>
      <c r="CO211" s="347">
        <v>1.0500000000000001E-2</v>
      </c>
      <c r="CP211" s="347"/>
      <c r="CQ211" s="347"/>
      <c r="CR211" s="347"/>
      <c r="CS211" s="347"/>
      <c r="CT211" s="347"/>
      <c r="CU211" s="347"/>
      <c r="CV211" s="337">
        <f t="shared" si="90"/>
        <v>4794.62</v>
      </c>
      <c r="CW211" s="341">
        <f>SUM(CV206:CV211)</f>
        <v>68951.149999999994</v>
      </c>
    </row>
    <row r="212" spans="1:102" hidden="1" x14ac:dyDescent="0.25">
      <c r="A212" s="335">
        <f t="shared" si="99"/>
        <v>35128</v>
      </c>
      <c r="B212" s="353">
        <v>35166</v>
      </c>
      <c r="C212" s="317">
        <f t="shared" si="93"/>
        <v>38</v>
      </c>
      <c r="E212" s="339">
        <v>3.1900000000000005E-2</v>
      </c>
      <c r="F212" s="339">
        <f>ROUND(((F211*SUM($C$10:C211))+(E212*C212))/SUM($C$10:C212),5)</f>
        <v>3.0429999999999999E-2</v>
      </c>
      <c r="G212" s="351">
        <v>97.6</v>
      </c>
      <c r="I212" s="335">
        <f t="shared" si="100"/>
        <v>34820</v>
      </c>
      <c r="J212" s="353">
        <v>34824</v>
      </c>
      <c r="K212" s="317">
        <f t="shared" si="94"/>
        <v>4</v>
      </c>
      <c r="M212" s="339">
        <v>4.1140000000000003E-2</v>
      </c>
      <c r="N212" s="339">
        <f>ROUND(((N211*SUM($K$10:K211))+(M212*K212))/SUM($K$10:K212),5)</f>
        <v>2.8590000000000001E-2</v>
      </c>
      <c r="O212" s="351">
        <v>89.2</v>
      </c>
      <c r="Q212" s="335">
        <f t="shared" si="101"/>
        <v>35522</v>
      </c>
      <c r="R212" s="353">
        <v>35523</v>
      </c>
      <c r="S212" s="317">
        <f t="shared" si="95"/>
        <v>1</v>
      </c>
      <c r="U212" s="339">
        <v>3.5060000000000001E-2</v>
      </c>
      <c r="V212" s="339">
        <f>ROUND(((V211*SUM($S$10:S211))+(U212*S212))/SUM($S$10:S212),5)</f>
        <v>3.3680000000000002E-2</v>
      </c>
      <c r="W212" s="357">
        <v>85.8</v>
      </c>
      <c r="AD212" s="339">
        <f>ROUND(((AD211*SUM($AA$10:AA211))+(AC212*AA212))/SUM($AA$10:AA212),5)</f>
        <v>-1.92E-3</v>
      </c>
      <c r="AH212" s="345"/>
      <c r="AS212" s="346"/>
      <c r="BB212" s="352"/>
      <c r="BC212" s="348"/>
      <c r="BE212" s="335">
        <f t="shared" si="96"/>
        <v>35059</v>
      </c>
      <c r="BF212" s="353">
        <v>35065</v>
      </c>
      <c r="BG212" s="317">
        <f t="shared" si="92"/>
        <v>6</v>
      </c>
      <c r="BH212" s="339">
        <v>5.1900000000000002E-2</v>
      </c>
      <c r="BI212" s="337">
        <f t="shared" si="83"/>
        <v>25594.52</v>
      </c>
      <c r="BJ212" s="341">
        <f>SUM(BI208:BI212)</f>
        <v>109158.90000000001</v>
      </c>
      <c r="BK212" s="337">
        <v>95383.21</v>
      </c>
      <c r="BL212" s="341">
        <f>BJ212-BK212</f>
        <v>13775.690000000002</v>
      </c>
      <c r="BM212" s="341">
        <f>BM207+BL212</f>
        <v>21224.039999999997</v>
      </c>
      <c r="BO212" s="335">
        <f t="shared" si="97"/>
        <v>37007</v>
      </c>
      <c r="BP212" s="345">
        <v>37012</v>
      </c>
      <c r="BQ212" s="317">
        <f t="shared" si="89"/>
        <v>5</v>
      </c>
      <c r="BR212" s="347">
        <v>4.19E-2</v>
      </c>
      <c r="BS212" s="337">
        <f t="shared" si="91"/>
        <v>9757.5342469999996</v>
      </c>
      <c r="BT212" s="341">
        <f>SUM(BS208:BS212)</f>
        <v>53743.287672000006</v>
      </c>
      <c r="BW212" s="335"/>
      <c r="BX212" s="345"/>
      <c r="CA212" s="337"/>
      <c r="CE212" s="345"/>
      <c r="CH212" s="337"/>
      <c r="CL212" s="335">
        <f t="shared" si="98"/>
        <v>37926</v>
      </c>
      <c r="CM212" s="345">
        <v>37931</v>
      </c>
      <c r="CN212" s="317">
        <f t="shared" si="87"/>
        <v>5</v>
      </c>
      <c r="CO212" s="347">
        <v>1.0500000000000001E-2</v>
      </c>
      <c r="CP212" s="347"/>
      <c r="CQ212" s="347"/>
      <c r="CR212" s="347"/>
      <c r="CS212" s="347"/>
      <c r="CT212" s="347"/>
      <c r="CU212" s="347"/>
      <c r="CV212" s="337">
        <f t="shared" si="90"/>
        <v>11986.54</v>
      </c>
    </row>
    <row r="213" spans="1:102" hidden="1" x14ac:dyDescent="0.25">
      <c r="A213" s="335">
        <f t="shared" si="99"/>
        <v>35166</v>
      </c>
      <c r="B213" s="353">
        <v>35193</v>
      </c>
      <c r="C213" s="317">
        <f t="shared" si="93"/>
        <v>27</v>
      </c>
      <c r="E213" s="339">
        <v>3.2199999999999999E-2</v>
      </c>
      <c r="F213" s="339">
        <f>ROUND(((F212*SUM($C$10:C212))+(E213*C213))/SUM($C$10:C213),5)</f>
        <v>3.0470000000000001E-2</v>
      </c>
      <c r="G213" s="351">
        <v>100.8</v>
      </c>
      <c r="I213" s="335">
        <f t="shared" si="100"/>
        <v>34824</v>
      </c>
      <c r="J213" s="353">
        <v>34827</v>
      </c>
      <c r="K213" s="317">
        <f t="shared" si="94"/>
        <v>3</v>
      </c>
      <c r="M213" s="339">
        <v>4.1230000000000003E-2</v>
      </c>
      <c r="N213" s="339">
        <f>ROUND(((N212*SUM($K$10:K212))+(M213*K213))/SUM($K$10:K213),5)</f>
        <v>2.8629999999999999E-2</v>
      </c>
      <c r="O213" s="351">
        <v>92.6</v>
      </c>
      <c r="Q213" s="335">
        <f t="shared" si="101"/>
        <v>35523</v>
      </c>
      <c r="R213" s="353">
        <v>35524</v>
      </c>
      <c r="S213" s="317">
        <f t="shared" si="95"/>
        <v>1</v>
      </c>
      <c r="U213" s="339">
        <v>3.5229999999999997E-2</v>
      </c>
      <c r="V213" s="339">
        <f>ROUND(((V212*SUM($S$10:S212))+(U213*S213))/SUM($S$10:S213),5)</f>
        <v>3.3680000000000002E-2</v>
      </c>
      <c r="W213" s="357">
        <v>83.4</v>
      </c>
      <c r="AD213" s="339">
        <f>ROUND(((AD212*SUM($AA$10:AA212))+(AC213*AA213))/SUM($AA$10:AA213),5)</f>
        <v>-1.92E-3</v>
      </c>
      <c r="AH213" s="345"/>
      <c r="AS213" s="346"/>
      <c r="BB213" s="352"/>
      <c r="BC213" s="348"/>
      <c r="BE213" s="335">
        <f t="shared" si="96"/>
        <v>35065</v>
      </c>
      <c r="BF213" s="353">
        <v>35066</v>
      </c>
      <c r="BG213" s="317">
        <f t="shared" si="92"/>
        <v>1</v>
      </c>
      <c r="BH213" s="339">
        <v>5.1900000000000002E-2</v>
      </c>
      <c r="BI213" s="337">
        <f t="shared" ref="BI213:BI276" si="102">ROUND($BI$5*BH213*BG213/366,2)</f>
        <v>4254.1000000000004</v>
      </c>
      <c r="BK213" s="337"/>
      <c r="BO213" s="335">
        <f t="shared" si="97"/>
        <v>37012</v>
      </c>
      <c r="BP213" s="345">
        <v>37014</v>
      </c>
      <c r="BQ213" s="317">
        <f t="shared" si="89"/>
        <v>2</v>
      </c>
      <c r="BR213" s="347">
        <v>4.19E-2</v>
      </c>
      <c r="BS213" s="337">
        <f t="shared" si="91"/>
        <v>3903.0136990000001</v>
      </c>
      <c r="BW213" s="335"/>
      <c r="BX213" s="345"/>
      <c r="CA213" s="337"/>
      <c r="CE213" s="345"/>
      <c r="CH213" s="337"/>
      <c r="CL213" s="335">
        <f t="shared" si="98"/>
        <v>37931</v>
      </c>
      <c r="CM213" s="345">
        <v>37938</v>
      </c>
      <c r="CN213" s="317">
        <f t="shared" si="87"/>
        <v>7</v>
      </c>
      <c r="CO213" s="347">
        <v>1.06E-2</v>
      </c>
      <c r="CP213" s="347"/>
      <c r="CQ213" s="347"/>
      <c r="CR213" s="347"/>
      <c r="CS213" s="347"/>
      <c r="CT213" s="347"/>
      <c r="CU213" s="347"/>
      <c r="CV213" s="337">
        <f t="shared" si="90"/>
        <v>16940.98</v>
      </c>
    </row>
    <row r="214" spans="1:102" hidden="1" x14ac:dyDescent="0.25">
      <c r="A214" s="335">
        <f t="shared" si="99"/>
        <v>35193</v>
      </c>
      <c r="B214" s="353">
        <v>35199</v>
      </c>
      <c r="C214" s="317">
        <f t="shared" si="93"/>
        <v>6</v>
      </c>
      <c r="E214" s="339">
        <v>3.2809999999999999E-2</v>
      </c>
      <c r="F214" s="339">
        <f>ROUND(((F213*SUM($C$10:C213))+(E214*C214))/SUM($C$10:C214),5)</f>
        <v>3.048E-2</v>
      </c>
      <c r="G214" s="351">
        <v>100.6</v>
      </c>
      <c r="I214" s="335">
        <f t="shared" si="100"/>
        <v>34827</v>
      </c>
      <c r="J214" s="353">
        <v>34829</v>
      </c>
      <c r="K214" s="317">
        <f t="shared" si="94"/>
        <v>2</v>
      </c>
      <c r="M214" s="339">
        <v>4.1250000000000002E-2</v>
      </c>
      <c r="N214" s="339">
        <f>ROUND(((N213*SUM($K$10:K213))+(M214*K214))/SUM($K$10:K214),5)</f>
        <v>2.8660000000000001E-2</v>
      </c>
      <c r="O214" s="351">
        <v>93</v>
      </c>
      <c r="Q214" s="335">
        <f t="shared" si="101"/>
        <v>35524</v>
      </c>
      <c r="R214" s="353">
        <v>35530</v>
      </c>
      <c r="S214" s="317">
        <f t="shared" si="95"/>
        <v>6</v>
      </c>
      <c r="U214" s="339">
        <v>3.5439999999999999E-2</v>
      </c>
      <c r="V214" s="339">
        <f>ROUND(((V213*SUM($S$10:S213))+(U214*S214))/SUM($S$10:S214),5)</f>
        <v>3.3689999999999998E-2</v>
      </c>
      <c r="W214" s="357">
        <v>92.2</v>
      </c>
      <c r="AH214" s="345"/>
      <c r="AS214" s="346"/>
      <c r="BB214" s="352"/>
      <c r="BC214" s="348"/>
      <c r="BE214" s="335">
        <f t="shared" si="96"/>
        <v>35066</v>
      </c>
      <c r="BF214" s="353">
        <v>35073</v>
      </c>
      <c r="BG214" s="317">
        <f t="shared" si="92"/>
        <v>7</v>
      </c>
      <c r="BH214" s="339">
        <v>3.5400000000000001E-2</v>
      </c>
      <c r="BI214" s="337">
        <f t="shared" si="102"/>
        <v>20311.48</v>
      </c>
      <c r="BK214" s="337"/>
      <c r="BO214" s="335">
        <f t="shared" si="97"/>
        <v>37014</v>
      </c>
      <c r="BP214" s="345">
        <v>37021</v>
      </c>
      <c r="BQ214" s="317">
        <f t="shared" si="89"/>
        <v>7</v>
      </c>
      <c r="BR214" s="347">
        <v>3.9699999999999999E-2</v>
      </c>
      <c r="BS214" s="337">
        <f t="shared" si="91"/>
        <v>12943.287671</v>
      </c>
      <c r="BW214" s="335"/>
      <c r="BX214" s="345"/>
      <c r="CA214" s="337"/>
      <c r="CE214" s="345"/>
      <c r="CH214" s="337"/>
      <c r="CL214" s="335">
        <f t="shared" si="98"/>
        <v>37938</v>
      </c>
      <c r="CM214" s="345">
        <v>37945</v>
      </c>
      <c r="CN214" s="317">
        <f t="shared" si="87"/>
        <v>7</v>
      </c>
      <c r="CO214" s="347">
        <v>1.12E-2</v>
      </c>
      <c r="CP214" s="347"/>
      <c r="CQ214" s="347"/>
      <c r="CR214" s="347"/>
      <c r="CS214" s="347"/>
      <c r="CT214" s="347"/>
      <c r="CU214" s="347"/>
      <c r="CV214" s="337">
        <f t="shared" si="90"/>
        <v>17899.900000000001</v>
      </c>
    </row>
    <row r="215" spans="1:102" hidden="1" x14ac:dyDescent="0.25">
      <c r="A215" s="335">
        <f t="shared" si="99"/>
        <v>35199</v>
      </c>
      <c r="B215" s="353">
        <v>35200</v>
      </c>
      <c r="C215" s="317">
        <f t="shared" si="93"/>
        <v>1</v>
      </c>
      <c r="E215" s="339">
        <v>3.32E-2</v>
      </c>
      <c r="F215" s="339">
        <f>ROUND(((F214*SUM($C$10:C214))+(E215*C215))/SUM($C$10:C215),5)</f>
        <v>3.048E-2</v>
      </c>
      <c r="G215" s="351">
        <v>103.8</v>
      </c>
      <c r="I215" s="335">
        <f t="shared" si="100"/>
        <v>34829</v>
      </c>
      <c r="J215" s="353">
        <v>34830</v>
      </c>
      <c r="K215" s="317">
        <f t="shared" si="94"/>
        <v>1</v>
      </c>
      <c r="M215" s="339">
        <v>4.1270000000000001E-2</v>
      </c>
      <c r="N215" s="339">
        <f>ROUND(((N214*SUM($K$10:K214))+(M215*K215))/SUM($K$10:K215),5)</f>
        <v>2.8670000000000001E-2</v>
      </c>
      <c r="O215" s="351">
        <v>95.4</v>
      </c>
      <c r="Q215" s="335">
        <f t="shared" si="101"/>
        <v>35530</v>
      </c>
      <c r="R215" s="353">
        <v>35531</v>
      </c>
      <c r="S215" s="317">
        <f t="shared" si="95"/>
        <v>1</v>
      </c>
      <c r="U215" s="339">
        <v>3.5479999999999998E-2</v>
      </c>
      <c r="V215" s="339">
        <f>ROUND(((V214*SUM($S$10:S214))+(U215*S215))/SUM($S$10:S215),5)</f>
        <v>3.3689999999999998E-2</v>
      </c>
      <c r="W215" s="357">
        <v>90.2</v>
      </c>
      <c r="AH215" s="345"/>
      <c r="AS215" s="346"/>
      <c r="BB215" s="352"/>
      <c r="BC215" s="348"/>
      <c r="BE215" s="335">
        <f t="shared" si="96"/>
        <v>35073</v>
      </c>
      <c r="BF215" s="353">
        <v>35080</v>
      </c>
      <c r="BG215" s="317">
        <f t="shared" si="92"/>
        <v>7</v>
      </c>
      <c r="BH215" s="339">
        <v>3.27E-2</v>
      </c>
      <c r="BI215" s="337">
        <f t="shared" si="102"/>
        <v>18762.3</v>
      </c>
      <c r="BK215" s="337"/>
      <c r="BO215" s="335">
        <f t="shared" si="97"/>
        <v>37021</v>
      </c>
      <c r="BP215" s="345">
        <v>37028</v>
      </c>
      <c r="BQ215" s="317">
        <f t="shared" si="89"/>
        <v>7</v>
      </c>
      <c r="BR215" s="347">
        <v>3.3399999999999999E-2</v>
      </c>
      <c r="BS215" s="337">
        <f t="shared" si="91"/>
        <v>10889.315068</v>
      </c>
      <c r="BW215" s="335"/>
      <c r="BX215" s="345"/>
      <c r="CA215" s="337"/>
      <c r="CE215" s="345"/>
      <c r="CH215" s="337"/>
      <c r="CL215" s="335">
        <f t="shared" si="98"/>
        <v>37945</v>
      </c>
      <c r="CM215" s="345">
        <v>37952</v>
      </c>
      <c r="CN215" s="317">
        <f t="shared" si="87"/>
        <v>7</v>
      </c>
      <c r="CO215" s="347">
        <v>1.12E-2</v>
      </c>
      <c r="CP215" s="347"/>
      <c r="CQ215" s="347"/>
      <c r="CR215" s="347"/>
      <c r="CS215" s="347"/>
      <c r="CT215" s="347"/>
      <c r="CU215" s="347"/>
      <c r="CV215" s="337">
        <f t="shared" si="90"/>
        <v>17899.900000000001</v>
      </c>
    </row>
    <row r="216" spans="1:102" hidden="1" x14ac:dyDescent="0.25">
      <c r="A216" s="335">
        <f t="shared" si="99"/>
        <v>35200</v>
      </c>
      <c r="B216" s="353">
        <v>35205</v>
      </c>
      <c r="C216" s="317">
        <f t="shared" si="93"/>
        <v>5</v>
      </c>
      <c r="E216" s="339">
        <v>3.3399999999999999E-2</v>
      </c>
      <c r="F216" s="339">
        <f>ROUND(((F215*SUM($C$10:C215))+(E216*C216))/SUM($C$10:C216),5)</f>
        <v>3.049E-2</v>
      </c>
      <c r="G216" s="351">
        <v>103.6</v>
      </c>
      <c r="I216" s="335">
        <f t="shared" si="100"/>
        <v>34830</v>
      </c>
      <c r="J216" s="353">
        <v>34834</v>
      </c>
      <c r="K216" s="317">
        <f t="shared" si="94"/>
        <v>4</v>
      </c>
      <c r="M216" s="339">
        <v>4.138E-2</v>
      </c>
      <c r="N216" s="339">
        <f>ROUND(((N215*SUM($K$10:K215))+(M216*K216))/SUM($K$10:K216),5)</f>
        <v>2.8719999999999999E-2</v>
      </c>
      <c r="O216" s="351">
        <v>99.6</v>
      </c>
      <c r="Q216" s="335">
        <f t="shared" si="101"/>
        <v>35531</v>
      </c>
      <c r="R216" s="353">
        <v>35536</v>
      </c>
      <c r="S216" s="317">
        <f t="shared" si="95"/>
        <v>5</v>
      </c>
      <c r="U216" s="339">
        <v>3.5490000000000001E-2</v>
      </c>
      <c r="V216" s="339">
        <f>ROUND(((V215*SUM($S$10:S215))+(U216*S216))/SUM($S$10:S216),5)</f>
        <v>3.3700000000000001E-2</v>
      </c>
      <c r="W216" s="357">
        <v>89.4</v>
      </c>
      <c r="AH216" s="345"/>
      <c r="AS216" s="346"/>
      <c r="BB216" s="352"/>
      <c r="BC216" s="348"/>
      <c r="BE216" s="335">
        <f t="shared" si="96"/>
        <v>35080</v>
      </c>
      <c r="BF216" s="353">
        <v>35087</v>
      </c>
      <c r="BG216" s="317">
        <f t="shared" si="92"/>
        <v>7</v>
      </c>
      <c r="BH216" s="339">
        <v>3.2600000000000004E-2</v>
      </c>
      <c r="BI216" s="337">
        <f t="shared" si="102"/>
        <v>18704.919999999998</v>
      </c>
      <c r="BK216" s="337"/>
      <c r="BO216" s="335">
        <f t="shared" si="97"/>
        <v>37028</v>
      </c>
      <c r="BP216" s="345">
        <v>37035</v>
      </c>
      <c r="BQ216" s="317">
        <f t="shared" si="89"/>
        <v>7</v>
      </c>
      <c r="BR216" s="347">
        <v>2.9000000000000001E-2</v>
      </c>
      <c r="BS216" s="337">
        <f t="shared" si="91"/>
        <v>9454.7945209999998</v>
      </c>
      <c r="BW216" s="335"/>
      <c r="BX216" s="345"/>
      <c r="CA216" s="337"/>
      <c r="CE216" s="345"/>
      <c r="CH216" s="337"/>
      <c r="CL216" s="335">
        <f t="shared" si="98"/>
        <v>37952</v>
      </c>
      <c r="CM216" s="345">
        <v>37956</v>
      </c>
      <c r="CN216" s="317">
        <f t="shared" si="87"/>
        <v>4</v>
      </c>
      <c r="CO216" s="347">
        <v>1.0999999999999999E-2</v>
      </c>
      <c r="CP216" s="347"/>
      <c r="CQ216" s="347"/>
      <c r="CR216" s="347"/>
      <c r="CS216" s="347"/>
      <c r="CT216" s="347"/>
      <c r="CU216" s="347"/>
      <c r="CV216" s="337">
        <f t="shared" si="90"/>
        <v>10045.86</v>
      </c>
      <c r="CW216" s="341">
        <f>SUM(CV212:CV216)</f>
        <v>74773.179999999993</v>
      </c>
      <c r="CX216" s="360" t="s">
        <v>348</v>
      </c>
    </row>
    <row r="217" spans="1:102" hidden="1" x14ac:dyDescent="0.25">
      <c r="A217" s="335">
        <f t="shared" si="99"/>
        <v>35205</v>
      </c>
      <c r="B217" s="353">
        <v>35206</v>
      </c>
      <c r="C217" s="317">
        <f t="shared" si="93"/>
        <v>1</v>
      </c>
      <c r="E217" s="339">
        <v>3.3660000000000002E-2</v>
      </c>
      <c r="F217" s="339">
        <f>ROUND(((F216*SUM($C$10:C216))+(E217*C217))/SUM($C$10:C217),5)</f>
        <v>3.049E-2</v>
      </c>
      <c r="G217" s="351">
        <v>103.3</v>
      </c>
      <c r="I217" s="335">
        <f t="shared" si="100"/>
        <v>34834</v>
      </c>
      <c r="J217" s="353">
        <v>34835</v>
      </c>
      <c r="K217" s="317">
        <f t="shared" si="94"/>
        <v>1</v>
      </c>
      <c r="M217" s="339">
        <v>4.1489999999999999E-2</v>
      </c>
      <c r="N217" s="339">
        <f>ROUND(((N216*SUM($K$10:K216))+(M217*K217))/SUM($K$10:K217),5)</f>
        <v>2.8729999999999999E-2</v>
      </c>
      <c r="O217" s="351">
        <v>94.8</v>
      </c>
      <c r="Q217" s="335">
        <f t="shared" si="101"/>
        <v>35536</v>
      </c>
      <c r="R217" s="353">
        <v>35545</v>
      </c>
      <c r="S217" s="317">
        <f t="shared" si="95"/>
        <v>9</v>
      </c>
      <c r="U217" s="339">
        <v>3.5499999999999997E-2</v>
      </c>
      <c r="V217" s="339">
        <f>ROUND(((V216*SUM($S$10:S216))+(U217*S217))/SUM($S$10:S217),5)</f>
        <v>3.3709999999999997E-2</v>
      </c>
      <c r="W217" s="357">
        <v>90.2</v>
      </c>
      <c r="AH217" s="345"/>
      <c r="AS217" s="346"/>
      <c r="BB217" s="352"/>
      <c r="BC217" s="348"/>
      <c r="BE217" s="335">
        <f t="shared" si="96"/>
        <v>35087</v>
      </c>
      <c r="BF217" s="353">
        <v>35094</v>
      </c>
      <c r="BG217" s="317">
        <f t="shared" si="92"/>
        <v>7</v>
      </c>
      <c r="BH217" s="339">
        <v>3.1600000000000003E-2</v>
      </c>
      <c r="BI217" s="337">
        <f t="shared" si="102"/>
        <v>18131.150000000001</v>
      </c>
      <c r="BK217" s="337"/>
      <c r="BO217" s="335">
        <f t="shared" si="97"/>
        <v>37035</v>
      </c>
      <c r="BP217" s="345">
        <v>37042</v>
      </c>
      <c r="BQ217" s="317">
        <f t="shared" si="89"/>
        <v>7</v>
      </c>
      <c r="BR217" s="347">
        <v>3.0300000000000001E-2</v>
      </c>
      <c r="BS217" s="337">
        <f t="shared" si="91"/>
        <v>9878.6301370000001</v>
      </c>
      <c r="BW217" s="335"/>
      <c r="BX217" s="345"/>
      <c r="CA217" s="337"/>
      <c r="CE217" s="345"/>
      <c r="CH217" s="337"/>
      <c r="CL217" s="335">
        <f t="shared" si="98"/>
        <v>37956</v>
      </c>
      <c r="CM217" s="345">
        <v>37959</v>
      </c>
      <c r="CN217" s="317">
        <f t="shared" si="87"/>
        <v>3</v>
      </c>
      <c r="CO217" s="346">
        <v>1.0999999999999999E-2</v>
      </c>
      <c r="CP217" s="346"/>
      <c r="CQ217" s="346"/>
      <c r="CR217" s="346"/>
      <c r="CS217" s="346"/>
      <c r="CT217" s="346"/>
      <c r="CU217" s="346"/>
      <c r="CV217" s="337">
        <f t="shared" si="90"/>
        <v>7534.4</v>
      </c>
    </row>
    <row r="218" spans="1:102" hidden="1" x14ac:dyDescent="0.25">
      <c r="A218" s="335">
        <f t="shared" si="99"/>
        <v>35206</v>
      </c>
      <c r="B218" s="353">
        <v>35207</v>
      </c>
      <c r="C218" s="317">
        <f t="shared" si="93"/>
        <v>1</v>
      </c>
      <c r="E218" s="339">
        <v>3.4540000000000001E-2</v>
      </c>
      <c r="F218" s="339">
        <f>ROUND(((F217*SUM($C$10:C217))+(E218*C218))/SUM($C$10:C218),5)</f>
        <v>3.049E-2</v>
      </c>
      <c r="G218" s="351">
        <v>95.4</v>
      </c>
      <c r="I218" s="335">
        <f t="shared" si="100"/>
        <v>34835</v>
      </c>
      <c r="J218" s="353">
        <v>34850</v>
      </c>
      <c r="K218" s="317">
        <f t="shared" si="94"/>
        <v>15</v>
      </c>
      <c r="M218" s="339">
        <v>4.1360000000000001E-2</v>
      </c>
      <c r="N218" s="339">
        <f>ROUND(((N217*SUM($K$10:K217))+(M218*K218))/SUM($K$10:K218),5)</f>
        <v>2.8920000000000001E-2</v>
      </c>
      <c r="O218" s="351">
        <v>97.1</v>
      </c>
      <c r="Q218" s="335">
        <f t="shared" si="101"/>
        <v>35545</v>
      </c>
      <c r="R218" s="345">
        <v>35556</v>
      </c>
      <c r="S218" s="317">
        <f t="shared" si="95"/>
        <v>11</v>
      </c>
      <c r="U218" s="346">
        <v>3.5529999999999999E-2</v>
      </c>
      <c r="V218" s="339">
        <f>ROUND(((V217*SUM($S$10:S217))+(U218*S218))/SUM($S$10:S218),5)</f>
        <v>3.372E-2</v>
      </c>
      <c r="W218" s="357">
        <v>90.1</v>
      </c>
      <c r="AH218" s="345"/>
      <c r="AS218" s="346"/>
      <c r="BB218" s="352"/>
      <c r="BC218" s="348"/>
      <c r="BE218" s="335">
        <f t="shared" si="96"/>
        <v>35094</v>
      </c>
      <c r="BF218" s="353">
        <v>35096</v>
      </c>
      <c r="BG218" s="317">
        <f t="shared" si="92"/>
        <v>2</v>
      </c>
      <c r="BH218" s="339">
        <v>3.2100000000000004E-2</v>
      </c>
      <c r="BI218" s="337">
        <f t="shared" si="102"/>
        <v>5262.3</v>
      </c>
      <c r="BJ218" s="341">
        <f>SUM(BI213:BI218)</f>
        <v>85426.250000000015</v>
      </c>
      <c r="BK218" s="337">
        <v>94502.89</v>
      </c>
      <c r="BL218" s="341">
        <f>BJ218-BK218</f>
        <v>-9076.6399999999849</v>
      </c>
      <c r="BM218" s="341">
        <f>BM212+BL218</f>
        <v>12147.400000000012</v>
      </c>
      <c r="BO218" s="335">
        <f t="shared" si="97"/>
        <v>37042</v>
      </c>
      <c r="BP218" s="345">
        <v>37043</v>
      </c>
      <c r="BQ218" s="317">
        <f t="shared" si="89"/>
        <v>1</v>
      </c>
      <c r="BR218" s="347">
        <v>2.9499999999999998E-2</v>
      </c>
      <c r="BS218" s="337">
        <f t="shared" si="91"/>
        <v>1373.9726029999999</v>
      </c>
      <c r="BT218" s="341">
        <f>SUM(BS213:BS218)</f>
        <v>48443.013699000003</v>
      </c>
      <c r="BX218" s="345"/>
      <c r="CA218" s="337"/>
      <c r="CE218" s="345"/>
      <c r="CH218" s="337"/>
      <c r="CL218" s="335">
        <f t="shared" si="98"/>
        <v>37959</v>
      </c>
      <c r="CM218" s="345">
        <v>37966</v>
      </c>
      <c r="CN218" s="317">
        <f t="shared" si="87"/>
        <v>7</v>
      </c>
      <c r="CO218" s="346">
        <v>1.01E-2</v>
      </c>
      <c r="CP218" s="346"/>
      <c r="CQ218" s="346"/>
      <c r="CR218" s="346"/>
      <c r="CS218" s="346"/>
      <c r="CT218" s="346"/>
      <c r="CU218" s="346"/>
      <c r="CV218" s="337">
        <f t="shared" si="90"/>
        <v>16141.88</v>
      </c>
    </row>
    <row r="219" spans="1:102" hidden="1" x14ac:dyDescent="0.25">
      <c r="A219" s="335">
        <f t="shared" si="99"/>
        <v>35207</v>
      </c>
      <c r="B219" s="353">
        <v>35247</v>
      </c>
      <c r="C219" s="317">
        <f t="shared" si="93"/>
        <v>40</v>
      </c>
      <c r="E219" s="339">
        <v>3.4970000000000001E-2</v>
      </c>
      <c r="F219" s="339">
        <f>ROUND(((F218*SUM($C$10:C218))+(E219*C219))/SUM($C$10:C219),5)</f>
        <v>3.0620000000000001E-2</v>
      </c>
      <c r="G219" s="351">
        <v>93.5</v>
      </c>
      <c r="I219" s="335">
        <f t="shared" si="100"/>
        <v>34850</v>
      </c>
      <c r="J219" s="353">
        <v>34851</v>
      </c>
      <c r="K219" s="317">
        <f t="shared" si="94"/>
        <v>1</v>
      </c>
      <c r="M219" s="339">
        <v>4.1320000000000003E-2</v>
      </c>
      <c r="N219" s="339">
        <f>ROUND(((N218*SUM($K$10:K218))+(M219*K219))/SUM($K$10:K219),5)</f>
        <v>2.8930000000000001E-2</v>
      </c>
      <c r="O219" s="351">
        <v>96.7</v>
      </c>
      <c r="Q219" s="335">
        <f t="shared" si="101"/>
        <v>35556</v>
      </c>
      <c r="R219" s="345">
        <v>35557</v>
      </c>
      <c r="S219" s="317">
        <f t="shared" si="95"/>
        <v>1</v>
      </c>
      <c r="U219" s="346">
        <v>3.5540000000000002E-2</v>
      </c>
      <c r="V219" s="339">
        <f>ROUND(((V218*SUM($S$10:S218))+(U219*S219))/SUM($S$10:S219),5)</f>
        <v>3.372E-2</v>
      </c>
      <c r="W219" s="357">
        <v>90.3</v>
      </c>
      <c r="AH219" s="345"/>
      <c r="AS219" s="346"/>
      <c r="BB219" s="352"/>
      <c r="BC219" s="348"/>
      <c r="BE219" s="335">
        <f t="shared" si="96"/>
        <v>35096</v>
      </c>
      <c r="BF219" s="353">
        <v>35101</v>
      </c>
      <c r="BG219" s="317">
        <f t="shared" si="92"/>
        <v>5</v>
      </c>
      <c r="BH219" s="339">
        <v>3.2100000000000004E-2</v>
      </c>
      <c r="BI219" s="337">
        <f t="shared" si="102"/>
        <v>13155.74</v>
      </c>
      <c r="BK219" s="337"/>
      <c r="BO219" s="335">
        <f t="shared" si="97"/>
        <v>37043</v>
      </c>
      <c r="BP219" s="345">
        <v>37049</v>
      </c>
      <c r="BQ219" s="317">
        <f t="shared" si="89"/>
        <v>6</v>
      </c>
      <c r="BR219" s="347">
        <v>2.9499999999999998E-2</v>
      </c>
      <c r="BS219" s="337">
        <f t="shared" si="91"/>
        <v>8243.8356160000003</v>
      </c>
      <c r="BX219" s="345"/>
      <c r="CA219" s="337"/>
      <c r="CE219" s="345"/>
      <c r="CH219" s="337"/>
      <c r="CL219" s="335">
        <f t="shared" si="98"/>
        <v>37966</v>
      </c>
      <c r="CM219" s="345">
        <v>37973</v>
      </c>
      <c r="CN219" s="317">
        <f t="shared" si="87"/>
        <v>7</v>
      </c>
      <c r="CO219" s="346">
        <v>1.0200000000000001E-2</v>
      </c>
      <c r="CP219" s="346"/>
      <c r="CQ219" s="346"/>
      <c r="CR219" s="346"/>
      <c r="CS219" s="346"/>
      <c r="CT219" s="346"/>
      <c r="CU219" s="346"/>
      <c r="CV219" s="337">
        <f t="shared" si="90"/>
        <v>16301.7</v>
      </c>
    </row>
    <row r="220" spans="1:102" hidden="1" x14ac:dyDescent="0.25">
      <c r="A220" s="335">
        <f t="shared" si="99"/>
        <v>35247</v>
      </c>
      <c r="B220" s="353">
        <v>35264</v>
      </c>
      <c r="C220" s="317">
        <f t="shared" si="93"/>
        <v>17</v>
      </c>
      <c r="E220" s="339">
        <v>3.474E-2</v>
      </c>
      <c r="F220" s="339">
        <f>ROUND(((F219*SUM($C$10:C219))+(E220*C220))/SUM($C$10:C220),5)</f>
        <v>3.0669999999999999E-2</v>
      </c>
      <c r="G220" s="351">
        <v>100</v>
      </c>
      <c r="I220" s="335">
        <f t="shared" si="100"/>
        <v>34851</v>
      </c>
      <c r="J220" s="353">
        <v>34858</v>
      </c>
      <c r="K220" s="317">
        <f t="shared" si="94"/>
        <v>7</v>
      </c>
      <c r="M220" s="339">
        <v>4.1279999999999997E-2</v>
      </c>
      <c r="N220" s="339">
        <f>ROUND(((N219*SUM($K$10:K219))+(M220*K220))/SUM($K$10:K220),5)</f>
        <v>2.9020000000000001E-2</v>
      </c>
      <c r="O220" s="351">
        <v>96.4</v>
      </c>
      <c r="Q220" s="335">
        <f t="shared" si="101"/>
        <v>35557</v>
      </c>
      <c r="R220" s="345">
        <v>35564</v>
      </c>
      <c r="S220" s="317">
        <f t="shared" si="95"/>
        <v>7</v>
      </c>
      <c r="U220" s="346">
        <v>3.5549999999999998E-2</v>
      </c>
      <c r="V220" s="339">
        <f>ROUND(((V219*SUM($S$10:S219))+(U220*S220))/SUM($S$10:S220),5)</f>
        <v>3.3730000000000003E-2</v>
      </c>
      <c r="W220" s="357">
        <v>90.4</v>
      </c>
      <c r="AH220" s="345"/>
      <c r="AS220" s="346"/>
      <c r="BB220" s="352"/>
      <c r="BC220" s="348"/>
      <c r="BE220" s="335">
        <f t="shared" si="96"/>
        <v>35101</v>
      </c>
      <c r="BF220" s="353">
        <v>35108</v>
      </c>
      <c r="BG220" s="317">
        <f t="shared" si="92"/>
        <v>7</v>
      </c>
      <c r="BH220" s="339">
        <v>3.15E-2</v>
      </c>
      <c r="BI220" s="337">
        <f t="shared" si="102"/>
        <v>18073.77</v>
      </c>
      <c r="BK220" s="337"/>
      <c r="BO220" s="335">
        <f t="shared" si="97"/>
        <v>37049</v>
      </c>
      <c r="BP220" s="345">
        <v>37056</v>
      </c>
      <c r="BQ220" s="317">
        <f t="shared" si="89"/>
        <v>7</v>
      </c>
      <c r="BR220" s="347">
        <v>2.1499999999999998E-2</v>
      </c>
      <c r="BS220" s="337">
        <f t="shared" si="91"/>
        <v>7009.5890410000002</v>
      </c>
      <c r="BX220" s="345"/>
      <c r="CA220" s="337"/>
      <c r="CE220" s="345"/>
      <c r="CH220" s="337"/>
      <c r="CL220" s="335">
        <f t="shared" si="98"/>
        <v>37973</v>
      </c>
      <c r="CM220" s="345">
        <v>37980</v>
      </c>
      <c r="CN220" s="317">
        <f t="shared" si="87"/>
        <v>7</v>
      </c>
      <c r="CO220" s="346">
        <v>1.11E-2</v>
      </c>
      <c r="CP220" s="346"/>
      <c r="CQ220" s="346"/>
      <c r="CR220" s="346"/>
      <c r="CS220" s="346"/>
      <c r="CT220" s="346"/>
      <c r="CU220" s="346"/>
      <c r="CV220" s="337">
        <f t="shared" si="90"/>
        <v>17740.080000000002</v>
      </c>
    </row>
    <row r="221" spans="1:102" hidden="1" x14ac:dyDescent="0.25">
      <c r="A221" s="335">
        <f t="shared" si="99"/>
        <v>35264</v>
      </c>
      <c r="B221" s="353">
        <v>35271</v>
      </c>
      <c r="C221" s="317">
        <f t="shared" si="93"/>
        <v>7</v>
      </c>
      <c r="E221" s="339">
        <v>3.458E-2</v>
      </c>
      <c r="F221" s="339">
        <f>ROUND(((F220*SUM($C$10:C220))+(E221*C221))/SUM($C$10:C221),5)</f>
        <v>3.0689999999999999E-2</v>
      </c>
      <c r="G221" s="351">
        <v>93.5</v>
      </c>
      <c r="I221" s="335">
        <f t="shared" si="100"/>
        <v>34858</v>
      </c>
      <c r="J221" s="353">
        <v>34862</v>
      </c>
      <c r="K221" s="317">
        <f t="shared" si="94"/>
        <v>4</v>
      </c>
      <c r="M221" s="339">
        <v>4.0469999999999999E-2</v>
      </c>
      <c r="N221" s="339">
        <f>ROUND(((N220*SUM($K$10:K220))+(M221*K221))/SUM($K$10:K221),5)</f>
        <v>2.9069999999999999E-2</v>
      </c>
      <c r="O221" s="351">
        <v>87.2</v>
      </c>
      <c r="Q221" s="335">
        <f t="shared" si="101"/>
        <v>35564</v>
      </c>
      <c r="R221" s="345">
        <v>35573</v>
      </c>
      <c r="S221" s="317">
        <f t="shared" si="95"/>
        <v>9</v>
      </c>
      <c r="U221" s="346">
        <v>3.6319999999999998E-2</v>
      </c>
      <c r="V221" s="339">
        <f>ROUND(((V220*SUM($S$10:S220))+(U221*S221))/SUM($S$10:S221),5)</f>
        <v>3.3750000000000002E-2</v>
      </c>
      <c r="W221" s="357">
        <v>88.5</v>
      </c>
      <c r="AH221" s="345"/>
      <c r="AS221" s="346"/>
      <c r="BB221" s="352"/>
      <c r="BC221" s="348"/>
      <c r="BE221" s="335">
        <f t="shared" si="96"/>
        <v>35108</v>
      </c>
      <c r="BF221" s="353">
        <v>35115</v>
      </c>
      <c r="BG221" s="317">
        <f t="shared" si="92"/>
        <v>7</v>
      </c>
      <c r="BH221" s="339">
        <v>3.3399999999999999E-2</v>
      </c>
      <c r="BI221" s="337">
        <f t="shared" si="102"/>
        <v>19163.93</v>
      </c>
      <c r="BK221" s="337"/>
      <c r="BO221" s="335">
        <f t="shared" si="97"/>
        <v>37056</v>
      </c>
      <c r="BP221" s="345">
        <v>37063</v>
      </c>
      <c r="BQ221" s="317">
        <f t="shared" si="89"/>
        <v>7</v>
      </c>
      <c r="BR221" s="347">
        <v>3.0499999999999999E-2</v>
      </c>
      <c r="BS221" s="337">
        <f t="shared" si="91"/>
        <v>9943.8356160000003</v>
      </c>
      <c r="BX221" s="345"/>
      <c r="CA221" s="337"/>
      <c r="CE221" s="345"/>
      <c r="CH221" s="337"/>
      <c r="CL221" s="335">
        <f t="shared" si="98"/>
        <v>37980</v>
      </c>
      <c r="CM221" s="345">
        <v>37987</v>
      </c>
      <c r="CN221" s="317">
        <f t="shared" si="87"/>
        <v>7</v>
      </c>
      <c r="CO221" s="347">
        <v>1.23E-2</v>
      </c>
      <c r="CP221" s="347"/>
      <c r="CQ221" s="347"/>
      <c r="CR221" s="347"/>
      <c r="CS221" s="347"/>
      <c r="CT221" s="347"/>
      <c r="CU221" s="347"/>
      <c r="CV221" s="337">
        <f t="shared" si="90"/>
        <v>19657.93</v>
      </c>
      <c r="CW221" s="341">
        <f>SUM(CV217:CV221)</f>
        <v>77375.989999999991</v>
      </c>
    </row>
    <row r="222" spans="1:102" hidden="1" x14ac:dyDescent="0.25">
      <c r="A222" s="335">
        <f t="shared" si="99"/>
        <v>35271</v>
      </c>
      <c r="B222" s="353">
        <v>35284</v>
      </c>
      <c r="C222" s="317">
        <f t="shared" si="93"/>
        <v>13</v>
      </c>
      <c r="E222" s="339">
        <v>3.576E-2</v>
      </c>
      <c r="F222" s="339">
        <f>ROUND(((F221*SUM($C$10:C221))+(E222*C222))/SUM($C$10:C222),5)</f>
        <v>3.074E-2</v>
      </c>
      <c r="G222" s="351">
        <v>87.3</v>
      </c>
      <c r="I222" s="335">
        <f t="shared" si="100"/>
        <v>34862</v>
      </c>
      <c r="J222" s="353">
        <v>34863</v>
      </c>
      <c r="K222" s="317">
        <f t="shared" si="94"/>
        <v>1</v>
      </c>
      <c r="M222" s="339">
        <v>3.993E-2</v>
      </c>
      <c r="N222" s="339">
        <f>ROUND(((N221*SUM($K$10:K221))+(M222*K222))/SUM($K$10:K222),5)</f>
        <v>2.9080000000000002E-2</v>
      </c>
      <c r="O222" s="351">
        <v>87.9</v>
      </c>
      <c r="Q222" s="335">
        <f t="shared" si="101"/>
        <v>35573</v>
      </c>
      <c r="R222" s="345">
        <v>35583</v>
      </c>
      <c r="S222" s="317">
        <f t="shared" si="95"/>
        <v>10</v>
      </c>
      <c r="U222" s="346">
        <v>3.6580000000000001E-2</v>
      </c>
      <c r="V222" s="339">
        <f>ROUND(((V221*SUM($S$10:S221))+(U222*S222))/SUM($S$10:S222),5)</f>
        <v>3.3770000000000001E-2</v>
      </c>
      <c r="W222" s="357">
        <v>91</v>
      </c>
      <c r="AH222" s="345"/>
      <c r="AS222" s="346"/>
      <c r="BB222" s="352"/>
      <c r="BC222" s="348"/>
      <c r="BE222" s="335">
        <f t="shared" si="96"/>
        <v>35115</v>
      </c>
      <c r="BF222" s="353">
        <v>35122</v>
      </c>
      <c r="BG222" s="317">
        <f t="shared" si="92"/>
        <v>7</v>
      </c>
      <c r="BH222" s="339">
        <v>3.3600000000000005E-2</v>
      </c>
      <c r="BI222" s="337">
        <f t="shared" si="102"/>
        <v>19278.689999999999</v>
      </c>
      <c r="BK222" s="337"/>
      <c r="BO222" s="335">
        <f t="shared" si="97"/>
        <v>37063</v>
      </c>
      <c r="BP222" s="345">
        <v>37070</v>
      </c>
      <c r="BQ222" s="317">
        <f t="shared" si="89"/>
        <v>7</v>
      </c>
      <c r="BR222" s="347">
        <v>2.9700000000000001E-2</v>
      </c>
      <c r="BS222" s="337">
        <f t="shared" si="91"/>
        <v>9683.0136989999992</v>
      </c>
      <c r="BX222" s="345"/>
      <c r="CA222" s="337"/>
      <c r="CE222" s="345"/>
      <c r="CH222" s="337"/>
      <c r="CL222" s="335">
        <f t="shared" si="98"/>
        <v>37987</v>
      </c>
      <c r="CM222" s="345">
        <v>37994</v>
      </c>
      <c r="CN222" s="317">
        <f t="shared" si="87"/>
        <v>7</v>
      </c>
      <c r="CO222" s="347">
        <v>1.14E-2</v>
      </c>
      <c r="CP222" s="347"/>
      <c r="CQ222" s="347"/>
      <c r="CR222" s="347"/>
      <c r="CS222" s="347"/>
      <c r="CT222" s="347"/>
      <c r="CU222" s="347"/>
      <c r="CV222" s="337">
        <f t="shared" ref="CV222:CV236" si="103">ROUND($CR$5*CO222*CN222/366,6)</f>
        <v>18169.762295</v>
      </c>
      <c r="CW222" s="341" t="s">
        <v>35</v>
      </c>
    </row>
    <row r="223" spans="1:102" hidden="1" x14ac:dyDescent="0.25">
      <c r="A223" s="335">
        <f t="shared" si="99"/>
        <v>35284</v>
      </c>
      <c r="B223" s="353">
        <v>35285</v>
      </c>
      <c r="C223" s="317">
        <f t="shared" si="93"/>
        <v>1</v>
      </c>
      <c r="E223" s="339">
        <v>3.5790000000000002E-2</v>
      </c>
      <c r="F223" s="339">
        <f>ROUND(((F222*SUM($C$10:C222))+(E223*C223))/SUM($C$10:C223),5)</f>
        <v>3.074E-2</v>
      </c>
      <c r="G223" s="351">
        <v>89.6</v>
      </c>
      <c r="I223" s="335">
        <f t="shared" si="100"/>
        <v>34863</v>
      </c>
      <c r="J223" s="353">
        <v>34865</v>
      </c>
      <c r="K223" s="317">
        <f t="shared" si="94"/>
        <v>2</v>
      </c>
      <c r="M223" s="339">
        <v>3.9800000000000002E-2</v>
      </c>
      <c r="N223" s="339">
        <f>ROUND(((N222*SUM($K$10:K222))+(M223*K223))/SUM($K$10:K223),5)</f>
        <v>2.9100000000000001E-2</v>
      </c>
      <c r="O223" s="351">
        <v>85.7</v>
      </c>
      <c r="Q223" s="335">
        <f t="shared" si="101"/>
        <v>35583</v>
      </c>
      <c r="R223" s="345">
        <v>35586</v>
      </c>
      <c r="S223" s="317">
        <f t="shared" si="95"/>
        <v>3</v>
      </c>
      <c r="U223" s="346">
        <v>3.6580000000000001E-2</v>
      </c>
      <c r="V223" s="339">
        <f>ROUND(((V222*SUM($S$10:S222))+(U223*S223))/SUM($S$10:S223),5)</f>
        <v>3.3779999999999998E-2</v>
      </c>
      <c r="W223" s="357">
        <v>90</v>
      </c>
      <c r="AH223" s="345"/>
      <c r="AS223" s="346"/>
      <c r="BB223" s="352"/>
      <c r="BC223" s="348"/>
      <c r="BE223" s="335">
        <f t="shared" si="96"/>
        <v>35122</v>
      </c>
      <c r="BF223" s="353">
        <v>35125</v>
      </c>
      <c r="BG223" s="317">
        <f t="shared" si="92"/>
        <v>3</v>
      </c>
      <c r="BH223" s="339">
        <v>3.3000000000000002E-2</v>
      </c>
      <c r="BI223" s="337">
        <f t="shared" si="102"/>
        <v>8114.75</v>
      </c>
      <c r="BJ223" s="341">
        <f>SUM(BI219:BI223)</f>
        <v>77786.880000000005</v>
      </c>
      <c r="BK223" s="337">
        <v>83293.59</v>
      </c>
      <c r="BL223" s="341">
        <f>BJ223-BK223</f>
        <v>-5506.7099999999919</v>
      </c>
      <c r="BM223" s="341">
        <f>BM218+BL223</f>
        <v>6640.6900000000205</v>
      </c>
      <c r="BO223" s="335">
        <f t="shared" si="97"/>
        <v>37070</v>
      </c>
      <c r="BP223" s="345">
        <v>37073</v>
      </c>
      <c r="BQ223" s="317">
        <f t="shared" si="89"/>
        <v>3</v>
      </c>
      <c r="BR223" s="347">
        <v>2.6800000000000001E-2</v>
      </c>
      <c r="BS223" s="337">
        <f t="shared" si="91"/>
        <v>3744.6575339999999</v>
      </c>
      <c r="BT223" s="341">
        <f>SUM(BS219:BS223)</f>
        <v>38624.931505999994</v>
      </c>
      <c r="BX223" s="345"/>
      <c r="CA223" s="337"/>
      <c r="CE223" s="345"/>
      <c r="CH223" s="337"/>
      <c r="CL223" s="335">
        <f t="shared" si="98"/>
        <v>37994</v>
      </c>
      <c r="CM223" s="345">
        <v>38001</v>
      </c>
      <c r="CN223" s="317">
        <f t="shared" si="87"/>
        <v>7</v>
      </c>
      <c r="CO223" s="347">
        <v>9.1000000000000004E-3</v>
      </c>
      <c r="CP223" s="347"/>
      <c r="CQ223" s="347"/>
      <c r="CR223" s="347"/>
      <c r="CS223" s="347"/>
      <c r="CT223" s="347"/>
      <c r="CU223" s="347"/>
      <c r="CV223" s="337">
        <f t="shared" si="103"/>
        <v>14503.933059999999</v>
      </c>
    </row>
    <row r="224" spans="1:102" hidden="1" x14ac:dyDescent="0.25">
      <c r="A224" s="335">
        <f t="shared" si="99"/>
        <v>35285</v>
      </c>
      <c r="B224" s="353">
        <v>35289</v>
      </c>
      <c r="C224" s="317">
        <f t="shared" si="93"/>
        <v>4</v>
      </c>
      <c r="E224" s="339">
        <v>3.551E-2</v>
      </c>
      <c r="F224" s="339">
        <f>ROUND(((F223*SUM($C$10:C223))+(E224*C224))/SUM($C$10:C224),5)</f>
        <v>3.075E-2</v>
      </c>
      <c r="G224" s="351">
        <v>97</v>
      </c>
      <c r="I224" s="335">
        <f t="shared" si="100"/>
        <v>34865</v>
      </c>
      <c r="J224" s="353">
        <v>34866</v>
      </c>
      <c r="K224" s="317">
        <f t="shared" si="94"/>
        <v>1</v>
      </c>
      <c r="M224" s="339">
        <v>3.9570000000000001E-2</v>
      </c>
      <c r="N224" s="339">
        <f>ROUND(((N223*SUM($K$10:K223))+(M224*K224))/SUM($K$10:K224),5)</f>
        <v>2.911E-2</v>
      </c>
      <c r="O224" s="351">
        <v>88.2</v>
      </c>
      <c r="Q224" s="335">
        <f t="shared" si="101"/>
        <v>35586</v>
      </c>
      <c r="R224" s="345">
        <v>35587</v>
      </c>
      <c r="S224" s="317">
        <f t="shared" si="95"/>
        <v>1</v>
      </c>
      <c r="U224" s="346">
        <v>3.6589999999999998E-2</v>
      </c>
      <c r="V224" s="339">
        <f>ROUND(((V223*SUM($S$10:S223))+(U224*S224))/SUM($S$10:S224),5)</f>
        <v>3.3779999999999998E-2</v>
      </c>
      <c r="W224" s="357">
        <v>86.4</v>
      </c>
      <c r="AH224" s="345"/>
      <c r="AS224" s="346"/>
      <c r="BB224" s="352"/>
      <c r="BC224" s="348"/>
      <c r="BE224" s="335">
        <f t="shared" si="96"/>
        <v>35125</v>
      </c>
      <c r="BF224" s="353">
        <v>35129</v>
      </c>
      <c r="BG224" s="317">
        <f t="shared" si="92"/>
        <v>4</v>
      </c>
      <c r="BH224" s="339">
        <v>3.3000000000000002E-2</v>
      </c>
      <c r="BI224" s="337">
        <f t="shared" si="102"/>
        <v>10819.67</v>
      </c>
      <c r="BK224" s="337"/>
      <c r="BO224" s="335">
        <f t="shared" si="97"/>
        <v>37073</v>
      </c>
      <c r="BP224" s="345">
        <v>37077</v>
      </c>
      <c r="BQ224" s="317">
        <f t="shared" si="89"/>
        <v>4</v>
      </c>
      <c r="BR224" s="347">
        <v>2.6800000000000001E-2</v>
      </c>
      <c r="BS224" s="337">
        <f t="shared" si="91"/>
        <v>4992.8767120000002</v>
      </c>
      <c r="BX224" s="345"/>
      <c r="CA224" s="337"/>
      <c r="CE224" s="345"/>
      <c r="CH224" s="337"/>
      <c r="CL224" s="335">
        <f t="shared" si="98"/>
        <v>38001</v>
      </c>
      <c r="CM224" s="345">
        <v>38008</v>
      </c>
      <c r="CN224" s="317">
        <f t="shared" si="87"/>
        <v>7</v>
      </c>
      <c r="CO224" s="347">
        <v>9.4999999999999998E-3</v>
      </c>
      <c r="CP224" s="347"/>
      <c r="CQ224" s="347"/>
      <c r="CR224" s="347"/>
      <c r="CS224" s="347"/>
      <c r="CT224" s="347"/>
      <c r="CU224" s="347"/>
      <c r="CV224" s="337">
        <f t="shared" si="103"/>
        <v>15141.468579</v>
      </c>
    </row>
    <row r="225" spans="1:101" hidden="1" x14ac:dyDescent="0.25">
      <c r="A225" s="335">
        <f t="shared" si="99"/>
        <v>35289</v>
      </c>
      <c r="B225" s="353">
        <v>35292</v>
      </c>
      <c r="C225" s="317">
        <f t="shared" si="93"/>
        <v>3</v>
      </c>
      <c r="E225" s="339">
        <v>3.5479999999999998E-2</v>
      </c>
      <c r="F225" s="339">
        <f>ROUND(((F224*SUM($C$10:C224))+(E225*C225))/SUM($C$10:C225),5)</f>
        <v>3.0759999999999999E-2</v>
      </c>
      <c r="G225" s="351">
        <v>87.2</v>
      </c>
      <c r="I225" s="335">
        <f t="shared" si="100"/>
        <v>34866</v>
      </c>
      <c r="J225" s="353">
        <v>34891</v>
      </c>
      <c r="K225" s="317">
        <f t="shared" si="94"/>
        <v>25</v>
      </c>
      <c r="M225" s="339">
        <v>3.8980000000000001E-2</v>
      </c>
      <c r="N225" s="339">
        <f>ROUND(((N224*SUM($K$10:K224))+(M225*K225))/SUM($K$10:K225),5)</f>
        <v>2.9350000000000001E-2</v>
      </c>
      <c r="O225" s="351">
        <v>91.7</v>
      </c>
      <c r="Q225" s="335">
        <f t="shared" si="101"/>
        <v>35587</v>
      </c>
      <c r="R225" s="345">
        <v>35592</v>
      </c>
      <c r="S225" s="317">
        <f t="shared" si="95"/>
        <v>5</v>
      </c>
      <c r="U225" s="346">
        <v>3.6639999999999999E-2</v>
      </c>
      <c r="V225" s="339">
        <f>ROUND(((V224*SUM($S$10:S224))+(U225*S225))/SUM($S$10:S225),5)</f>
        <v>3.3790000000000001E-2</v>
      </c>
      <c r="W225" s="357">
        <v>94.5</v>
      </c>
      <c r="AH225" s="345"/>
      <c r="AS225" s="346"/>
      <c r="BB225" s="352"/>
      <c r="BC225" s="348"/>
      <c r="BE225" s="335">
        <f t="shared" si="96"/>
        <v>35129</v>
      </c>
      <c r="BF225" s="353">
        <v>35136</v>
      </c>
      <c r="BG225" s="317">
        <f t="shared" si="92"/>
        <v>7</v>
      </c>
      <c r="BH225" s="339">
        <v>3.0800000000000001E-2</v>
      </c>
      <c r="BI225" s="337">
        <f t="shared" si="102"/>
        <v>17672.13</v>
      </c>
      <c r="BK225" s="337"/>
      <c r="BO225" s="335">
        <f t="shared" si="97"/>
        <v>37077</v>
      </c>
      <c r="BP225" s="345">
        <v>37084</v>
      </c>
      <c r="BQ225" s="317">
        <f t="shared" si="89"/>
        <v>7</v>
      </c>
      <c r="BR225" s="347">
        <v>2.12E-2</v>
      </c>
      <c r="BS225" s="337">
        <f t="shared" si="91"/>
        <v>6911.7808219999997</v>
      </c>
      <c r="BX225" s="345"/>
      <c r="CA225" s="337"/>
      <c r="CE225" s="345"/>
      <c r="CH225" s="337"/>
      <c r="CL225" s="335">
        <f t="shared" si="98"/>
        <v>38008</v>
      </c>
      <c r="CM225" s="345">
        <v>38015</v>
      </c>
      <c r="CN225" s="317">
        <f t="shared" si="87"/>
        <v>7</v>
      </c>
      <c r="CO225" s="347">
        <v>9.4000000000000004E-3</v>
      </c>
      <c r="CP225" s="347"/>
      <c r="CQ225" s="347"/>
      <c r="CR225" s="347"/>
      <c r="CS225" s="347"/>
      <c r="CT225" s="347"/>
      <c r="CU225" s="347"/>
      <c r="CV225" s="337">
        <f t="shared" si="103"/>
        <v>14982.084698999999</v>
      </c>
    </row>
    <row r="226" spans="1:101" hidden="1" x14ac:dyDescent="0.25">
      <c r="A226" s="335">
        <f t="shared" si="99"/>
        <v>35292</v>
      </c>
      <c r="B226" s="353">
        <v>35299</v>
      </c>
      <c r="C226" s="317">
        <f t="shared" si="93"/>
        <v>7</v>
      </c>
      <c r="E226" s="339">
        <v>3.5470000000000002E-2</v>
      </c>
      <c r="F226" s="339">
        <f>ROUND(((F225*SUM($C$10:C225))+(E226*C226))/SUM($C$10:C226),5)</f>
        <v>3.0779999999999998E-2</v>
      </c>
      <c r="G226" s="351">
        <v>85.5</v>
      </c>
      <c r="I226" s="335">
        <f t="shared" si="100"/>
        <v>34891</v>
      </c>
      <c r="J226" s="353">
        <v>34894</v>
      </c>
      <c r="K226" s="317">
        <f t="shared" si="94"/>
        <v>3</v>
      </c>
      <c r="M226" s="339">
        <v>3.8870000000000002E-2</v>
      </c>
      <c r="N226" s="339">
        <f>ROUND(((N225*SUM($K$10:K225))+(M226*K226))/SUM($K$10:K226),5)</f>
        <v>2.938E-2</v>
      </c>
      <c r="O226" s="351">
        <v>91.8</v>
      </c>
      <c r="Q226" s="335">
        <f t="shared" si="101"/>
        <v>35592</v>
      </c>
      <c r="R226" s="345">
        <v>35597</v>
      </c>
      <c r="S226" s="317">
        <f t="shared" si="95"/>
        <v>5</v>
      </c>
      <c r="U226" s="346">
        <v>3.6740000000000002E-2</v>
      </c>
      <c r="V226" s="339">
        <f>ROUND(((V225*SUM($S$10:S225))+(U226*S226))/SUM($S$10:S226),5)</f>
        <v>3.3799999999999997E-2</v>
      </c>
      <c r="W226" s="357">
        <v>90.4</v>
      </c>
      <c r="AH226" s="345"/>
      <c r="AS226" s="346"/>
      <c r="BB226" s="352"/>
      <c r="BC226" s="348"/>
      <c r="BE226" s="335">
        <f t="shared" si="96"/>
        <v>35136</v>
      </c>
      <c r="BF226" s="353">
        <v>35143</v>
      </c>
      <c r="BG226" s="317">
        <f t="shared" si="92"/>
        <v>7</v>
      </c>
      <c r="BH226" s="339">
        <v>3.1400000000000004E-2</v>
      </c>
      <c r="BI226" s="337">
        <f t="shared" si="102"/>
        <v>18016.39</v>
      </c>
      <c r="BO226" s="335">
        <f t="shared" si="97"/>
        <v>37084</v>
      </c>
      <c r="BP226" s="345">
        <v>37091</v>
      </c>
      <c r="BQ226" s="317">
        <f t="shared" si="89"/>
        <v>7</v>
      </c>
      <c r="BR226" s="347">
        <v>2.3400000000000001E-2</v>
      </c>
      <c r="BS226" s="337">
        <f t="shared" si="91"/>
        <v>7629.0410959999999</v>
      </c>
      <c r="BX226" s="345"/>
      <c r="CA226" s="337"/>
      <c r="CE226" s="345"/>
      <c r="CH226" s="337"/>
      <c r="CL226" s="335">
        <f t="shared" si="98"/>
        <v>38015</v>
      </c>
      <c r="CM226" s="345">
        <v>38018</v>
      </c>
      <c r="CN226" s="317">
        <f t="shared" si="87"/>
        <v>3</v>
      </c>
      <c r="CO226" s="347">
        <v>9.4999999999999998E-3</v>
      </c>
      <c r="CP226" s="347"/>
      <c r="CQ226" s="347"/>
      <c r="CR226" s="347"/>
      <c r="CS226" s="347"/>
      <c r="CT226" s="347"/>
      <c r="CU226" s="347"/>
      <c r="CV226" s="337">
        <f t="shared" si="103"/>
        <v>6489.20082</v>
      </c>
      <c r="CW226" s="341">
        <f>SUM(CV222:CV226)</f>
        <v>69286.449452999994</v>
      </c>
    </row>
    <row r="227" spans="1:101" hidden="1" x14ac:dyDescent="0.25">
      <c r="A227" s="335">
        <f t="shared" si="99"/>
        <v>35299</v>
      </c>
      <c r="B227" s="353">
        <v>35313</v>
      </c>
      <c r="C227" s="317">
        <f t="shared" si="93"/>
        <v>14</v>
      </c>
      <c r="E227" s="339">
        <v>3.542E-2</v>
      </c>
      <c r="F227" s="339">
        <f>ROUND(((F226*SUM($C$10:C226))+(E227*C227))/SUM($C$10:C227),5)</f>
        <v>3.082E-2</v>
      </c>
      <c r="G227" s="351">
        <v>86.6</v>
      </c>
      <c r="I227" s="335">
        <f t="shared" si="100"/>
        <v>34894</v>
      </c>
      <c r="J227" s="353">
        <v>34908</v>
      </c>
      <c r="K227" s="317">
        <f t="shared" si="94"/>
        <v>14</v>
      </c>
      <c r="M227" s="339">
        <v>3.8769999999999999E-2</v>
      </c>
      <c r="N227" s="339">
        <f>ROUND(((N226*SUM($K$10:K226))+(M227*K227))/SUM($K$10:K227),5)</f>
        <v>2.9510000000000002E-2</v>
      </c>
      <c r="O227" s="351">
        <v>101.5</v>
      </c>
      <c r="Q227" s="335">
        <f t="shared" si="101"/>
        <v>35597</v>
      </c>
      <c r="R227" s="345">
        <v>35606</v>
      </c>
      <c r="S227" s="317">
        <f t="shared" si="95"/>
        <v>9</v>
      </c>
      <c r="U227" s="346">
        <v>3.7060000000000003E-2</v>
      </c>
      <c r="V227" s="339">
        <f>ROUND(((V226*SUM($S$10:S226))+(U227*S227))/SUM($S$10:S227),5)</f>
        <v>3.3820000000000003E-2</v>
      </c>
      <c r="W227" s="357">
        <v>85.3</v>
      </c>
      <c r="AH227" s="345"/>
      <c r="AS227" s="346"/>
      <c r="BB227" s="352"/>
      <c r="BC227" s="348"/>
      <c r="BE227" s="335">
        <f t="shared" si="96"/>
        <v>35143</v>
      </c>
      <c r="BF227" s="353">
        <v>35150</v>
      </c>
      <c r="BG227" s="317">
        <f t="shared" si="92"/>
        <v>7</v>
      </c>
      <c r="BH227" s="339">
        <v>3.3100000000000004E-2</v>
      </c>
      <c r="BI227" s="337">
        <f t="shared" si="102"/>
        <v>18991.8</v>
      </c>
      <c r="BO227" s="335">
        <f t="shared" si="97"/>
        <v>37091</v>
      </c>
      <c r="BP227" s="345">
        <v>37098</v>
      </c>
      <c r="BQ227" s="317">
        <f t="shared" si="89"/>
        <v>7</v>
      </c>
      <c r="BR227" s="347">
        <v>2.6800000000000001E-2</v>
      </c>
      <c r="BS227" s="337">
        <f t="shared" si="91"/>
        <v>8737.5342469999996</v>
      </c>
      <c r="BX227" s="345"/>
      <c r="CA227" s="337"/>
      <c r="CE227" s="345"/>
      <c r="CH227" s="337"/>
      <c r="CL227" s="335">
        <f t="shared" si="98"/>
        <v>38018</v>
      </c>
      <c r="CM227" s="345">
        <v>38022</v>
      </c>
      <c r="CN227" s="317">
        <f t="shared" si="87"/>
        <v>4</v>
      </c>
      <c r="CO227" s="347">
        <v>9.4999999999999998E-3</v>
      </c>
      <c r="CP227" s="347"/>
      <c r="CQ227" s="347"/>
      <c r="CR227" s="347"/>
      <c r="CS227" s="347"/>
      <c r="CT227" s="347"/>
      <c r="CU227" s="347"/>
      <c r="CV227" s="337">
        <f t="shared" si="103"/>
        <v>8652.2677600000006</v>
      </c>
    </row>
    <row r="228" spans="1:101" hidden="1" x14ac:dyDescent="0.25">
      <c r="A228" s="335">
        <f t="shared" si="99"/>
        <v>35313</v>
      </c>
      <c r="B228" s="353">
        <v>35340</v>
      </c>
      <c r="C228" s="317">
        <f t="shared" si="93"/>
        <v>27</v>
      </c>
      <c r="E228" s="339">
        <v>3.5319999999999997E-2</v>
      </c>
      <c r="F228" s="339">
        <f>ROUND(((F227*SUM($C$10:C227))+(E228*C228))/SUM($C$10:C228),5)</f>
        <v>3.09E-2</v>
      </c>
      <c r="G228" s="351">
        <v>86.9</v>
      </c>
      <c r="I228" s="335">
        <f t="shared" si="100"/>
        <v>34908</v>
      </c>
      <c r="J228" s="353">
        <v>34918</v>
      </c>
      <c r="K228" s="317">
        <f t="shared" si="94"/>
        <v>10</v>
      </c>
      <c r="M228" s="339">
        <v>3.8530000000000002E-2</v>
      </c>
      <c r="N228" s="339">
        <f>ROUND(((N227*SUM($K$10:K227))+(M228*K228))/SUM($K$10:K228),5)</f>
        <v>2.9600000000000001E-2</v>
      </c>
      <c r="O228" s="351">
        <v>102.9</v>
      </c>
      <c r="Q228" s="335">
        <f t="shared" si="101"/>
        <v>35606</v>
      </c>
      <c r="R228" s="345">
        <v>35608</v>
      </c>
      <c r="S228" s="317">
        <f t="shared" si="95"/>
        <v>2</v>
      </c>
      <c r="U228" s="346">
        <v>3.703E-2</v>
      </c>
      <c r="V228" s="339">
        <f>ROUND(((V227*SUM($S$10:S227))+(U228*S228))/SUM($S$10:S228),5)</f>
        <v>3.3820000000000003E-2</v>
      </c>
      <c r="W228" s="357">
        <v>87.6</v>
      </c>
      <c r="AH228" s="345"/>
      <c r="AS228" s="346"/>
      <c r="BB228" s="352"/>
      <c r="BC228" s="348"/>
      <c r="BE228" s="335">
        <f t="shared" si="96"/>
        <v>35150</v>
      </c>
      <c r="BF228" s="353">
        <v>35156</v>
      </c>
      <c r="BG228" s="317">
        <f t="shared" si="92"/>
        <v>6</v>
      </c>
      <c r="BH228" s="339">
        <v>3.3800000000000004E-2</v>
      </c>
      <c r="BI228" s="337">
        <f t="shared" si="102"/>
        <v>16622.95</v>
      </c>
      <c r="BJ228" s="341">
        <f>SUM(BI224:BI228)</f>
        <v>82122.94</v>
      </c>
      <c r="BK228" s="337">
        <v>81001.59</v>
      </c>
      <c r="BL228" s="341">
        <f>BJ228-BK228</f>
        <v>1121.3500000000058</v>
      </c>
      <c r="BM228" s="341">
        <f>BM223+BL228</f>
        <v>7762.0400000000263</v>
      </c>
      <c r="BO228" s="335">
        <f t="shared" si="97"/>
        <v>37098</v>
      </c>
      <c r="BP228" s="345">
        <v>37104</v>
      </c>
      <c r="BQ228" s="317">
        <f t="shared" si="89"/>
        <v>6</v>
      </c>
      <c r="BR228" s="347">
        <v>2.64E-2</v>
      </c>
      <c r="BS228" s="337">
        <f t="shared" si="91"/>
        <v>7377.5342469999996</v>
      </c>
      <c r="BT228" s="341">
        <f>SUM(BS224:BS228)</f>
        <v>35648.767123999998</v>
      </c>
      <c r="BX228" s="345"/>
      <c r="CA228" s="337"/>
      <c r="CE228" s="345"/>
      <c r="CH228" s="337"/>
      <c r="CL228" s="335">
        <f t="shared" si="98"/>
        <v>38022</v>
      </c>
      <c r="CM228" s="345">
        <v>38029</v>
      </c>
      <c r="CN228" s="317">
        <f t="shared" si="87"/>
        <v>7</v>
      </c>
      <c r="CO228" s="347">
        <v>8.8000000000000005E-3</v>
      </c>
      <c r="CP228" s="347"/>
      <c r="CQ228" s="347"/>
      <c r="CR228" s="347"/>
      <c r="CS228" s="347"/>
      <c r="CT228" s="347"/>
      <c r="CU228" s="347"/>
      <c r="CV228" s="337">
        <f t="shared" si="103"/>
        <v>14025.781421</v>
      </c>
    </row>
    <row r="229" spans="1:101" hidden="1" x14ac:dyDescent="0.25">
      <c r="A229" s="335">
        <f t="shared" si="99"/>
        <v>35340</v>
      </c>
      <c r="B229" s="353">
        <v>35347</v>
      </c>
      <c r="C229" s="317">
        <f t="shared" si="93"/>
        <v>7</v>
      </c>
      <c r="E229" s="339">
        <v>3.5319999999999997E-2</v>
      </c>
      <c r="F229" s="339">
        <f>ROUND(((F228*SUM($C$10:C228))+(E229*C229))/SUM($C$10:C229),5)</f>
        <v>3.092E-2</v>
      </c>
      <c r="G229" s="351">
        <v>90.6</v>
      </c>
      <c r="I229" s="335">
        <f t="shared" si="100"/>
        <v>34918</v>
      </c>
      <c r="J229" s="353">
        <v>34920</v>
      </c>
      <c r="K229" s="317">
        <f t="shared" si="94"/>
        <v>2</v>
      </c>
      <c r="M229" s="339">
        <v>3.7870000000000001E-2</v>
      </c>
      <c r="N229" s="339">
        <f>ROUND(((N228*SUM($K$10:K228))+(M229*K229))/SUM($K$10:K229),5)</f>
        <v>2.962E-2</v>
      </c>
      <c r="O229" s="351">
        <v>100.2</v>
      </c>
      <c r="Q229" s="335">
        <f t="shared" si="101"/>
        <v>35608</v>
      </c>
      <c r="R229" s="345">
        <v>35612</v>
      </c>
      <c r="S229" s="317">
        <f t="shared" si="95"/>
        <v>4</v>
      </c>
      <c r="U229" s="346">
        <v>3.7089999999999998E-2</v>
      </c>
      <c r="V229" s="339">
        <f>ROUND(((V228*SUM($S$10:S228))+(U229*S229))/SUM($S$10:S229),5)</f>
        <v>3.3829999999999999E-2</v>
      </c>
      <c r="W229" s="357">
        <v>89.5</v>
      </c>
      <c r="AH229" s="345"/>
      <c r="AS229" s="346"/>
      <c r="BB229" s="352"/>
      <c r="BC229" s="348"/>
      <c r="BE229" s="335">
        <f t="shared" si="96"/>
        <v>35156</v>
      </c>
      <c r="BF229" s="353">
        <v>35157</v>
      </c>
      <c r="BG229" s="317">
        <f t="shared" si="92"/>
        <v>1</v>
      </c>
      <c r="BH229" s="339">
        <v>3.3800000000000004E-2</v>
      </c>
      <c r="BI229" s="337">
        <f t="shared" si="102"/>
        <v>2770.49</v>
      </c>
      <c r="BK229" s="337"/>
      <c r="BO229" s="335">
        <f t="shared" si="97"/>
        <v>37104</v>
      </c>
      <c r="BP229" s="345">
        <v>37105</v>
      </c>
      <c r="BQ229" s="317">
        <f t="shared" si="89"/>
        <v>1</v>
      </c>
      <c r="BR229" s="347">
        <v>2.64E-2</v>
      </c>
      <c r="BS229" s="337">
        <f t="shared" si="91"/>
        <v>1229.589041</v>
      </c>
      <c r="BX229" s="345"/>
      <c r="CE229" s="345"/>
      <c r="CH229" s="337"/>
      <c r="CL229" s="335">
        <f t="shared" si="98"/>
        <v>38029</v>
      </c>
      <c r="CM229" s="345">
        <v>38036</v>
      </c>
      <c r="CN229" s="317">
        <f>CM229-CL229</f>
        <v>7</v>
      </c>
      <c r="CO229" s="347">
        <v>9.4000000000000004E-3</v>
      </c>
      <c r="CP229" s="347"/>
      <c r="CQ229" s="347"/>
      <c r="CR229" s="347"/>
      <c r="CS229" s="347"/>
      <c r="CT229" s="347"/>
      <c r="CU229" s="347"/>
      <c r="CV229" s="337">
        <f t="shared" si="103"/>
        <v>14982.084698999999</v>
      </c>
    </row>
    <row r="230" spans="1:101" hidden="1" x14ac:dyDescent="0.25">
      <c r="A230" s="335">
        <f t="shared" si="99"/>
        <v>35347</v>
      </c>
      <c r="B230" s="353">
        <v>35348</v>
      </c>
      <c r="C230" s="317">
        <f t="shared" si="93"/>
        <v>1</v>
      </c>
      <c r="E230" s="339">
        <v>3.5159999999999997E-2</v>
      </c>
      <c r="F230" s="339">
        <f>ROUND(((F229*SUM($C$10:C229))+(E230*C230))/SUM($C$10:C230),5)</f>
        <v>3.092E-2</v>
      </c>
      <c r="G230" s="351">
        <v>85.9</v>
      </c>
      <c r="I230" s="335">
        <f t="shared" si="100"/>
        <v>34920</v>
      </c>
      <c r="J230" s="353">
        <v>34921</v>
      </c>
      <c r="K230" s="317">
        <f t="shared" si="94"/>
        <v>1</v>
      </c>
      <c r="M230" s="339">
        <v>3.8019999999999998E-2</v>
      </c>
      <c r="N230" s="339">
        <f>ROUND(((N229*SUM($K$10:K229))+(M230*K230))/SUM($K$10:K230),5)</f>
        <v>2.963E-2</v>
      </c>
      <c r="O230" s="351">
        <v>102.5</v>
      </c>
      <c r="Q230" s="335">
        <f t="shared" si="101"/>
        <v>35612</v>
      </c>
      <c r="R230" s="345">
        <v>35621</v>
      </c>
      <c r="S230" s="317">
        <f t="shared" si="95"/>
        <v>9</v>
      </c>
      <c r="U230" s="346">
        <v>3.7130000000000003E-2</v>
      </c>
      <c r="V230" s="339">
        <f>ROUND(((V229*SUM($S$10:S229))+(U230*S230))/SUM($S$10:S230),5)</f>
        <v>3.3849999999999998E-2</v>
      </c>
      <c r="W230" s="357">
        <v>91.3</v>
      </c>
      <c r="AH230" s="345"/>
      <c r="AS230" s="346"/>
      <c r="BB230" s="352"/>
      <c r="BC230" s="348"/>
      <c r="BE230" s="335">
        <f t="shared" si="96"/>
        <v>35157</v>
      </c>
      <c r="BF230" s="353">
        <v>35164</v>
      </c>
      <c r="BG230" s="317">
        <f t="shared" si="92"/>
        <v>7</v>
      </c>
      <c r="BH230" s="339">
        <v>3.1300000000000001E-2</v>
      </c>
      <c r="BI230" s="337">
        <f t="shared" si="102"/>
        <v>17959.02</v>
      </c>
      <c r="BK230" s="337"/>
      <c r="BO230" s="335">
        <f t="shared" si="97"/>
        <v>37105</v>
      </c>
      <c r="BP230" s="345">
        <v>37112</v>
      </c>
      <c r="BQ230" s="317">
        <f t="shared" si="89"/>
        <v>7</v>
      </c>
      <c r="BR230" s="347">
        <v>2.4199999999999999E-2</v>
      </c>
      <c r="BS230" s="337">
        <f t="shared" si="91"/>
        <v>7889.8630139999996</v>
      </c>
      <c r="BX230" s="345"/>
      <c r="CE230" s="345"/>
      <c r="CH230" s="337"/>
      <c r="CL230" s="335">
        <f t="shared" si="98"/>
        <v>38036</v>
      </c>
      <c r="CM230" s="345">
        <v>38043</v>
      </c>
      <c r="CN230" s="317">
        <f>CM230-CL230</f>
        <v>7</v>
      </c>
      <c r="CO230" s="347">
        <v>9.4999999999999998E-3</v>
      </c>
      <c r="CP230" s="347"/>
      <c r="CQ230" s="347"/>
      <c r="CR230" s="347"/>
      <c r="CS230" s="347"/>
      <c r="CT230" s="347"/>
      <c r="CU230" s="347"/>
      <c r="CV230" s="337">
        <f t="shared" si="103"/>
        <v>15141.468579</v>
      </c>
    </row>
    <row r="231" spans="1:101" hidden="1" x14ac:dyDescent="0.25">
      <c r="A231" s="335">
        <f t="shared" si="99"/>
        <v>35348</v>
      </c>
      <c r="B231" s="353">
        <v>35360</v>
      </c>
      <c r="C231" s="317">
        <f t="shared" si="93"/>
        <v>12</v>
      </c>
      <c r="E231" s="339">
        <v>3.5360000000000003E-2</v>
      </c>
      <c r="F231" s="339">
        <f>ROUND(((F230*SUM($C$10:C230))+(E231*C231))/SUM($C$10:C231),5)</f>
        <v>3.0960000000000001E-2</v>
      </c>
      <c r="G231" s="351">
        <v>86.4</v>
      </c>
      <c r="I231" s="335">
        <f t="shared" si="100"/>
        <v>34921</v>
      </c>
      <c r="J231" s="353">
        <v>34925</v>
      </c>
      <c r="K231" s="317">
        <f t="shared" si="94"/>
        <v>4</v>
      </c>
      <c r="M231" s="339">
        <v>3.8019999999999998E-2</v>
      </c>
      <c r="N231" s="339">
        <f>ROUND(((N230*SUM($K$10:K230))+(M231*K231))/SUM($K$10:K231),5)</f>
        <v>2.9659999999999999E-2</v>
      </c>
      <c r="O231" s="351">
        <v>100.8</v>
      </c>
      <c r="Q231" s="335">
        <f t="shared" si="101"/>
        <v>35621</v>
      </c>
      <c r="R231" s="345">
        <v>35627</v>
      </c>
      <c r="S231" s="317">
        <f t="shared" si="95"/>
        <v>6</v>
      </c>
      <c r="U231" s="346">
        <v>3.7179999999999998E-2</v>
      </c>
      <c r="V231" s="339">
        <f>ROUND(((V230*SUM($S$10:S230))+(U231*S231))/SUM($S$10:S231),5)</f>
        <v>3.3860000000000001E-2</v>
      </c>
      <c r="W231" s="357">
        <v>96.2</v>
      </c>
      <c r="AH231" s="345"/>
      <c r="AS231" s="346"/>
      <c r="BB231" s="352"/>
      <c r="BC231" s="348"/>
      <c r="BE231" s="335">
        <f t="shared" si="96"/>
        <v>35164</v>
      </c>
      <c r="BF231" s="353">
        <v>35171</v>
      </c>
      <c r="BG231" s="317">
        <f t="shared" si="92"/>
        <v>7</v>
      </c>
      <c r="BH231" s="339">
        <v>3.4500000000000003E-2</v>
      </c>
      <c r="BI231" s="337">
        <f t="shared" si="102"/>
        <v>19795.080000000002</v>
      </c>
      <c r="BK231" s="337"/>
      <c r="BO231" s="335">
        <f t="shared" si="97"/>
        <v>37112</v>
      </c>
      <c r="BP231" s="345">
        <v>37119</v>
      </c>
      <c r="BQ231" s="317">
        <f t="shared" si="89"/>
        <v>7</v>
      </c>
      <c r="BR231" s="347">
        <v>2.1899999999999999E-2</v>
      </c>
      <c r="BS231" s="337">
        <f t="shared" si="91"/>
        <v>7140</v>
      </c>
      <c r="BX231" s="345"/>
      <c r="CE231" s="345"/>
      <c r="CH231" s="337"/>
      <c r="CL231" s="335">
        <f t="shared" si="98"/>
        <v>38043</v>
      </c>
      <c r="CM231" s="345">
        <v>38047</v>
      </c>
      <c r="CN231" s="317">
        <f>CM231-CL231</f>
        <v>4</v>
      </c>
      <c r="CO231" s="347">
        <v>9.4000000000000004E-3</v>
      </c>
      <c r="CP231" s="347"/>
      <c r="CQ231" s="347"/>
      <c r="CR231" s="347"/>
      <c r="CS231" s="347"/>
      <c r="CT231" s="347"/>
      <c r="CU231" s="347"/>
      <c r="CV231" s="337">
        <f t="shared" si="103"/>
        <v>8561.1912570000004</v>
      </c>
      <c r="CW231" s="341">
        <f>SUM(CV227:CV231)</f>
        <v>61362.793716</v>
      </c>
    </row>
    <row r="232" spans="1:101" hidden="1" x14ac:dyDescent="0.25">
      <c r="A232" s="335">
        <f t="shared" si="99"/>
        <v>35360</v>
      </c>
      <c r="B232" s="353">
        <v>35376</v>
      </c>
      <c r="C232" s="317">
        <f t="shared" si="93"/>
        <v>16</v>
      </c>
      <c r="E232" s="339">
        <v>3.5250000000000004E-2</v>
      </c>
      <c r="F232" s="339">
        <f>ROUND(((F231*SUM($C$10:C231))+(E232*C232))/SUM($C$10:C232),5)</f>
        <v>3.1009999999999999E-2</v>
      </c>
      <c r="G232" s="351">
        <v>84.2</v>
      </c>
      <c r="I232" s="335">
        <f t="shared" si="100"/>
        <v>34925</v>
      </c>
      <c r="J232" s="353">
        <v>34928</v>
      </c>
      <c r="K232" s="317">
        <f t="shared" si="94"/>
        <v>3</v>
      </c>
      <c r="M232" s="339">
        <v>3.8019999999999998E-2</v>
      </c>
      <c r="N232" s="339">
        <f>ROUND(((N231*SUM($K$10:K231))+(M232*K232))/SUM($K$10:K232),5)</f>
        <v>2.9680000000000002E-2</v>
      </c>
      <c r="O232" s="351">
        <v>100.7</v>
      </c>
      <c r="Q232" s="335">
        <f t="shared" si="101"/>
        <v>35627</v>
      </c>
      <c r="R232" s="345">
        <v>35628</v>
      </c>
      <c r="S232" s="317">
        <f t="shared" si="95"/>
        <v>1</v>
      </c>
      <c r="U232" s="346">
        <v>3.6999999999999998E-2</v>
      </c>
      <c r="V232" s="339">
        <f>ROUND(((V231*SUM($S$10:S231))+(U232*S232))/SUM($S$10:S232),5)</f>
        <v>3.3860000000000001E-2</v>
      </c>
      <c r="W232" s="357">
        <v>94</v>
      </c>
      <c r="AH232" s="345"/>
      <c r="AS232" s="346"/>
      <c r="BB232" s="352"/>
      <c r="BC232" s="348"/>
      <c r="BE232" s="335">
        <f t="shared" si="96"/>
        <v>35171</v>
      </c>
      <c r="BF232" s="353">
        <v>35178</v>
      </c>
      <c r="BG232" s="317">
        <f t="shared" si="92"/>
        <v>7</v>
      </c>
      <c r="BH232" s="339">
        <v>3.6000000000000004E-2</v>
      </c>
      <c r="BI232" s="337">
        <f t="shared" si="102"/>
        <v>20655.740000000002</v>
      </c>
      <c r="BK232" s="337"/>
      <c r="BO232" s="335">
        <f t="shared" si="97"/>
        <v>37119</v>
      </c>
      <c r="BP232" s="345">
        <v>37126</v>
      </c>
      <c r="BQ232" s="317">
        <f t="shared" si="89"/>
        <v>7</v>
      </c>
      <c r="BR232" s="347">
        <v>2.3199999999999998E-2</v>
      </c>
      <c r="BS232" s="337">
        <f t="shared" si="91"/>
        <v>7563.8356160000003</v>
      </c>
      <c r="BX232" s="345"/>
      <c r="CE232" s="345"/>
      <c r="CH232" s="337"/>
      <c r="CL232" s="335">
        <f t="shared" si="98"/>
        <v>38047</v>
      </c>
      <c r="CM232" s="345">
        <v>38050</v>
      </c>
      <c r="CN232" s="317">
        <f t="shared" ref="CN232:CN295" si="104">CM232-CL232</f>
        <v>3</v>
      </c>
      <c r="CO232" s="346">
        <v>9.4000000000000004E-3</v>
      </c>
      <c r="CP232" s="346"/>
      <c r="CQ232" s="346"/>
      <c r="CR232" s="346"/>
      <c r="CS232" s="346"/>
      <c r="CT232" s="346"/>
      <c r="CU232" s="346"/>
      <c r="CV232" s="337">
        <f t="shared" si="103"/>
        <v>6420.8934429999999</v>
      </c>
    </row>
    <row r="233" spans="1:101" hidden="1" x14ac:dyDescent="0.25">
      <c r="A233" s="335">
        <f t="shared" si="99"/>
        <v>35376</v>
      </c>
      <c r="B233" s="353">
        <v>35388</v>
      </c>
      <c r="C233" s="317">
        <f t="shared" si="93"/>
        <v>12</v>
      </c>
      <c r="E233" s="339">
        <v>3.5180000000000003E-2</v>
      </c>
      <c r="F233" s="339">
        <f>ROUND(((F232*SUM($C$10:C232))+(E233*C233))/SUM($C$10:C233),5)</f>
        <v>3.1040000000000002E-2</v>
      </c>
      <c r="G233" s="351">
        <v>81.7</v>
      </c>
      <c r="I233" s="335">
        <f t="shared" si="100"/>
        <v>34928</v>
      </c>
      <c r="J233" s="353">
        <v>34933</v>
      </c>
      <c r="K233" s="317">
        <f t="shared" si="94"/>
        <v>5</v>
      </c>
      <c r="M233" s="339">
        <v>3.7990000000000003E-2</v>
      </c>
      <c r="N233" s="339">
        <f>ROUND(((N232*SUM($K$10:K232))+(M233*K233))/SUM($K$10:K233),5)</f>
        <v>2.972E-2</v>
      </c>
      <c r="O233" s="351">
        <v>100.4</v>
      </c>
      <c r="Q233" s="335">
        <f t="shared" si="101"/>
        <v>35628</v>
      </c>
      <c r="R233" s="345">
        <v>35629</v>
      </c>
      <c r="S233" s="317">
        <f t="shared" si="95"/>
        <v>1</v>
      </c>
      <c r="U233" s="346">
        <v>3.6999999999999998E-2</v>
      </c>
      <c r="V233" s="339">
        <f>ROUND(((V232*SUM($S$10:S232))+(U233*S233))/SUM($S$10:S233),5)</f>
        <v>3.3860000000000001E-2</v>
      </c>
      <c r="W233" s="357">
        <v>94</v>
      </c>
      <c r="AH233" s="345"/>
      <c r="AS233" s="346"/>
      <c r="BB233" s="352"/>
      <c r="BC233" s="348"/>
      <c r="BE233" s="335">
        <f t="shared" si="96"/>
        <v>35178</v>
      </c>
      <c r="BF233" s="353">
        <v>35185</v>
      </c>
      <c r="BG233" s="317">
        <f t="shared" si="92"/>
        <v>7</v>
      </c>
      <c r="BH233" s="339">
        <v>3.9800000000000002E-2</v>
      </c>
      <c r="BI233" s="337">
        <f t="shared" si="102"/>
        <v>22836.07</v>
      </c>
      <c r="BK233" s="337"/>
      <c r="BO233" s="335">
        <f t="shared" si="97"/>
        <v>37126</v>
      </c>
      <c r="BP233" s="345">
        <v>37133</v>
      </c>
      <c r="BQ233" s="317">
        <f t="shared" si="89"/>
        <v>7</v>
      </c>
      <c r="BR233" s="347">
        <v>2.1000000000000001E-2</v>
      </c>
      <c r="BS233" s="337">
        <f t="shared" si="91"/>
        <v>6846.5753420000001</v>
      </c>
      <c r="BX233" s="345"/>
      <c r="CE233" s="345"/>
      <c r="CH233" s="337"/>
      <c r="CL233" s="335">
        <f t="shared" si="98"/>
        <v>38050</v>
      </c>
      <c r="CM233" s="345">
        <v>38057</v>
      </c>
      <c r="CN233" s="317">
        <f t="shared" si="104"/>
        <v>7</v>
      </c>
      <c r="CO233" s="346">
        <v>8.6999999999999994E-3</v>
      </c>
      <c r="CP233" s="346"/>
      <c r="CQ233" s="346"/>
      <c r="CR233" s="346"/>
      <c r="CS233" s="346"/>
      <c r="CT233" s="346"/>
      <c r="CU233" s="346"/>
      <c r="CV233" s="337">
        <f t="shared" si="103"/>
        <v>13866.397541</v>
      </c>
    </row>
    <row r="234" spans="1:101" hidden="1" x14ac:dyDescent="0.25">
      <c r="A234" s="335">
        <f t="shared" si="99"/>
        <v>35388</v>
      </c>
      <c r="B234" s="353">
        <v>35404</v>
      </c>
      <c r="C234" s="317">
        <f t="shared" si="93"/>
        <v>16</v>
      </c>
      <c r="E234" s="339">
        <v>3.526E-2</v>
      </c>
      <c r="F234" s="339">
        <f>ROUND(((F233*SUM($C$10:C233))+(E234*C234))/SUM($C$10:C234),5)</f>
        <v>3.108E-2</v>
      </c>
      <c r="G234" s="351">
        <v>78.8</v>
      </c>
      <c r="I234" s="335">
        <f t="shared" si="100"/>
        <v>34933</v>
      </c>
      <c r="J234" s="353">
        <v>34934</v>
      </c>
      <c r="K234" s="317">
        <f t="shared" si="94"/>
        <v>1</v>
      </c>
      <c r="M234" s="339">
        <v>3.7990000000000003E-2</v>
      </c>
      <c r="N234" s="339">
        <f>ROUND(((N233*SUM($K$10:K233))+(M234*K234))/SUM($K$10:K234),5)</f>
        <v>2.9729999999999999E-2</v>
      </c>
      <c r="O234" s="351">
        <v>100.1</v>
      </c>
      <c r="Q234" s="335">
        <f t="shared" si="101"/>
        <v>35629</v>
      </c>
      <c r="R234" s="345">
        <v>35632</v>
      </c>
      <c r="S234" s="317">
        <f t="shared" si="95"/>
        <v>3</v>
      </c>
      <c r="U234" s="346">
        <v>3.7039999999999997E-2</v>
      </c>
      <c r="V234" s="339">
        <f>ROUND(((V233*SUM($S$10:S233))+(U234*S234))/SUM($S$10:S234),5)</f>
        <v>3.3869999999999997E-2</v>
      </c>
      <c r="W234" s="357">
        <v>98</v>
      </c>
      <c r="AH234" s="345"/>
      <c r="AS234" s="346"/>
      <c r="BB234" s="352"/>
      <c r="BC234" s="348"/>
      <c r="BE234" s="335">
        <f t="shared" si="96"/>
        <v>35185</v>
      </c>
      <c r="BF234" s="353">
        <v>35186</v>
      </c>
      <c r="BG234" s="317">
        <f t="shared" si="92"/>
        <v>1</v>
      </c>
      <c r="BH234" s="339">
        <v>3.9E-2</v>
      </c>
      <c r="BI234" s="337">
        <f t="shared" si="102"/>
        <v>3196.72</v>
      </c>
      <c r="BJ234" s="341">
        <f>SUM(BI229:BI234)</f>
        <v>87213.119999999995</v>
      </c>
      <c r="BK234" s="337">
        <v>78782.39</v>
      </c>
      <c r="BL234" s="341">
        <f>BJ234-BK234</f>
        <v>8430.7299999999959</v>
      </c>
      <c r="BM234" s="341">
        <f>BM228+BL234</f>
        <v>16192.770000000022</v>
      </c>
      <c r="BO234" s="335">
        <f t="shared" si="97"/>
        <v>37133</v>
      </c>
      <c r="BP234" s="345">
        <v>37135</v>
      </c>
      <c r="BQ234" s="317">
        <f t="shared" si="89"/>
        <v>2</v>
      </c>
      <c r="BR234" s="347">
        <v>2.01E-2</v>
      </c>
      <c r="BS234" s="337">
        <f t="shared" si="91"/>
        <v>1872.328767</v>
      </c>
      <c r="BT234" s="341">
        <f>SUM(BS229:BS234)</f>
        <v>32542.191779999997</v>
      </c>
      <c r="BX234" s="345"/>
      <c r="CE234" s="345"/>
      <c r="CH234" s="337"/>
      <c r="CL234" s="335">
        <f t="shared" si="98"/>
        <v>38057</v>
      </c>
      <c r="CM234" s="345">
        <v>38064</v>
      </c>
      <c r="CN234" s="317">
        <f t="shared" si="104"/>
        <v>7</v>
      </c>
      <c r="CO234" s="346">
        <v>9.1999999999999998E-3</v>
      </c>
      <c r="CP234" s="346"/>
      <c r="CQ234" s="346"/>
      <c r="CR234" s="346"/>
      <c r="CS234" s="346"/>
      <c r="CT234" s="346"/>
      <c r="CU234" s="346"/>
      <c r="CV234" s="337">
        <f t="shared" si="103"/>
        <v>14663.316940000001</v>
      </c>
    </row>
    <row r="235" spans="1:101" hidden="1" x14ac:dyDescent="0.25">
      <c r="A235" s="335">
        <f t="shared" si="99"/>
        <v>35404</v>
      </c>
      <c r="B235" s="353">
        <v>35409</v>
      </c>
      <c r="C235" s="317">
        <f t="shared" si="93"/>
        <v>5</v>
      </c>
      <c r="E235" s="339">
        <v>3.5189999999999999E-2</v>
      </c>
      <c r="F235" s="339">
        <f>ROUND(((F234*SUM($C$10:C234))+(E235*C235))/SUM($C$10:C235),5)</f>
        <v>3.109E-2</v>
      </c>
      <c r="G235" s="351">
        <v>67.7</v>
      </c>
      <c r="I235" s="335">
        <f t="shared" si="100"/>
        <v>34934</v>
      </c>
      <c r="J235" s="353">
        <v>34935</v>
      </c>
      <c r="K235" s="317">
        <f t="shared" si="94"/>
        <v>1</v>
      </c>
      <c r="M235" s="339">
        <v>3.7990000000000003E-2</v>
      </c>
      <c r="N235" s="339">
        <f>ROUND(((N234*SUM($K$10:K234))+(M235*K235))/SUM($K$10:K235),5)</f>
        <v>2.9739999999999999E-2</v>
      </c>
      <c r="O235" s="351">
        <v>100.2</v>
      </c>
      <c r="Q235" s="335">
        <f t="shared" si="101"/>
        <v>35632</v>
      </c>
      <c r="R235" s="345">
        <v>35633</v>
      </c>
      <c r="S235" s="317">
        <f t="shared" si="95"/>
        <v>1</v>
      </c>
      <c r="U235" s="346">
        <v>3.7039999999999997E-2</v>
      </c>
      <c r="V235" s="339">
        <f>ROUND(((V234*SUM($S$10:S234))+(U235*S235))/SUM($S$10:S235),5)</f>
        <v>3.3869999999999997E-2</v>
      </c>
      <c r="W235" s="357">
        <v>97.9</v>
      </c>
      <c r="AH235" s="345"/>
      <c r="AS235" s="346"/>
      <c r="BB235" s="352"/>
      <c r="BC235" s="348"/>
      <c r="BE235" s="335">
        <f t="shared" si="96"/>
        <v>35186</v>
      </c>
      <c r="BF235" s="353">
        <v>35192</v>
      </c>
      <c r="BG235" s="317">
        <f t="shared" si="92"/>
        <v>6</v>
      </c>
      <c r="BH235" s="339">
        <v>3.9E-2</v>
      </c>
      <c r="BI235" s="337">
        <f t="shared" si="102"/>
        <v>19180.330000000002</v>
      </c>
      <c r="BK235" s="337"/>
      <c r="BO235" s="335">
        <f t="shared" si="97"/>
        <v>37135</v>
      </c>
      <c r="BP235" s="345">
        <v>37140</v>
      </c>
      <c r="BQ235" s="317">
        <f t="shared" si="89"/>
        <v>5</v>
      </c>
      <c r="BR235" s="347">
        <v>2.01E-2</v>
      </c>
      <c r="BS235" s="337">
        <f t="shared" si="91"/>
        <v>4680.8219179999996</v>
      </c>
      <c r="BX235" s="345"/>
      <c r="CE235" s="345"/>
      <c r="CH235" s="337"/>
      <c r="CL235" s="335">
        <f t="shared" si="98"/>
        <v>38064</v>
      </c>
      <c r="CM235" s="345">
        <v>38071</v>
      </c>
      <c r="CN235" s="317">
        <f t="shared" si="104"/>
        <v>7</v>
      </c>
      <c r="CO235" s="346">
        <v>9.7999999999999997E-3</v>
      </c>
      <c r="CP235" s="346"/>
      <c r="CQ235" s="346"/>
      <c r="CR235" s="346"/>
      <c r="CS235" s="346"/>
      <c r="CT235" s="346"/>
      <c r="CU235" s="346"/>
      <c r="CV235" s="337">
        <f t="shared" si="103"/>
        <v>15619.620219</v>
      </c>
    </row>
    <row r="236" spans="1:101" hidden="1" x14ac:dyDescent="0.25">
      <c r="A236" s="335">
        <f t="shared" si="99"/>
        <v>35409</v>
      </c>
      <c r="B236" s="353">
        <v>35438</v>
      </c>
      <c r="C236" s="317">
        <f t="shared" si="93"/>
        <v>29</v>
      </c>
      <c r="E236" s="339">
        <v>3.517E-2</v>
      </c>
      <c r="F236" s="339">
        <f>ROUND(((F235*SUM($C$10:C235))+(E236*C236))/SUM($C$10:C236),5)</f>
        <v>3.117E-2</v>
      </c>
      <c r="G236" s="351">
        <v>66</v>
      </c>
      <c r="I236" s="335">
        <f t="shared" si="100"/>
        <v>34935</v>
      </c>
      <c r="J236" s="353">
        <v>34936</v>
      </c>
      <c r="K236" s="317">
        <f t="shared" si="94"/>
        <v>1</v>
      </c>
      <c r="M236" s="339">
        <v>3.7990000000000003E-2</v>
      </c>
      <c r="N236" s="339">
        <f>ROUND(((N235*SUM($K$10:K235))+(M236*K236))/SUM($K$10:K236),5)</f>
        <v>2.9749999999999999E-2</v>
      </c>
      <c r="O236" s="351">
        <v>101.8</v>
      </c>
      <c r="Q236" s="335">
        <f t="shared" si="101"/>
        <v>35633</v>
      </c>
      <c r="R236" s="345">
        <v>35634</v>
      </c>
      <c r="S236" s="317">
        <f t="shared" si="95"/>
        <v>1</v>
      </c>
      <c r="U236" s="346">
        <v>3.7039999999999997E-2</v>
      </c>
      <c r="V236" s="339">
        <f>ROUND(((V235*SUM($S$10:S235))+(U236*S236))/SUM($S$10:S236),5)</f>
        <v>3.3869999999999997E-2</v>
      </c>
      <c r="W236" s="357">
        <v>97.9</v>
      </c>
      <c r="AH236" s="345"/>
      <c r="AS236" s="346"/>
      <c r="BB236" s="352"/>
      <c r="BC236" s="348"/>
      <c r="BE236" s="335">
        <f t="shared" si="96"/>
        <v>35192</v>
      </c>
      <c r="BF236" s="353">
        <v>35199</v>
      </c>
      <c r="BG236" s="317">
        <f t="shared" si="92"/>
        <v>7</v>
      </c>
      <c r="BH236" s="339">
        <v>3.9E-2</v>
      </c>
      <c r="BI236" s="337">
        <f t="shared" si="102"/>
        <v>22377.05</v>
      </c>
      <c r="BK236" s="337"/>
      <c r="BO236" s="335">
        <f t="shared" si="97"/>
        <v>37140</v>
      </c>
      <c r="BP236" s="345">
        <v>37147</v>
      </c>
      <c r="BQ236" s="317">
        <f t="shared" si="89"/>
        <v>7</v>
      </c>
      <c r="BR236" s="347">
        <v>2.1499999999999998E-2</v>
      </c>
      <c r="BS236" s="337">
        <f t="shared" si="91"/>
        <v>7009.5890410000002</v>
      </c>
      <c r="BX236" s="345"/>
      <c r="CE236" s="345"/>
      <c r="CH236" s="337"/>
      <c r="CL236" s="335">
        <f t="shared" si="98"/>
        <v>38071</v>
      </c>
      <c r="CM236" s="345">
        <v>38078</v>
      </c>
      <c r="CN236" s="317">
        <f t="shared" si="104"/>
        <v>7</v>
      </c>
      <c r="CO236" s="346">
        <v>1.0200000000000001E-2</v>
      </c>
      <c r="CP236" s="346"/>
      <c r="CQ236" s="346"/>
      <c r="CR236" s="346"/>
      <c r="CS236" s="346"/>
      <c r="CT236" s="346"/>
      <c r="CU236" s="346"/>
      <c r="CV236" s="337">
        <f t="shared" si="103"/>
        <v>16257.155737999999</v>
      </c>
      <c r="CW236" s="341">
        <f>SUM(CV232:CV236)</f>
        <v>66827.383881000002</v>
      </c>
    </row>
    <row r="237" spans="1:101" hidden="1" x14ac:dyDescent="0.25">
      <c r="A237" s="335">
        <f t="shared" si="99"/>
        <v>35438</v>
      </c>
      <c r="B237" s="353">
        <v>35440</v>
      </c>
      <c r="C237" s="317">
        <f t="shared" si="93"/>
        <v>2</v>
      </c>
      <c r="E237" s="339">
        <v>3.4520000000000002E-2</v>
      </c>
      <c r="F237" s="339">
        <f>ROUND(((F236*SUM($C$10:C236))+(E237*C237))/SUM($C$10:C237),5)</f>
        <v>3.117E-2</v>
      </c>
      <c r="G237" s="351">
        <v>75.400000000000006</v>
      </c>
      <c r="I237" s="335">
        <f t="shared" si="100"/>
        <v>34936</v>
      </c>
      <c r="J237" s="353">
        <v>34939</v>
      </c>
      <c r="K237" s="317">
        <f t="shared" si="94"/>
        <v>3</v>
      </c>
      <c r="M237" s="339">
        <v>3.7659999999999999E-2</v>
      </c>
      <c r="N237" s="339">
        <f>ROUND(((N236*SUM($K$10:K236))+(M237*K237))/SUM($K$10:K237),5)</f>
        <v>2.9770000000000001E-2</v>
      </c>
      <c r="O237" s="351">
        <v>95.6</v>
      </c>
      <c r="Q237" s="335">
        <f t="shared" si="101"/>
        <v>35634</v>
      </c>
      <c r="R237" s="345">
        <v>35641</v>
      </c>
      <c r="S237" s="317">
        <f t="shared" si="95"/>
        <v>7</v>
      </c>
      <c r="U237" s="346">
        <v>3.7069999999999999E-2</v>
      </c>
      <c r="V237" s="339">
        <f>ROUND(((V236*SUM($S$10:S236))+(U237*S237))/SUM($S$10:S237),5)</f>
        <v>3.3890000000000003E-2</v>
      </c>
      <c r="W237" s="357">
        <v>100.6</v>
      </c>
      <c r="AH237" s="345"/>
      <c r="AS237" s="346"/>
      <c r="BB237" s="352"/>
      <c r="BC237" s="348"/>
      <c r="BE237" s="335">
        <f t="shared" si="96"/>
        <v>35199</v>
      </c>
      <c r="BF237" s="353">
        <v>35206</v>
      </c>
      <c r="BG237" s="317">
        <f t="shared" si="92"/>
        <v>7</v>
      </c>
      <c r="BH237" s="339">
        <v>3.9900000000000005E-2</v>
      </c>
      <c r="BI237" s="337">
        <f t="shared" si="102"/>
        <v>22893.439999999999</v>
      </c>
      <c r="BK237" s="337"/>
      <c r="BO237" s="335">
        <f t="shared" si="97"/>
        <v>37147</v>
      </c>
      <c r="BP237" s="345">
        <v>37154</v>
      </c>
      <c r="BQ237" s="317">
        <f t="shared" si="89"/>
        <v>7</v>
      </c>
      <c r="BR237" s="347">
        <v>2.1999999999999999E-2</v>
      </c>
      <c r="BS237" s="337">
        <f t="shared" si="91"/>
        <v>7172.6027400000003</v>
      </c>
      <c r="BX237" s="345"/>
      <c r="CE237" s="345"/>
      <c r="CH237" s="337"/>
      <c r="CL237" s="335">
        <f t="shared" si="98"/>
        <v>38078</v>
      </c>
      <c r="CM237" s="345">
        <v>38085</v>
      </c>
      <c r="CN237" s="317">
        <f t="shared" si="104"/>
        <v>7</v>
      </c>
      <c r="CO237" s="346">
        <v>1.03E-2</v>
      </c>
      <c r="CP237" s="346"/>
      <c r="CQ237" s="346"/>
      <c r="CR237" s="346"/>
      <c r="CS237" s="346"/>
      <c r="CT237" s="346"/>
      <c r="CU237" s="346"/>
      <c r="CV237" s="337">
        <f t="shared" ref="CV237:CV261" si="105">ROUND($CR$5*CO237*CN237/366,2)</f>
        <v>16416.54</v>
      </c>
    </row>
    <row r="238" spans="1:101" hidden="1" x14ac:dyDescent="0.25">
      <c r="A238" s="335">
        <f t="shared" si="99"/>
        <v>35440</v>
      </c>
      <c r="B238" s="353">
        <v>35457</v>
      </c>
      <c r="C238" s="317">
        <f t="shared" si="93"/>
        <v>17</v>
      </c>
      <c r="E238" s="339">
        <v>3.44E-2</v>
      </c>
      <c r="F238" s="339">
        <f>ROUND(((F237*SUM($C$10:C237))+(E238*C238))/SUM($C$10:C238),5)</f>
        <v>3.1199999999999999E-2</v>
      </c>
      <c r="G238" s="351">
        <v>76.5</v>
      </c>
      <c r="I238" s="335">
        <f t="shared" si="100"/>
        <v>34939</v>
      </c>
      <c r="J238" s="353">
        <v>34948</v>
      </c>
      <c r="K238" s="317">
        <f t="shared" si="94"/>
        <v>9</v>
      </c>
      <c r="M238" s="339">
        <v>3.7530000000000001E-2</v>
      </c>
      <c r="N238" s="339">
        <f>ROUND(((N237*SUM($K$10:K237))+(M238*K238))/SUM($K$10:K238),5)</f>
        <v>2.9829999999999999E-2</v>
      </c>
      <c r="O238" s="351">
        <v>95.3</v>
      </c>
      <c r="Q238" s="335">
        <f t="shared" si="101"/>
        <v>35641</v>
      </c>
      <c r="R238" s="345">
        <v>35643</v>
      </c>
      <c r="S238" s="317">
        <f t="shared" si="95"/>
        <v>2</v>
      </c>
      <c r="U238" s="346">
        <v>3.7019999999999997E-2</v>
      </c>
      <c r="V238" s="339">
        <f>ROUND(((V237*SUM($S$10:S237))+(U238*S238))/SUM($S$10:S238),5)</f>
        <v>3.3890000000000003E-2</v>
      </c>
      <c r="W238" s="357">
        <v>105</v>
      </c>
      <c r="AH238" s="345"/>
      <c r="AS238" s="346"/>
      <c r="BB238" s="352"/>
      <c r="BC238" s="348"/>
      <c r="BE238" s="335">
        <f t="shared" si="96"/>
        <v>35206</v>
      </c>
      <c r="BF238" s="353">
        <v>35213</v>
      </c>
      <c r="BG238" s="317">
        <f t="shared" si="92"/>
        <v>7</v>
      </c>
      <c r="BH238" s="339">
        <v>3.7499999999999999E-2</v>
      </c>
      <c r="BI238" s="337">
        <f t="shared" si="102"/>
        <v>21516.39</v>
      </c>
      <c r="BK238" s="337"/>
      <c r="BO238" s="335">
        <f t="shared" si="97"/>
        <v>37154</v>
      </c>
      <c r="BP238" s="345">
        <v>37161</v>
      </c>
      <c r="BQ238" s="317">
        <f t="shared" si="89"/>
        <v>7</v>
      </c>
      <c r="BR238" s="347">
        <v>2.1100000000000001E-2</v>
      </c>
      <c r="BS238" s="337">
        <f t="shared" si="91"/>
        <v>6879.1780820000004</v>
      </c>
      <c r="BX238" s="345"/>
      <c r="CE238" s="345"/>
      <c r="CH238" s="337"/>
      <c r="CL238" s="335">
        <f t="shared" si="98"/>
        <v>38085</v>
      </c>
      <c r="CM238" s="345">
        <v>38092</v>
      </c>
      <c r="CN238" s="317">
        <f t="shared" si="104"/>
        <v>7</v>
      </c>
      <c r="CO238" s="346">
        <v>1.01E-2</v>
      </c>
      <c r="CP238" s="346"/>
      <c r="CQ238" s="346"/>
      <c r="CR238" s="346"/>
      <c r="CS238" s="346"/>
      <c r="CT238" s="346"/>
      <c r="CU238" s="346"/>
      <c r="CV238" s="337">
        <f t="shared" si="105"/>
        <v>16097.77</v>
      </c>
    </row>
    <row r="239" spans="1:101" hidden="1" x14ac:dyDescent="0.25">
      <c r="A239" s="335">
        <f t="shared" si="99"/>
        <v>35457</v>
      </c>
      <c r="B239" s="353">
        <v>35459</v>
      </c>
      <c r="C239" s="317">
        <f t="shared" si="93"/>
        <v>2</v>
      </c>
      <c r="E239" s="339">
        <v>3.415E-2</v>
      </c>
      <c r="F239" s="339">
        <f>ROUND(((F238*SUM($C$10:C238))+(E239*C239))/SUM($C$10:C239),5)</f>
        <v>3.1199999999999999E-2</v>
      </c>
      <c r="G239" s="351">
        <v>70.5</v>
      </c>
      <c r="I239" s="335">
        <f t="shared" si="100"/>
        <v>34948</v>
      </c>
      <c r="J239" s="353">
        <v>34949</v>
      </c>
      <c r="K239" s="317">
        <f t="shared" si="94"/>
        <v>1</v>
      </c>
      <c r="M239" s="339">
        <v>3.7530000000000001E-2</v>
      </c>
      <c r="N239" s="339">
        <f>ROUND(((N238*SUM($K$10:K238))+(M239*K239))/SUM($K$10:K239),5)</f>
        <v>2.9839999999999998E-2</v>
      </c>
      <c r="O239" s="351">
        <v>95.2</v>
      </c>
      <c r="Q239" s="335">
        <f t="shared" si="101"/>
        <v>35643</v>
      </c>
      <c r="R239" s="345">
        <v>35660</v>
      </c>
      <c r="S239" s="317">
        <f t="shared" si="95"/>
        <v>17</v>
      </c>
      <c r="U239" s="346">
        <v>3.705E-2</v>
      </c>
      <c r="V239" s="339">
        <f>ROUND(((V238*SUM($S$10:S238))+(U239*S239))/SUM($S$10:S239),5)</f>
        <v>3.3930000000000002E-2</v>
      </c>
      <c r="W239" s="357">
        <v>102.1</v>
      </c>
      <c r="AH239" s="345"/>
      <c r="AS239" s="346"/>
      <c r="BB239" s="352"/>
      <c r="BC239" s="348"/>
      <c r="BE239" s="335">
        <f t="shared" si="96"/>
        <v>35213</v>
      </c>
      <c r="BF239" s="353">
        <v>35217</v>
      </c>
      <c r="BG239" s="317">
        <f t="shared" si="92"/>
        <v>4</v>
      </c>
      <c r="BH239" s="339">
        <v>3.56E-2</v>
      </c>
      <c r="BI239" s="337">
        <f t="shared" si="102"/>
        <v>11672.13</v>
      </c>
      <c r="BJ239" s="341">
        <f>SUM(BI235:BI239)</f>
        <v>97639.340000000011</v>
      </c>
      <c r="BK239" s="337">
        <v>85835.01</v>
      </c>
      <c r="BL239" s="341">
        <f>BJ239-BK239</f>
        <v>11804.330000000016</v>
      </c>
      <c r="BM239" s="341">
        <f>BM234+BL239</f>
        <v>27997.100000000039</v>
      </c>
      <c r="BO239" s="335">
        <f t="shared" si="97"/>
        <v>37161</v>
      </c>
      <c r="BP239" s="345">
        <v>37165</v>
      </c>
      <c r="BQ239" s="317">
        <f t="shared" si="89"/>
        <v>4</v>
      </c>
      <c r="BR239" s="347">
        <v>2.2800000000000001E-2</v>
      </c>
      <c r="BS239" s="337">
        <f t="shared" si="91"/>
        <v>4247.671233</v>
      </c>
      <c r="BT239" s="341">
        <f>SUM(BS235:BS239)</f>
        <v>29989.863014000002</v>
      </c>
      <c r="BX239" s="345"/>
      <c r="CE239" s="345"/>
      <c r="CH239" s="337"/>
      <c r="CL239" s="335">
        <f t="shared" si="98"/>
        <v>38092</v>
      </c>
      <c r="CM239" s="345">
        <v>38099</v>
      </c>
      <c r="CN239" s="317">
        <f t="shared" si="104"/>
        <v>7</v>
      </c>
      <c r="CO239" s="346">
        <v>1.0800000000000001E-2</v>
      </c>
      <c r="CP239" s="346"/>
      <c r="CQ239" s="346"/>
      <c r="CR239" s="346"/>
      <c r="CS239" s="346"/>
      <c r="CT239" s="346"/>
      <c r="CU239" s="346"/>
      <c r="CV239" s="337">
        <f t="shared" si="105"/>
        <v>17213.46</v>
      </c>
    </row>
    <row r="240" spans="1:101" hidden="1" x14ac:dyDescent="0.25">
      <c r="A240" s="335">
        <f t="shared" si="99"/>
        <v>35459</v>
      </c>
      <c r="B240" s="353">
        <v>35473</v>
      </c>
      <c r="C240" s="317">
        <f t="shared" si="93"/>
        <v>14</v>
      </c>
      <c r="E240" s="339">
        <v>3.4160000000000003E-2</v>
      </c>
      <c r="F240" s="339">
        <f>ROUND(((F239*SUM($C$10:C239))+(E240*C240))/SUM($C$10:C240),5)</f>
        <v>3.1230000000000001E-2</v>
      </c>
      <c r="G240" s="351">
        <v>74.099999999999994</v>
      </c>
      <c r="I240" s="335">
        <f t="shared" si="100"/>
        <v>34949</v>
      </c>
      <c r="J240" s="353">
        <v>34950</v>
      </c>
      <c r="K240" s="317">
        <f t="shared" si="94"/>
        <v>1</v>
      </c>
      <c r="M240" s="339">
        <v>3.7530000000000001E-2</v>
      </c>
      <c r="N240" s="339">
        <f>ROUND(((N239*SUM($K$10:K239))+(M240*K240))/SUM($K$10:K240),5)</f>
        <v>2.9850000000000002E-2</v>
      </c>
      <c r="O240" s="351">
        <v>95.2</v>
      </c>
      <c r="Q240" s="335">
        <f t="shared" si="101"/>
        <v>35660</v>
      </c>
      <c r="R240" s="345">
        <v>35684</v>
      </c>
      <c r="S240" s="317">
        <f t="shared" si="95"/>
        <v>24</v>
      </c>
      <c r="U240" s="346">
        <v>3.7339999999999998E-2</v>
      </c>
      <c r="V240" s="339">
        <f>ROUND(((V239*SUM($S$10:S239))+(U240*S240))/SUM($S$10:S240),5)</f>
        <v>3.3989999999999999E-2</v>
      </c>
      <c r="W240" s="357">
        <v>96.6</v>
      </c>
      <c r="AH240" s="345"/>
      <c r="AS240" s="346"/>
      <c r="BB240" s="352"/>
      <c r="BC240" s="348"/>
      <c r="BE240" s="335">
        <f t="shared" si="96"/>
        <v>35217</v>
      </c>
      <c r="BF240" s="353">
        <v>35220</v>
      </c>
      <c r="BG240" s="317">
        <f t="shared" si="92"/>
        <v>3</v>
      </c>
      <c r="BH240" s="339">
        <v>3.56E-2</v>
      </c>
      <c r="BI240" s="337">
        <f t="shared" si="102"/>
        <v>8754.1</v>
      </c>
      <c r="BK240" s="337"/>
      <c r="BO240" s="335">
        <f t="shared" si="97"/>
        <v>37165</v>
      </c>
      <c r="BP240" s="345">
        <v>37168</v>
      </c>
      <c r="BQ240" s="317">
        <f t="shared" si="89"/>
        <v>3</v>
      </c>
      <c r="BR240" s="347">
        <v>2.2800000000000001E-2</v>
      </c>
      <c r="BS240" s="337">
        <f t="shared" si="91"/>
        <v>3185.7534249999999</v>
      </c>
      <c r="BX240" s="345"/>
      <c r="CE240" s="345"/>
      <c r="CH240" s="337"/>
      <c r="CL240" s="335">
        <f t="shared" si="98"/>
        <v>38099</v>
      </c>
      <c r="CM240" s="345">
        <v>38106</v>
      </c>
      <c r="CN240" s="317">
        <f t="shared" si="104"/>
        <v>7</v>
      </c>
      <c r="CO240" s="346">
        <v>1.09E-2</v>
      </c>
      <c r="CP240" s="346"/>
      <c r="CQ240" s="346"/>
      <c r="CR240" s="346"/>
      <c r="CS240" s="346"/>
      <c r="CT240" s="346"/>
      <c r="CU240" s="346"/>
      <c r="CV240" s="337">
        <f t="shared" si="105"/>
        <v>17372.84</v>
      </c>
    </row>
    <row r="241" spans="1:101" hidden="1" x14ac:dyDescent="0.25">
      <c r="A241" s="335">
        <f t="shared" si="99"/>
        <v>35473</v>
      </c>
      <c r="B241" s="353">
        <v>35480</v>
      </c>
      <c r="C241" s="317">
        <f t="shared" si="93"/>
        <v>7</v>
      </c>
      <c r="E241" s="339">
        <v>3.3739999999999999E-2</v>
      </c>
      <c r="F241" s="339">
        <f>ROUND(((F240*SUM($C$10:C240))+(E241*C241))/SUM($C$10:C241),5)</f>
        <v>3.124E-2</v>
      </c>
      <c r="G241" s="351">
        <v>67.8</v>
      </c>
      <c r="I241" s="335">
        <f t="shared" si="100"/>
        <v>34950</v>
      </c>
      <c r="J241" s="353">
        <v>34953</v>
      </c>
      <c r="K241" s="317">
        <f t="shared" si="94"/>
        <v>3</v>
      </c>
      <c r="M241" s="339">
        <v>3.7019999999999997E-2</v>
      </c>
      <c r="N241" s="339">
        <f>ROUND(((N240*SUM($K$10:K240))+(M241*K241))/SUM($K$10:K241),5)</f>
        <v>2.9870000000000001E-2</v>
      </c>
      <c r="O241" s="351">
        <v>97.5</v>
      </c>
      <c r="Q241" s="335">
        <f t="shared" si="101"/>
        <v>35684</v>
      </c>
      <c r="R241" s="345">
        <v>35690</v>
      </c>
      <c r="S241" s="317">
        <f t="shared" si="95"/>
        <v>6</v>
      </c>
      <c r="U241" s="346">
        <v>3.7359999999999997E-2</v>
      </c>
      <c r="V241" s="339">
        <f>ROUND(((V240*SUM($S$10:S240))+(U241*S241))/SUM($S$10:S241),5)</f>
        <v>3.4000000000000002E-2</v>
      </c>
      <c r="W241" s="357">
        <v>96.1</v>
      </c>
      <c r="AH241" s="345"/>
      <c r="AS241" s="346"/>
      <c r="BB241" s="352"/>
      <c r="BC241" s="348"/>
      <c r="BE241" s="335">
        <f t="shared" si="96"/>
        <v>35220</v>
      </c>
      <c r="BF241" s="353">
        <v>35227</v>
      </c>
      <c r="BG241" s="317">
        <f t="shared" si="92"/>
        <v>7</v>
      </c>
      <c r="BH241" s="339">
        <v>3.2199999999999999E-2</v>
      </c>
      <c r="BI241" s="337">
        <f t="shared" si="102"/>
        <v>18475.41</v>
      </c>
      <c r="BK241" s="337"/>
      <c r="BO241" s="335">
        <f t="shared" si="97"/>
        <v>37168</v>
      </c>
      <c r="BP241" s="345">
        <v>37175</v>
      </c>
      <c r="BQ241" s="317">
        <f t="shared" si="89"/>
        <v>7</v>
      </c>
      <c r="BR241" s="347">
        <v>2.23E-2</v>
      </c>
      <c r="BS241" s="337">
        <f t="shared" si="91"/>
        <v>7270.4109589999998</v>
      </c>
      <c r="BX241" s="345"/>
      <c r="CE241" s="345"/>
      <c r="CH241" s="337"/>
      <c r="CL241" s="335">
        <f t="shared" si="98"/>
        <v>38106</v>
      </c>
      <c r="CM241" s="345">
        <v>38108</v>
      </c>
      <c r="CN241" s="317">
        <f t="shared" si="104"/>
        <v>2</v>
      </c>
      <c r="CO241" s="347">
        <v>1.09E-2</v>
      </c>
      <c r="CP241" s="347"/>
      <c r="CQ241" s="347"/>
      <c r="CR241" s="347"/>
      <c r="CS241" s="347"/>
      <c r="CT241" s="347"/>
      <c r="CU241" s="347"/>
      <c r="CV241" s="337">
        <f t="shared" si="105"/>
        <v>4963.67</v>
      </c>
      <c r="CW241" s="341">
        <f>SUM(CV237:CV241)</f>
        <v>72064.28</v>
      </c>
    </row>
    <row r="242" spans="1:101" hidden="1" x14ac:dyDescent="0.25">
      <c r="A242" s="335">
        <f t="shared" si="99"/>
        <v>35480</v>
      </c>
      <c r="B242" s="353">
        <v>35481</v>
      </c>
      <c r="C242" s="317">
        <f t="shared" si="93"/>
        <v>1</v>
      </c>
      <c r="E242" s="339">
        <v>3.3709999999999997E-2</v>
      </c>
      <c r="F242" s="339">
        <f>ROUND(((F241*SUM($C$10:C241))+(E242*C242))/SUM($C$10:C242),5)</f>
        <v>3.124E-2</v>
      </c>
      <c r="G242" s="316">
        <v>62.5</v>
      </c>
      <c r="I242" s="335">
        <f t="shared" si="100"/>
        <v>34953</v>
      </c>
      <c r="J242" s="353">
        <v>34960</v>
      </c>
      <c r="K242" s="317">
        <f t="shared" si="94"/>
        <v>7</v>
      </c>
      <c r="M242" s="339">
        <v>3.6540000000000003E-2</v>
      </c>
      <c r="N242" s="339">
        <f>ROUND(((N241*SUM($K$10:K241))+(M242*K242))/SUM($K$10:K242),5)</f>
        <v>2.9909999999999999E-2</v>
      </c>
      <c r="O242" s="351">
        <v>92.5</v>
      </c>
      <c r="Q242" s="335">
        <f t="shared" si="101"/>
        <v>35690</v>
      </c>
      <c r="R242" s="345">
        <v>35691</v>
      </c>
      <c r="S242" s="317">
        <f t="shared" si="95"/>
        <v>1</v>
      </c>
      <c r="U242" s="346">
        <v>3.755E-2</v>
      </c>
      <c r="V242" s="339">
        <f>ROUND(((V241*SUM($S$10:S241))+(U242*S242))/SUM($S$10:S242),5)</f>
        <v>3.4000000000000002E-2</v>
      </c>
      <c r="W242" s="357">
        <v>88.9</v>
      </c>
      <c r="AH242" s="345"/>
      <c r="AS242" s="346"/>
      <c r="BB242" s="352"/>
      <c r="BC242" s="348"/>
      <c r="BE242" s="335">
        <f t="shared" si="96"/>
        <v>35227</v>
      </c>
      <c r="BF242" s="353">
        <v>35234</v>
      </c>
      <c r="BG242" s="317">
        <f t="shared" si="92"/>
        <v>7</v>
      </c>
      <c r="BH242" s="339">
        <v>3.2899999999999999E-2</v>
      </c>
      <c r="BI242" s="337">
        <f t="shared" si="102"/>
        <v>18877.05</v>
      </c>
      <c r="BK242" s="337"/>
      <c r="BO242" s="335">
        <f t="shared" si="97"/>
        <v>37175</v>
      </c>
      <c r="BP242" s="345">
        <v>37182</v>
      </c>
      <c r="BQ242" s="317">
        <f t="shared" si="89"/>
        <v>7</v>
      </c>
      <c r="BR242" s="347">
        <v>0.02</v>
      </c>
      <c r="BS242" s="337">
        <f t="shared" si="91"/>
        <v>6520.5479450000003</v>
      </c>
      <c r="BX242" s="345"/>
      <c r="CE242" s="345"/>
      <c r="CH242" s="337"/>
      <c r="CL242" s="335">
        <f t="shared" si="98"/>
        <v>38108</v>
      </c>
      <c r="CM242" s="345">
        <v>38113</v>
      </c>
      <c r="CN242" s="317">
        <f t="shared" si="104"/>
        <v>5</v>
      </c>
      <c r="CO242" s="347">
        <v>1.09E-2</v>
      </c>
      <c r="CP242" s="347"/>
      <c r="CQ242" s="347"/>
      <c r="CR242" s="347"/>
      <c r="CS242" s="347"/>
      <c r="CT242" s="347"/>
      <c r="CU242" s="347"/>
      <c r="CV242" s="337">
        <f t="shared" si="105"/>
        <v>12409.17</v>
      </c>
    </row>
    <row r="243" spans="1:101" hidden="1" x14ac:dyDescent="0.25">
      <c r="A243" s="335">
        <f t="shared" si="99"/>
        <v>35481</v>
      </c>
      <c r="B243" s="353">
        <v>35495</v>
      </c>
      <c r="C243" s="317">
        <f t="shared" si="93"/>
        <v>14</v>
      </c>
      <c r="E243" s="339">
        <v>3.3450000000000001E-2</v>
      </c>
      <c r="F243" s="339">
        <f>ROUND(((F242*SUM($C$10:C242))+(E243*C243))/SUM($C$10:C243),5)</f>
        <v>3.1260000000000003E-2</v>
      </c>
      <c r="G243" s="316">
        <v>54.3</v>
      </c>
      <c r="I243" s="335">
        <f t="shared" si="100"/>
        <v>34960</v>
      </c>
      <c r="J243" s="353">
        <v>34961</v>
      </c>
      <c r="K243" s="317">
        <f t="shared" si="94"/>
        <v>1</v>
      </c>
      <c r="M243" s="339">
        <v>3.6549999999999999E-2</v>
      </c>
      <c r="N243" s="339">
        <f>ROUND(((N242*SUM($K$10:K242))+(M243*K243))/SUM($K$10:K243),5)</f>
        <v>2.9919999999999999E-2</v>
      </c>
      <c r="O243" s="351">
        <v>91</v>
      </c>
      <c r="Q243" s="335">
        <f t="shared" si="101"/>
        <v>35691</v>
      </c>
      <c r="R243" s="345">
        <v>35692</v>
      </c>
      <c r="S243" s="317">
        <f t="shared" si="95"/>
        <v>1</v>
      </c>
      <c r="U243" s="346">
        <v>3.7629999999999997E-2</v>
      </c>
      <c r="V243" s="339">
        <f>ROUND(((V242*SUM($S$10:S242))+(U243*S243))/SUM($S$10:S243),5)</f>
        <v>3.4000000000000002E-2</v>
      </c>
      <c r="W243" s="357">
        <v>92.1</v>
      </c>
      <c r="AH243" s="345"/>
      <c r="AS243" s="346"/>
      <c r="BB243" s="352"/>
      <c r="BC243" s="348"/>
      <c r="BE243" s="335">
        <f t="shared" si="96"/>
        <v>35234</v>
      </c>
      <c r="BF243" s="353">
        <v>35241</v>
      </c>
      <c r="BG243" s="317">
        <f t="shared" si="92"/>
        <v>7</v>
      </c>
      <c r="BH243" s="339">
        <v>3.4800000000000005E-2</v>
      </c>
      <c r="BI243" s="337">
        <f t="shared" si="102"/>
        <v>19967.21</v>
      </c>
      <c r="BK243" s="337"/>
      <c r="BO243" s="335">
        <f t="shared" si="97"/>
        <v>37182</v>
      </c>
      <c r="BP243" s="345">
        <v>37189</v>
      </c>
      <c r="BQ243" s="317">
        <f t="shared" si="89"/>
        <v>7</v>
      </c>
      <c r="BR243" s="347">
        <v>1.95E-2</v>
      </c>
      <c r="BS243" s="337">
        <f t="shared" si="91"/>
        <v>6357.5342469999996</v>
      </c>
      <c r="BX243" s="345"/>
      <c r="CE243" s="345"/>
      <c r="CH243" s="337"/>
      <c r="CL243" s="335">
        <f t="shared" si="98"/>
        <v>38113</v>
      </c>
      <c r="CM243" s="345">
        <v>38120</v>
      </c>
      <c r="CN243" s="317">
        <f t="shared" si="104"/>
        <v>7</v>
      </c>
      <c r="CO243" s="347">
        <v>1.0500000000000001E-2</v>
      </c>
      <c r="CP243" s="347"/>
      <c r="CQ243" s="347"/>
      <c r="CR243" s="347"/>
      <c r="CS243" s="347"/>
      <c r="CT243" s="347"/>
      <c r="CU243" s="347"/>
      <c r="CV243" s="337">
        <f t="shared" si="105"/>
        <v>16735.310000000001</v>
      </c>
    </row>
    <row r="244" spans="1:101" hidden="1" x14ac:dyDescent="0.25">
      <c r="A244" s="335">
        <f t="shared" si="99"/>
        <v>35495</v>
      </c>
      <c r="B244" s="353">
        <v>35501</v>
      </c>
      <c r="C244" s="317">
        <f t="shared" si="93"/>
        <v>6</v>
      </c>
      <c r="E244" s="339">
        <v>3.3390000000000003E-2</v>
      </c>
      <c r="F244" s="339">
        <f>ROUND(((F243*SUM($C$10:C243))+(E244*C244))/SUM($C$10:C244),5)</f>
        <v>3.1269999999999999E-2</v>
      </c>
      <c r="G244" s="348">
        <v>58</v>
      </c>
      <c r="I244" s="335">
        <f t="shared" si="100"/>
        <v>34961</v>
      </c>
      <c r="J244" s="353">
        <v>34963</v>
      </c>
      <c r="K244" s="317">
        <f t="shared" si="94"/>
        <v>2</v>
      </c>
      <c r="M244" s="339">
        <v>3.6639999999999999E-2</v>
      </c>
      <c r="N244" s="339">
        <f>ROUND(((N243*SUM($K$10:K243))+(M244*K244))/SUM($K$10:K244),5)</f>
        <v>2.9929999999999998E-2</v>
      </c>
      <c r="O244" s="351">
        <v>91.7</v>
      </c>
      <c r="Q244" s="335">
        <f t="shared" si="101"/>
        <v>35692</v>
      </c>
      <c r="R244" s="345">
        <v>35695</v>
      </c>
      <c r="S244" s="317">
        <f t="shared" si="95"/>
        <v>3</v>
      </c>
      <c r="U244" s="346">
        <v>3.7659999999999999E-2</v>
      </c>
      <c r="V244" s="339">
        <f>ROUND(((V243*SUM($S$10:S243))+(U244*S244))/SUM($S$10:S244),5)</f>
        <v>3.4009999999999999E-2</v>
      </c>
      <c r="W244" s="357">
        <v>88.7</v>
      </c>
      <c r="AH244" s="345"/>
      <c r="AS244" s="346"/>
      <c r="BB244" s="352"/>
      <c r="BC244" s="348"/>
      <c r="BE244" s="335">
        <f t="shared" si="96"/>
        <v>35241</v>
      </c>
      <c r="BF244" s="353">
        <v>35247</v>
      </c>
      <c r="BG244" s="317">
        <f t="shared" si="92"/>
        <v>6</v>
      </c>
      <c r="BH244" s="339">
        <v>3.3500000000000002E-2</v>
      </c>
      <c r="BI244" s="337">
        <f t="shared" si="102"/>
        <v>16475.41</v>
      </c>
      <c r="BJ244" s="341">
        <f>SUM(BI240:BI244)</f>
        <v>82549.179999999993</v>
      </c>
      <c r="BK244" s="337">
        <v>87267.32</v>
      </c>
      <c r="BL244" s="341">
        <f>BJ244-BK244</f>
        <v>-4718.140000000014</v>
      </c>
      <c r="BM244" s="341">
        <f>BM239+BL244</f>
        <v>23278.960000000025</v>
      </c>
      <c r="BO244" s="335">
        <f t="shared" si="97"/>
        <v>37189</v>
      </c>
      <c r="BP244" s="345">
        <v>37196</v>
      </c>
      <c r="BQ244" s="317">
        <f t="shared" si="89"/>
        <v>7</v>
      </c>
      <c r="BR244" s="347">
        <v>2.0799999999999999E-2</v>
      </c>
      <c r="BS244" s="337">
        <f t="shared" si="91"/>
        <v>6781.3698629999999</v>
      </c>
      <c r="BT244" s="341">
        <f>SUM(BS240:BS244)</f>
        <v>30115.616439000001</v>
      </c>
      <c r="BX244" s="345"/>
      <c r="CE244" s="345"/>
      <c r="CH244" s="337"/>
      <c r="CL244" s="335">
        <f t="shared" si="98"/>
        <v>38120</v>
      </c>
      <c r="CM244" s="345">
        <v>38127</v>
      </c>
      <c r="CN244" s="317">
        <f t="shared" si="104"/>
        <v>7</v>
      </c>
      <c r="CO244" s="347">
        <v>1.0699999999999999E-2</v>
      </c>
      <c r="CP244" s="347"/>
      <c r="CQ244" s="347"/>
      <c r="CR244" s="347"/>
      <c r="CS244" s="347"/>
      <c r="CT244" s="347"/>
      <c r="CU244" s="347"/>
      <c r="CV244" s="337">
        <f t="shared" si="105"/>
        <v>17054.080000000002</v>
      </c>
    </row>
    <row r="245" spans="1:101" hidden="1" x14ac:dyDescent="0.25">
      <c r="A245" s="335">
        <f t="shared" si="99"/>
        <v>35501</v>
      </c>
      <c r="B245" s="353">
        <v>35506</v>
      </c>
      <c r="C245" s="317">
        <f t="shared" si="93"/>
        <v>5</v>
      </c>
      <c r="E245" s="339">
        <v>3.3390000000000003E-2</v>
      </c>
      <c r="F245" s="339">
        <f>ROUND(((F244*SUM($C$10:C244))+(E245*C245))/SUM($C$10:C245),5)</f>
        <v>3.1280000000000002E-2</v>
      </c>
      <c r="G245" s="348">
        <v>58</v>
      </c>
      <c r="I245" s="335">
        <f t="shared" si="100"/>
        <v>34963</v>
      </c>
      <c r="J245" s="353">
        <v>34964</v>
      </c>
      <c r="K245" s="317">
        <f t="shared" si="94"/>
        <v>1</v>
      </c>
      <c r="M245" s="339">
        <v>3.6799999999999999E-2</v>
      </c>
      <c r="N245" s="339">
        <f>ROUND(((N244*SUM($K$10:K244))+(M245*K245))/SUM($K$10:K245),5)</f>
        <v>2.9940000000000001E-2</v>
      </c>
      <c r="O245" s="351">
        <v>78.900000000000006</v>
      </c>
      <c r="Q245" s="335">
        <f t="shared" si="101"/>
        <v>35695</v>
      </c>
      <c r="R245" s="345">
        <v>35696</v>
      </c>
      <c r="S245" s="317">
        <f t="shared" si="95"/>
        <v>1</v>
      </c>
      <c r="U245" s="346">
        <v>3.7659999999999999E-2</v>
      </c>
      <c r="V245" s="339">
        <f>ROUND(((V244*SUM($S$10:S244))+(U245*S245))/SUM($S$10:S245),5)</f>
        <v>3.4009999999999999E-2</v>
      </c>
      <c r="W245" s="357">
        <v>88.6</v>
      </c>
      <c r="AH245" s="345"/>
      <c r="AS245" s="346"/>
      <c r="BB245" s="352"/>
      <c r="BC245" s="348"/>
      <c r="BE245" s="335">
        <f t="shared" si="96"/>
        <v>35247</v>
      </c>
      <c r="BF245" s="353">
        <v>35248</v>
      </c>
      <c r="BG245" s="317">
        <f t="shared" si="92"/>
        <v>1</v>
      </c>
      <c r="BH245" s="339">
        <v>3.3500000000000002E-2</v>
      </c>
      <c r="BI245" s="337">
        <f t="shared" si="102"/>
        <v>2745.9</v>
      </c>
      <c r="BK245" s="337"/>
      <c r="BO245" s="335">
        <f t="shared" si="97"/>
        <v>37196</v>
      </c>
      <c r="BP245" s="345">
        <v>37203</v>
      </c>
      <c r="BQ245" s="317">
        <f t="shared" si="89"/>
        <v>7</v>
      </c>
      <c r="BR245" s="347">
        <v>1.9699999999999999E-2</v>
      </c>
      <c r="BS245" s="337">
        <f t="shared" si="91"/>
        <v>6422.7397259999998</v>
      </c>
      <c r="BX245" s="345"/>
      <c r="CE245" s="345"/>
      <c r="CH245" s="337"/>
      <c r="CL245" s="335">
        <f t="shared" si="98"/>
        <v>38127</v>
      </c>
      <c r="CM245" s="345">
        <v>38134</v>
      </c>
      <c r="CN245" s="317">
        <f t="shared" si="104"/>
        <v>7</v>
      </c>
      <c r="CO245" s="347">
        <v>1.0699999999999999E-2</v>
      </c>
      <c r="CP245" s="347"/>
      <c r="CQ245" s="347"/>
      <c r="CR245" s="347"/>
      <c r="CS245" s="347"/>
      <c r="CT245" s="347"/>
      <c r="CU245" s="347"/>
      <c r="CV245" s="337">
        <f t="shared" si="105"/>
        <v>17054.080000000002</v>
      </c>
    </row>
    <row r="246" spans="1:101" hidden="1" x14ac:dyDescent="0.25">
      <c r="A246" s="335">
        <f t="shared" si="99"/>
        <v>35506</v>
      </c>
      <c r="B246" s="353">
        <v>35528</v>
      </c>
      <c r="C246" s="317">
        <f t="shared" si="93"/>
        <v>22</v>
      </c>
      <c r="E246" s="339">
        <v>3.3329999999999999E-2</v>
      </c>
      <c r="F246" s="339">
        <f>ROUND(((F245*SUM($C$10:C245))+(E246*C246))/SUM($C$10:C246),5)</f>
        <v>3.1309999999999998E-2</v>
      </c>
      <c r="G246" s="348">
        <v>57.3</v>
      </c>
      <c r="I246" s="335">
        <f t="shared" si="100"/>
        <v>34964</v>
      </c>
      <c r="J246" s="353">
        <v>34974</v>
      </c>
      <c r="K246" s="317">
        <f t="shared" si="94"/>
        <v>10</v>
      </c>
      <c r="M246" s="339">
        <v>3.712E-2</v>
      </c>
      <c r="N246" s="339">
        <f>ROUND(((N245*SUM($K$10:K245))+(M246*K246))/SUM($K$10:K246),5)</f>
        <v>0.03</v>
      </c>
      <c r="O246" s="351">
        <v>84.8</v>
      </c>
      <c r="Q246" s="335">
        <f t="shared" si="101"/>
        <v>35696</v>
      </c>
      <c r="R246" s="345">
        <v>35699</v>
      </c>
      <c r="S246" s="317">
        <f t="shared" si="95"/>
        <v>3</v>
      </c>
      <c r="U246" s="346">
        <v>3.7659999999999999E-2</v>
      </c>
      <c r="V246" s="339">
        <f>ROUND(((V245*SUM($S$10:S245))+(U246*S246))/SUM($S$10:S246),5)</f>
        <v>3.4020000000000002E-2</v>
      </c>
      <c r="W246" s="357">
        <v>90.1</v>
      </c>
      <c r="AH246" s="345"/>
      <c r="AS246" s="346"/>
      <c r="BB246" s="352"/>
      <c r="BC246" s="348"/>
      <c r="BE246" s="335">
        <f t="shared" si="96"/>
        <v>35248</v>
      </c>
      <c r="BF246" s="353">
        <v>35255</v>
      </c>
      <c r="BG246" s="317">
        <f t="shared" si="92"/>
        <v>7</v>
      </c>
      <c r="BH246" s="339">
        <v>2.5700000000000001E-2</v>
      </c>
      <c r="BI246" s="337">
        <f t="shared" si="102"/>
        <v>14745.9</v>
      </c>
      <c r="BK246" s="337"/>
      <c r="BO246" s="335">
        <f t="shared" si="97"/>
        <v>37203</v>
      </c>
      <c r="BP246" s="345">
        <v>37210</v>
      </c>
      <c r="BQ246" s="317">
        <f t="shared" si="89"/>
        <v>7</v>
      </c>
      <c r="BR246" s="347">
        <v>1.67E-2</v>
      </c>
      <c r="BS246" s="337">
        <f t="shared" si="91"/>
        <v>5444.6575339999999</v>
      </c>
      <c r="BX246" s="345"/>
      <c r="CE246" s="345"/>
      <c r="CH246" s="337"/>
      <c r="CL246" s="335">
        <f t="shared" si="98"/>
        <v>38134</v>
      </c>
      <c r="CM246" s="345">
        <v>38139</v>
      </c>
      <c r="CN246" s="317">
        <f t="shared" si="104"/>
        <v>5</v>
      </c>
      <c r="CO246" s="347">
        <v>1.06E-2</v>
      </c>
      <c r="CP246" s="347"/>
      <c r="CQ246" s="347"/>
      <c r="CR246" s="347"/>
      <c r="CS246" s="347"/>
      <c r="CT246" s="347"/>
      <c r="CU246" s="347"/>
      <c r="CV246" s="337">
        <f t="shared" si="105"/>
        <v>12067.64</v>
      </c>
      <c r="CW246" s="341">
        <f>SUM(CV242:CV246)</f>
        <v>75320.28</v>
      </c>
    </row>
    <row r="247" spans="1:101" hidden="1" x14ac:dyDescent="0.25">
      <c r="A247" s="335">
        <f t="shared" si="99"/>
        <v>35528</v>
      </c>
      <c r="B247" s="353">
        <v>35529</v>
      </c>
      <c r="C247" s="317">
        <f t="shared" si="93"/>
        <v>1</v>
      </c>
      <c r="E247" s="339">
        <v>3.4020000000000002E-2</v>
      </c>
      <c r="F247" s="339">
        <f>ROUND(((F246*SUM($C$10:C246))+(E247*C247))/SUM($C$10:C247),5)</f>
        <v>3.1309999999999998E-2</v>
      </c>
      <c r="G247" s="348">
        <v>65.3</v>
      </c>
      <c r="I247" s="335">
        <f t="shared" si="100"/>
        <v>34974</v>
      </c>
      <c r="J247" s="353">
        <v>34976</v>
      </c>
      <c r="K247" s="317">
        <f t="shared" si="94"/>
        <v>2</v>
      </c>
      <c r="M247" s="339">
        <v>3.7069999999999999E-2</v>
      </c>
      <c r="N247" s="339">
        <f>ROUND(((N246*SUM($K$10:K246))+(M247*K247))/SUM($K$10:K247),5)</f>
        <v>3.0009999999999998E-2</v>
      </c>
      <c r="O247" s="351">
        <v>84.1</v>
      </c>
      <c r="Q247" s="335">
        <f t="shared" si="101"/>
        <v>35699</v>
      </c>
      <c r="R247" s="345">
        <v>35702</v>
      </c>
      <c r="S247" s="317">
        <f t="shared" si="95"/>
        <v>3</v>
      </c>
      <c r="U247" s="346">
        <v>3.7670000000000002E-2</v>
      </c>
      <c r="V247" s="339">
        <f>ROUND(((V246*SUM($S$10:S246))+(U247*S247))/SUM($S$10:S247),5)</f>
        <v>3.4029999999999998E-2</v>
      </c>
      <c r="W247" s="357">
        <v>87.4</v>
      </c>
      <c r="AH247" s="345"/>
      <c r="AS247" s="346"/>
      <c r="BB247" s="352"/>
      <c r="BC247" s="348"/>
      <c r="BE247" s="335">
        <f t="shared" si="96"/>
        <v>35255</v>
      </c>
      <c r="BF247" s="353">
        <v>35262</v>
      </c>
      <c r="BG247" s="317">
        <f t="shared" si="92"/>
        <v>7</v>
      </c>
      <c r="BH247" s="339">
        <v>2.47E-2</v>
      </c>
      <c r="BI247" s="337">
        <f t="shared" si="102"/>
        <v>14172.13</v>
      </c>
      <c r="BK247" s="337"/>
      <c r="BO247" s="335">
        <f t="shared" si="97"/>
        <v>37210</v>
      </c>
      <c r="BP247" s="345">
        <v>37218</v>
      </c>
      <c r="BQ247" s="317">
        <f t="shared" si="89"/>
        <v>8</v>
      </c>
      <c r="BR247" s="347">
        <v>1.7100000000000001E-2</v>
      </c>
      <c r="BS247" s="337">
        <f t="shared" si="91"/>
        <v>6371.5068490000003</v>
      </c>
      <c r="BX247" s="345"/>
      <c r="CE247" s="345"/>
      <c r="CH247" s="337"/>
      <c r="CL247" s="335">
        <f t="shared" si="98"/>
        <v>38139</v>
      </c>
      <c r="CM247" s="361">
        <v>38141</v>
      </c>
      <c r="CN247" s="317">
        <f t="shared" si="104"/>
        <v>2</v>
      </c>
      <c r="CO247" s="346">
        <v>1.06E-2</v>
      </c>
      <c r="CP247" s="346"/>
      <c r="CQ247" s="346"/>
      <c r="CR247" s="346"/>
      <c r="CS247" s="346"/>
      <c r="CT247" s="346"/>
      <c r="CU247" s="346"/>
      <c r="CV247" s="337">
        <f t="shared" si="105"/>
        <v>4827.05</v>
      </c>
    </row>
    <row r="248" spans="1:101" hidden="1" x14ac:dyDescent="0.25">
      <c r="A248" s="335">
        <f t="shared" si="99"/>
        <v>35529</v>
      </c>
      <c r="B248" s="353">
        <v>35530</v>
      </c>
      <c r="C248" s="317">
        <f t="shared" si="93"/>
        <v>1</v>
      </c>
      <c r="E248" s="339">
        <v>3.551E-2</v>
      </c>
      <c r="F248" s="339">
        <f>ROUND(((F247*SUM($C$10:C247))+(E248*C248))/SUM($C$10:C248),5)</f>
        <v>3.1309999999999998E-2</v>
      </c>
      <c r="G248" s="348">
        <v>85.2</v>
      </c>
      <c r="I248" s="335">
        <f t="shared" si="100"/>
        <v>34976</v>
      </c>
      <c r="J248" s="353">
        <v>34991</v>
      </c>
      <c r="K248" s="317">
        <f t="shared" si="94"/>
        <v>15</v>
      </c>
      <c r="M248" s="339">
        <v>3.721E-2</v>
      </c>
      <c r="N248" s="339">
        <f>ROUND(((N247*SUM($K$10:K247))+(M248*K248))/SUM($K$10:K248),5)</f>
        <v>3.0110000000000001E-2</v>
      </c>
      <c r="O248" s="351">
        <v>93.1</v>
      </c>
      <c r="Q248" s="335">
        <f t="shared" si="101"/>
        <v>35702</v>
      </c>
      <c r="R248" s="345">
        <v>35704</v>
      </c>
      <c r="S248" s="317">
        <f t="shared" si="95"/>
        <v>2</v>
      </c>
      <c r="U248" s="346">
        <v>3.7650000000000003E-2</v>
      </c>
      <c r="V248" s="339">
        <f>ROUND(((V247*SUM($S$10:S247))+(U248*S248))/SUM($S$10:S248),5)</f>
        <v>3.4029999999999998E-2</v>
      </c>
      <c r="W248" s="357">
        <v>90.7</v>
      </c>
      <c r="AH248" s="345"/>
      <c r="AS248" s="346"/>
      <c r="BB248" s="352"/>
      <c r="BC248" s="348"/>
      <c r="BE248" s="335">
        <f t="shared" si="96"/>
        <v>35262</v>
      </c>
      <c r="BF248" s="353">
        <v>35269</v>
      </c>
      <c r="BG248" s="317">
        <f t="shared" si="92"/>
        <v>7</v>
      </c>
      <c r="BH248" s="339">
        <v>3.44E-2</v>
      </c>
      <c r="BI248" s="337">
        <f t="shared" si="102"/>
        <v>19737.7</v>
      </c>
      <c r="BK248" s="337"/>
      <c r="BO248" s="335">
        <f t="shared" si="97"/>
        <v>37218</v>
      </c>
      <c r="BP248" s="345">
        <v>37224</v>
      </c>
      <c r="BQ248" s="317">
        <f t="shared" si="89"/>
        <v>6</v>
      </c>
      <c r="BR248" s="347">
        <v>1.66E-2</v>
      </c>
      <c r="BS248" s="337">
        <f t="shared" si="91"/>
        <v>4638.9041100000004</v>
      </c>
      <c r="BX248" s="345"/>
      <c r="CE248" s="345"/>
      <c r="CH248" s="337"/>
      <c r="CL248" s="335">
        <f t="shared" si="98"/>
        <v>38141</v>
      </c>
      <c r="CM248" s="361">
        <v>38148</v>
      </c>
      <c r="CN248" s="317">
        <f t="shared" si="104"/>
        <v>7</v>
      </c>
      <c r="CO248" s="346">
        <v>1.03E-2</v>
      </c>
      <c r="CP248" s="346"/>
      <c r="CQ248" s="346"/>
      <c r="CR248" s="346"/>
      <c r="CS248" s="346"/>
      <c r="CT248" s="346"/>
      <c r="CU248" s="346"/>
      <c r="CV248" s="337">
        <f t="shared" si="105"/>
        <v>16416.54</v>
      </c>
    </row>
    <row r="249" spans="1:101" hidden="1" x14ac:dyDescent="0.25">
      <c r="A249" s="335">
        <f t="shared" si="99"/>
        <v>35530</v>
      </c>
      <c r="B249" s="353">
        <v>35551</v>
      </c>
      <c r="C249" s="317">
        <f t="shared" si="93"/>
        <v>21</v>
      </c>
      <c r="E249" s="339">
        <v>3.6749999999999998E-2</v>
      </c>
      <c r="F249" s="339">
        <f>ROUND(((F248*SUM($C$10:C248))+(E249*C249))/SUM($C$10:C249),5)</f>
        <v>3.1379999999999998E-2</v>
      </c>
      <c r="G249" s="348">
        <v>103</v>
      </c>
      <c r="I249" s="335">
        <f t="shared" si="100"/>
        <v>34991</v>
      </c>
      <c r="J249" s="353">
        <v>34992</v>
      </c>
      <c r="K249" s="317">
        <f t="shared" si="94"/>
        <v>1</v>
      </c>
      <c r="M249" s="339">
        <v>3.7190000000000001E-2</v>
      </c>
      <c r="N249" s="339">
        <f>ROUND(((N248*SUM($K$10:K248))+(M249*K249))/SUM($K$10:K249),5)</f>
        <v>3.0120000000000001E-2</v>
      </c>
      <c r="O249" s="351">
        <v>91.6</v>
      </c>
      <c r="Q249" s="335">
        <f t="shared" si="101"/>
        <v>35704</v>
      </c>
      <c r="R249" s="345">
        <v>35719</v>
      </c>
      <c r="S249" s="317">
        <f t="shared" si="95"/>
        <v>15</v>
      </c>
      <c r="U249" s="346">
        <v>3.7600000000000001E-2</v>
      </c>
      <c r="V249" s="339">
        <f>ROUND(((V248*SUM($S$10:S248))+(U249*S249))/SUM($S$10:S249),5)</f>
        <v>3.4070000000000003E-2</v>
      </c>
      <c r="W249" s="357">
        <v>90.3</v>
      </c>
      <c r="AH249" s="345"/>
      <c r="AS249" s="346"/>
      <c r="BB249" s="352"/>
      <c r="BC249" s="348"/>
      <c r="BE249" s="335">
        <f t="shared" si="96"/>
        <v>35269</v>
      </c>
      <c r="BF249" s="353">
        <v>35276</v>
      </c>
      <c r="BG249" s="317">
        <f t="shared" si="92"/>
        <v>7</v>
      </c>
      <c r="BH249" s="339">
        <v>3.5400000000000001E-2</v>
      </c>
      <c r="BI249" s="337">
        <f t="shared" si="102"/>
        <v>20311.48</v>
      </c>
      <c r="BO249" s="335">
        <f t="shared" si="97"/>
        <v>37224</v>
      </c>
      <c r="BP249" s="345">
        <v>37226</v>
      </c>
      <c r="BQ249" s="317">
        <f t="shared" si="89"/>
        <v>2</v>
      </c>
      <c r="BR249" s="347">
        <v>1.49E-2</v>
      </c>
      <c r="BS249" s="337">
        <f t="shared" si="91"/>
        <v>1387.945205</v>
      </c>
      <c r="BT249" s="341">
        <f>SUM(BS245:BS249)</f>
        <v>24265.753423999999</v>
      </c>
      <c r="BX249" s="345"/>
      <c r="CE249" s="345"/>
      <c r="CH249" s="337"/>
      <c r="CL249" s="335">
        <f t="shared" si="98"/>
        <v>38148</v>
      </c>
      <c r="CM249" s="361">
        <v>38155</v>
      </c>
      <c r="CN249" s="317">
        <f t="shared" si="104"/>
        <v>7</v>
      </c>
      <c r="CO249" s="346">
        <v>1.0699999999999999E-2</v>
      </c>
      <c r="CP249" s="346"/>
      <c r="CQ249" s="346"/>
      <c r="CR249" s="346"/>
      <c r="CS249" s="346"/>
      <c r="CT249" s="346"/>
      <c r="CU249" s="346"/>
      <c r="CV249" s="337">
        <f t="shared" si="105"/>
        <v>17054.080000000002</v>
      </c>
    </row>
    <row r="250" spans="1:101" hidden="1" x14ac:dyDescent="0.25">
      <c r="A250" s="335">
        <f t="shared" si="99"/>
        <v>35551</v>
      </c>
      <c r="B250" s="353">
        <v>35591</v>
      </c>
      <c r="C250" s="317">
        <f t="shared" si="93"/>
        <v>40</v>
      </c>
      <c r="E250" s="346">
        <v>3.6920000000000001E-2</v>
      </c>
      <c r="F250" s="339">
        <f>ROUND(((F249*SUM($C$10:C249))+(E250*C250))/SUM($C$10:C250),5)</f>
        <v>3.1510000000000003E-2</v>
      </c>
      <c r="G250" s="348">
        <v>101.5</v>
      </c>
      <c r="I250" s="335">
        <f t="shared" si="100"/>
        <v>34992</v>
      </c>
      <c r="J250" s="353">
        <v>34998</v>
      </c>
      <c r="K250" s="317">
        <f t="shared" si="94"/>
        <v>6</v>
      </c>
      <c r="M250" s="339">
        <v>3.7170000000000002E-2</v>
      </c>
      <c r="N250" s="339">
        <f>ROUND(((N249*SUM($K$10:K249))+(M250*K250))/SUM($K$10:K250),5)</f>
        <v>3.0159999999999999E-2</v>
      </c>
      <c r="O250" s="351">
        <v>92.5</v>
      </c>
      <c r="Q250" s="335">
        <f t="shared" si="101"/>
        <v>35719</v>
      </c>
      <c r="R250" s="345">
        <v>35726</v>
      </c>
      <c r="S250" s="317">
        <f t="shared" si="95"/>
        <v>7</v>
      </c>
      <c r="U250" s="346">
        <v>3.7530000000000001E-2</v>
      </c>
      <c r="V250" s="339">
        <f>ROUND(((V249*SUM($S$10:S249))+(U250*S250))/SUM($S$10:S250),5)</f>
        <v>3.4090000000000002E-2</v>
      </c>
      <c r="W250" s="357">
        <v>84.3</v>
      </c>
      <c r="AH250" s="345"/>
      <c r="AS250" s="346"/>
      <c r="BB250" s="352"/>
      <c r="BC250" s="348"/>
      <c r="BE250" s="335">
        <f t="shared" si="96"/>
        <v>35276</v>
      </c>
      <c r="BF250" s="353">
        <v>35278</v>
      </c>
      <c r="BG250" s="317">
        <f t="shared" si="92"/>
        <v>2</v>
      </c>
      <c r="BH250" s="339">
        <v>3.6000000000000004E-2</v>
      </c>
      <c r="BI250" s="337">
        <f t="shared" si="102"/>
        <v>5901.64</v>
      </c>
      <c r="BJ250" s="341">
        <f>SUM(BI245:BI250)</f>
        <v>77614.75</v>
      </c>
      <c r="BK250" s="337">
        <v>89222.11</v>
      </c>
      <c r="BL250" s="341">
        <f>BJ250-BK250</f>
        <v>-11607.36</v>
      </c>
      <c r="BM250" s="341">
        <f>BM244+BL250</f>
        <v>11671.600000000024</v>
      </c>
      <c r="BO250" s="335">
        <f t="shared" si="97"/>
        <v>37226</v>
      </c>
      <c r="BP250" s="345">
        <v>37231</v>
      </c>
      <c r="BQ250" s="317">
        <f t="shared" si="89"/>
        <v>5</v>
      </c>
      <c r="BR250" s="347">
        <v>1.49E-2</v>
      </c>
      <c r="BS250" s="337">
        <f t="shared" si="91"/>
        <v>3469.863014</v>
      </c>
      <c r="BX250" s="345"/>
      <c r="CE250" s="345"/>
      <c r="CH250" s="337"/>
      <c r="CL250" s="335">
        <f t="shared" si="98"/>
        <v>38155</v>
      </c>
      <c r="CM250" s="361">
        <v>38162</v>
      </c>
      <c r="CN250" s="317">
        <f t="shared" si="104"/>
        <v>7</v>
      </c>
      <c r="CO250" s="346">
        <v>1.0699999999999999E-2</v>
      </c>
      <c r="CP250" s="346"/>
      <c r="CQ250" s="346"/>
      <c r="CR250" s="346"/>
      <c r="CS250" s="346"/>
      <c r="CT250" s="346"/>
      <c r="CU250" s="346"/>
      <c r="CV250" s="337">
        <f t="shared" si="105"/>
        <v>17054.080000000002</v>
      </c>
    </row>
    <row r="251" spans="1:101" hidden="1" x14ac:dyDescent="0.25">
      <c r="A251" s="335">
        <f t="shared" si="99"/>
        <v>35591</v>
      </c>
      <c r="B251" s="353">
        <v>35592</v>
      </c>
      <c r="C251" s="317">
        <f t="shared" si="93"/>
        <v>1</v>
      </c>
      <c r="E251" s="346">
        <v>3.7019999999999997E-2</v>
      </c>
      <c r="F251" s="339">
        <f>ROUND(((F250*SUM($C$10:C250))+(E251*C251))/SUM($C$10:C251),5)</f>
        <v>3.1510000000000003E-2</v>
      </c>
      <c r="G251" s="348">
        <v>99.9</v>
      </c>
      <c r="I251" s="335">
        <f t="shared" si="100"/>
        <v>34998</v>
      </c>
      <c r="J251" s="353">
        <v>35011</v>
      </c>
      <c r="K251" s="317">
        <f t="shared" si="94"/>
        <v>13</v>
      </c>
      <c r="M251" s="339">
        <v>3.7179999999999998E-2</v>
      </c>
      <c r="N251" s="339">
        <f>ROUND(((N250*SUM($K$10:K250))+(M251*K251))/SUM($K$10:K251),5)</f>
        <v>3.024E-2</v>
      </c>
      <c r="O251" s="351">
        <v>94.3</v>
      </c>
      <c r="Q251" s="335">
        <f t="shared" si="101"/>
        <v>35726</v>
      </c>
      <c r="R251" s="345">
        <v>35727</v>
      </c>
      <c r="S251" s="317">
        <f t="shared" si="95"/>
        <v>1</v>
      </c>
      <c r="U251" s="346">
        <v>3.7569999999999999E-2</v>
      </c>
      <c r="V251" s="339">
        <f>ROUND(((V250*SUM($S$10:S250))+(U251*S251))/SUM($S$10:S251),5)</f>
        <v>3.4090000000000002E-2</v>
      </c>
      <c r="W251" s="357">
        <v>83.7</v>
      </c>
      <c r="AH251" s="345"/>
      <c r="AS251" s="346"/>
      <c r="BB251" s="352"/>
      <c r="BC251" s="348"/>
      <c r="BE251" s="335">
        <f t="shared" si="96"/>
        <v>35278</v>
      </c>
      <c r="BF251" s="353">
        <v>35283</v>
      </c>
      <c r="BG251" s="317">
        <f t="shared" si="92"/>
        <v>5</v>
      </c>
      <c r="BH251" s="339">
        <v>3.6000000000000004E-2</v>
      </c>
      <c r="BI251" s="337">
        <f t="shared" si="102"/>
        <v>14754.1</v>
      </c>
      <c r="BO251" s="335">
        <f t="shared" si="97"/>
        <v>37231</v>
      </c>
      <c r="BP251" s="345">
        <v>37238</v>
      </c>
      <c r="BQ251" s="317">
        <f t="shared" si="89"/>
        <v>7</v>
      </c>
      <c r="BR251" s="347">
        <v>1.0999999999999999E-2</v>
      </c>
      <c r="BS251" s="337">
        <f t="shared" si="91"/>
        <v>3586.3013700000001</v>
      </c>
      <c r="BX251" s="345"/>
      <c r="CE251" s="345"/>
      <c r="CH251" s="337"/>
      <c r="CL251" s="335">
        <f t="shared" si="98"/>
        <v>38162</v>
      </c>
      <c r="CM251" s="361">
        <v>38169</v>
      </c>
      <c r="CN251" s="317">
        <f t="shared" si="104"/>
        <v>7</v>
      </c>
      <c r="CO251" s="346">
        <v>1.0800000000000001E-2</v>
      </c>
      <c r="CP251" s="346"/>
      <c r="CQ251" s="346"/>
      <c r="CR251" s="346"/>
      <c r="CS251" s="346"/>
      <c r="CT251" s="346"/>
      <c r="CU251" s="346"/>
      <c r="CV251" s="337">
        <f t="shared" si="105"/>
        <v>17213.46</v>
      </c>
      <c r="CW251" s="341">
        <f>SUM(CV247:CV251)</f>
        <v>72565.209999999992</v>
      </c>
    </row>
    <row r="252" spans="1:101" hidden="1" x14ac:dyDescent="0.25">
      <c r="A252" s="335">
        <f t="shared" si="99"/>
        <v>35592</v>
      </c>
      <c r="B252" s="345">
        <v>35599</v>
      </c>
      <c r="C252" s="317">
        <f t="shared" si="93"/>
        <v>7</v>
      </c>
      <c r="E252" s="346">
        <v>3.703E-2</v>
      </c>
      <c r="F252" s="339">
        <f>ROUND(((F251*SUM($C$10:C251))+(E252*C252))/SUM($C$10:C252),5)</f>
        <v>3.1530000000000002E-2</v>
      </c>
      <c r="G252" s="348">
        <v>100.2</v>
      </c>
      <c r="I252" s="335">
        <f t="shared" si="100"/>
        <v>35011</v>
      </c>
      <c r="J252" s="353">
        <v>35013</v>
      </c>
      <c r="K252" s="317">
        <f t="shared" si="94"/>
        <v>2</v>
      </c>
      <c r="M252" s="339">
        <v>3.7319999999999999E-2</v>
      </c>
      <c r="N252" s="339">
        <f>ROUND(((N251*SUM($K$10:K251))+(M252*K252))/SUM($K$10:K252),5)</f>
        <v>3.0249999999999999E-2</v>
      </c>
      <c r="O252" s="316">
        <v>99.5</v>
      </c>
      <c r="Q252" s="335">
        <f t="shared" si="101"/>
        <v>35727</v>
      </c>
      <c r="R252" s="345">
        <v>35747</v>
      </c>
      <c r="S252" s="317">
        <f t="shared" si="95"/>
        <v>20</v>
      </c>
      <c r="U252" s="346">
        <v>3.7490000000000002E-2</v>
      </c>
      <c r="V252" s="339">
        <f>ROUND(((V251*SUM($S$10:S251))+(U252*S252))/SUM($S$10:S252),5)</f>
        <v>3.4130000000000001E-2</v>
      </c>
      <c r="W252" s="357">
        <v>75.8</v>
      </c>
      <c r="AH252" s="345"/>
      <c r="AS252" s="346"/>
      <c r="BB252" s="352"/>
      <c r="BC252" s="348"/>
      <c r="BE252" s="335">
        <f t="shared" si="96"/>
        <v>35283</v>
      </c>
      <c r="BF252" s="353">
        <v>35290</v>
      </c>
      <c r="BG252" s="317">
        <f t="shared" si="92"/>
        <v>7</v>
      </c>
      <c r="BH252" s="339">
        <v>3.44E-2</v>
      </c>
      <c r="BI252" s="337">
        <f t="shared" si="102"/>
        <v>19737.7</v>
      </c>
      <c r="BO252" s="335">
        <f t="shared" si="97"/>
        <v>37238</v>
      </c>
      <c r="BP252" s="345">
        <v>37245</v>
      </c>
      <c r="BQ252" s="317">
        <f t="shared" si="89"/>
        <v>7</v>
      </c>
      <c r="BR252" s="347">
        <v>1.1900000000000001E-2</v>
      </c>
      <c r="BS252" s="337">
        <f t="shared" si="91"/>
        <v>3879.7260270000002</v>
      </c>
      <c r="BX252" s="345"/>
      <c r="CE252" s="345"/>
      <c r="CH252" s="337"/>
      <c r="CL252" s="335">
        <f t="shared" si="98"/>
        <v>38169</v>
      </c>
      <c r="CM252" s="345">
        <v>38176</v>
      </c>
      <c r="CN252" s="317">
        <f t="shared" si="104"/>
        <v>7</v>
      </c>
      <c r="CO252" s="347">
        <v>1.0500000000000001E-2</v>
      </c>
      <c r="CP252" s="347"/>
      <c r="CQ252" s="347"/>
      <c r="CR252" s="347"/>
      <c r="CS252" s="347"/>
      <c r="CT252" s="347"/>
      <c r="CU252" s="347"/>
      <c r="CV252" s="337">
        <f t="shared" si="105"/>
        <v>16735.310000000001</v>
      </c>
    </row>
    <row r="253" spans="1:101" hidden="1" x14ac:dyDescent="0.25">
      <c r="A253" s="335">
        <f t="shared" si="99"/>
        <v>35599</v>
      </c>
      <c r="B253" s="345">
        <v>35600</v>
      </c>
      <c r="C253" s="317">
        <f t="shared" si="93"/>
        <v>1</v>
      </c>
      <c r="E253" s="346">
        <v>3.721E-2</v>
      </c>
      <c r="F253" s="339">
        <f>ROUND(((F252*SUM($C$10:C252))+(E253*C253))/SUM($C$10:C253),5)</f>
        <v>3.1530000000000002E-2</v>
      </c>
      <c r="G253" s="348">
        <v>85.2</v>
      </c>
      <c r="I253" s="335">
        <f t="shared" si="100"/>
        <v>35013</v>
      </c>
      <c r="J253" s="353">
        <v>35017</v>
      </c>
      <c r="K253" s="317">
        <f t="shared" si="94"/>
        <v>4</v>
      </c>
      <c r="M253" s="339">
        <v>3.7659999999999999E-2</v>
      </c>
      <c r="N253" s="339">
        <f>ROUND(((N252*SUM($K$10:K252))+(M253*K253))/SUM($K$10:K253),5)</f>
        <v>3.0280000000000001E-2</v>
      </c>
      <c r="O253" s="316">
        <v>97.5</v>
      </c>
      <c r="Q253" s="335">
        <f t="shared" si="101"/>
        <v>35747</v>
      </c>
      <c r="R253" s="345">
        <v>35748</v>
      </c>
      <c r="S253" s="317">
        <f t="shared" si="95"/>
        <v>1</v>
      </c>
      <c r="U253" s="346">
        <v>3.7560000000000003E-2</v>
      </c>
      <c r="V253" s="339">
        <f>ROUND(((V252*SUM($S$10:S252))+(U253*S253))/SUM($S$10:S253),5)</f>
        <v>3.4130000000000001E-2</v>
      </c>
      <c r="W253" s="357">
        <v>87.8</v>
      </c>
      <c r="AH253" s="345"/>
      <c r="AS253" s="346"/>
      <c r="BB253" s="352"/>
      <c r="BC253" s="348"/>
      <c r="BE253" s="335">
        <f t="shared" si="96"/>
        <v>35290</v>
      </c>
      <c r="BF253" s="353">
        <v>35297</v>
      </c>
      <c r="BG253" s="317">
        <f t="shared" si="92"/>
        <v>7</v>
      </c>
      <c r="BH253" s="339">
        <v>3.6500000000000005E-2</v>
      </c>
      <c r="BI253" s="337">
        <f t="shared" si="102"/>
        <v>20942.62</v>
      </c>
      <c r="BO253" s="335">
        <f t="shared" si="97"/>
        <v>37245</v>
      </c>
      <c r="BP253" s="345">
        <v>37252</v>
      </c>
      <c r="BQ253" s="317">
        <f>BP253-BO253</f>
        <v>7</v>
      </c>
      <c r="BR253" s="347">
        <v>1.5599999999999999E-2</v>
      </c>
      <c r="BS253" s="337">
        <f t="shared" si="91"/>
        <v>5086.0273969999998</v>
      </c>
      <c r="BX253" s="345"/>
      <c r="CE253" s="345"/>
      <c r="CH253" s="337"/>
      <c r="CL253" s="335">
        <f t="shared" si="98"/>
        <v>38176</v>
      </c>
      <c r="CM253" s="345">
        <v>38183</v>
      </c>
      <c r="CN253" s="317">
        <f t="shared" si="104"/>
        <v>7</v>
      </c>
      <c r="CO253" s="347">
        <v>0.01</v>
      </c>
      <c r="CP253" s="347"/>
      <c r="CQ253" s="347"/>
      <c r="CR253" s="347"/>
      <c r="CS253" s="347"/>
      <c r="CT253" s="347"/>
      <c r="CU253" s="347"/>
      <c r="CV253" s="337">
        <f t="shared" si="105"/>
        <v>15938.39</v>
      </c>
    </row>
    <row r="254" spans="1:101" hidden="1" x14ac:dyDescent="0.25">
      <c r="A254" s="335">
        <f t="shared" si="99"/>
        <v>35600</v>
      </c>
      <c r="B254" s="345">
        <v>35601</v>
      </c>
      <c r="C254" s="317">
        <f t="shared" si="93"/>
        <v>1</v>
      </c>
      <c r="E254" s="346">
        <v>3.7199999999999997E-2</v>
      </c>
      <c r="F254" s="339">
        <f>ROUND(((F253*SUM($C$10:C253))+(E254*C254))/SUM($C$10:C254),5)</f>
        <v>3.1530000000000002E-2</v>
      </c>
      <c r="G254" s="348">
        <v>85.2</v>
      </c>
      <c r="I254" s="335">
        <f t="shared" si="100"/>
        <v>35017</v>
      </c>
      <c r="J254" s="353">
        <v>35019</v>
      </c>
      <c r="K254" s="317">
        <f t="shared" si="94"/>
        <v>2</v>
      </c>
      <c r="M254" s="339">
        <v>3.7780000000000001E-2</v>
      </c>
      <c r="N254" s="339">
        <f>ROUND(((N253*SUM($K$10:K253))+(M254*K254))/SUM($K$10:K254),5)</f>
        <v>3.0290000000000001E-2</v>
      </c>
      <c r="O254" s="316">
        <v>98.3</v>
      </c>
      <c r="Q254" s="335">
        <f t="shared" si="101"/>
        <v>35748</v>
      </c>
      <c r="R254" s="345">
        <v>35767</v>
      </c>
      <c r="S254" s="317">
        <f t="shared" si="95"/>
        <v>19</v>
      </c>
      <c r="U254" s="346">
        <v>3.755E-2</v>
      </c>
      <c r="V254" s="339">
        <f>ROUND(((V253*SUM($S$10:S253))+(U254*S254))/SUM($S$10:S254),5)</f>
        <v>3.4169999999999999E-2</v>
      </c>
      <c r="W254" s="357">
        <v>86.1</v>
      </c>
      <c r="AH254" s="345"/>
      <c r="AS254" s="346"/>
      <c r="BB254" s="352"/>
      <c r="BC254" s="348"/>
      <c r="BE254" s="335">
        <f t="shared" si="96"/>
        <v>35297</v>
      </c>
      <c r="BF254" s="353">
        <v>35304</v>
      </c>
      <c r="BG254" s="317">
        <f t="shared" si="92"/>
        <v>7</v>
      </c>
      <c r="BH254" s="339">
        <v>3.5099999999999999E-2</v>
      </c>
      <c r="BI254" s="337">
        <f t="shared" si="102"/>
        <v>20139.34</v>
      </c>
      <c r="BO254" s="335">
        <f t="shared" si="97"/>
        <v>37252</v>
      </c>
      <c r="BP254" s="345">
        <v>37257</v>
      </c>
      <c r="BQ254" s="317">
        <f>BP254-BO254</f>
        <v>5</v>
      </c>
      <c r="BR254" s="347">
        <v>1.61E-2</v>
      </c>
      <c r="BS254" s="337">
        <f t="shared" si="91"/>
        <v>3749.3150679999999</v>
      </c>
      <c r="BT254" s="341">
        <f>SUM(BS250:BS254)</f>
        <v>19771.232876000002</v>
      </c>
      <c r="BX254" s="345"/>
      <c r="CE254" s="345"/>
      <c r="CH254" s="337"/>
      <c r="CL254" s="335">
        <f t="shared" si="98"/>
        <v>38183</v>
      </c>
      <c r="CM254" s="345">
        <v>38190</v>
      </c>
      <c r="CN254" s="317">
        <f t="shared" si="104"/>
        <v>7</v>
      </c>
      <c r="CO254" s="347">
        <v>1.01E-2</v>
      </c>
      <c r="CP254" s="347"/>
      <c r="CQ254" s="347"/>
      <c r="CR254" s="347"/>
      <c r="CS254" s="347"/>
      <c r="CT254" s="347"/>
      <c r="CU254" s="347"/>
      <c r="CV254" s="337">
        <f t="shared" si="105"/>
        <v>16097.77</v>
      </c>
    </row>
    <row r="255" spans="1:101" hidden="1" x14ac:dyDescent="0.25">
      <c r="A255" s="335">
        <f t="shared" si="99"/>
        <v>35601</v>
      </c>
      <c r="B255" s="345">
        <v>35619</v>
      </c>
      <c r="C255" s="317">
        <f t="shared" si="93"/>
        <v>18</v>
      </c>
      <c r="E255" s="346">
        <v>3.7269999999999998E-2</v>
      </c>
      <c r="F255" s="339">
        <f>ROUND(((F254*SUM($C$10:C254))+(E255*C255))/SUM($C$10:C255),5)</f>
        <v>3.159E-2</v>
      </c>
      <c r="G255" s="348">
        <v>107.9</v>
      </c>
      <c r="I255" s="335">
        <f t="shared" si="100"/>
        <v>35019</v>
      </c>
      <c r="J255" s="353">
        <v>35038</v>
      </c>
      <c r="K255" s="317">
        <f t="shared" si="94"/>
        <v>19</v>
      </c>
      <c r="M255" s="339">
        <v>3.7780000000000001E-2</v>
      </c>
      <c r="N255" s="339">
        <f>ROUND(((N254*SUM($K$10:K254))+(M255*K255))/SUM($K$10:K255),5)</f>
        <v>3.041E-2</v>
      </c>
      <c r="O255" s="316">
        <v>98.3</v>
      </c>
      <c r="Q255" s="335">
        <f t="shared" si="101"/>
        <v>35767</v>
      </c>
      <c r="R255" s="345">
        <v>35768</v>
      </c>
      <c r="S255" s="317">
        <f t="shared" si="95"/>
        <v>1</v>
      </c>
      <c r="U255" s="346">
        <v>3.7530000000000001E-2</v>
      </c>
      <c r="V255" s="339">
        <f>ROUND(((V254*SUM($S$10:S254))+(U255*S255))/SUM($S$10:S255),5)</f>
        <v>3.4169999999999999E-2</v>
      </c>
      <c r="W255" s="357">
        <v>86.7</v>
      </c>
      <c r="AH255" s="345"/>
      <c r="AS255" s="346"/>
      <c r="BB255" s="352"/>
      <c r="BC255" s="348"/>
      <c r="BE255" s="335">
        <f t="shared" si="96"/>
        <v>35304</v>
      </c>
      <c r="BF255" s="353">
        <v>35309</v>
      </c>
      <c r="BG255" s="317">
        <f t="shared" si="92"/>
        <v>5</v>
      </c>
      <c r="BH255" s="339">
        <v>3.5200000000000002E-2</v>
      </c>
      <c r="BI255" s="337">
        <f t="shared" si="102"/>
        <v>14426.23</v>
      </c>
      <c r="BJ255" s="341">
        <f>SUM(BI251:BI255)</f>
        <v>89999.989999999991</v>
      </c>
      <c r="BK255" s="337">
        <v>90137.36</v>
      </c>
      <c r="BL255" s="341">
        <f>BJ255-BK255</f>
        <v>-137.3700000000099</v>
      </c>
      <c r="BM255" s="341">
        <f>BM250+BL255</f>
        <v>11534.230000000014</v>
      </c>
      <c r="BO255" s="335">
        <f t="shared" si="97"/>
        <v>37257</v>
      </c>
      <c r="BP255" s="345">
        <v>37259</v>
      </c>
      <c r="BQ255" s="317">
        <f t="shared" ref="BQ255:BQ366" si="106">BP255-BO255</f>
        <v>2</v>
      </c>
      <c r="BR255" s="347">
        <v>1.61E-2</v>
      </c>
      <c r="BS255" s="337">
        <f t="shared" si="91"/>
        <v>1499.7260269999999</v>
      </c>
      <c r="BX255" s="345"/>
      <c r="CE255" s="345"/>
      <c r="CH255" s="337"/>
      <c r="CL255" s="335">
        <f t="shared" si="98"/>
        <v>38190</v>
      </c>
      <c r="CM255" s="345">
        <v>38197</v>
      </c>
      <c r="CN255" s="317">
        <f t="shared" si="104"/>
        <v>7</v>
      </c>
      <c r="CO255" s="347">
        <v>1.04E-2</v>
      </c>
      <c r="CP255" s="347"/>
      <c r="CQ255" s="347"/>
      <c r="CR255" s="347"/>
      <c r="CS255" s="347"/>
      <c r="CT255" s="347"/>
      <c r="CU255" s="347"/>
      <c r="CV255" s="337">
        <f t="shared" si="105"/>
        <v>16575.919999999998</v>
      </c>
    </row>
    <row r="256" spans="1:101" hidden="1" x14ac:dyDescent="0.25">
      <c r="A256" s="335">
        <f t="shared" si="99"/>
        <v>35619</v>
      </c>
      <c r="B256" s="345">
        <v>35649</v>
      </c>
      <c r="C256" s="317">
        <f t="shared" si="93"/>
        <v>30</v>
      </c>
      <c r="E256" s="346">
        <v>3.7249999999999998E-2</v>
      </c>
      <c r="F256" s="339">
        <f>ROUND(((F255*SUM($C$10:C255))+(E256*C256))/SUM($C$10:C256),5)</f>
        <v>3.1690000000000003E-2</v>
      </c>
      <c r="G256" s="348">
        <v>106</v>
      </c>
      <c r="I256" s="335">
        <f t="shared" si="100"/>
        <v>35038</v>
      </c>
      <c r="J256" s="353">
        <v>35041</v>
      </c>
      <c r="K256" s="317">
        <f t="shared" si="94"/>
        <v>3</v>
      </c>
      <c r="M256" s="339">
        <v>3.7670000000000002E-2</v>
      </c>
      <c r="N256" s="339">
        <f>ROUND(((N255*SUM($K$10:K255))+(M256*K256))/SUM($K$10:K256),5)</f>
        <v>3.0429999999999999E-2</v>
      </c>
      <c r="O256" s="316">
        <v>98.9</v>
      </c>
      <c r="Q256" s="335">
        <f t="shared" si="101"/>
        <v>35768</v>
      </c>
      <c r="R256" s="345">
        <v>35769</v>
      </c>
      <c r="S256" s="317">
        <f t="shared" si="95"/>
        <v>1</v>
      </c>
      <c r="U256" s="346">
        <v>3.7560000000000003E-2</v>
      </c>
      <c r="V256" s="339">
        <f>ROUND(((V255*SUM($S$10:S255))+(U256*S256))/SUM($S$10:S256),5)</f>
        <v>3.4169999999999999E-2</v>
      </c>
      <c r="W256" s="357">
        <v>80.7</v>
      </c>
      <c r="AH256" s="345"/>
      <c r="AS256" s="346"/>
      <c r="BB256" s="352"/>
      <c r="BC256" s="348"/>
      <c r="BE256" s="335">
        <f t="shared" si="96"/>
        <v>35309</v>
      </c>
      <c r="BF256" s="353">
        <v>35311</v>
      </c>
      <c r="BG256" s="317">
        <f t="shared" si="92"/>
        <v>2</v>
      </c>
      <c r="BH256" s="339">
        <v>3.5200000000000002E-2</v>
      </c>
      <c r="BI256" s="337">
        <f t="shared" si="102"/>
        <v>5770.49</v>
      </c>
      <c r="BO256" s="335">
        <f t="shared" si="97"/>
        <v>37259</v>
      </c>
      <c r="BP256" s="345">
        <v>37266</v>
      </c>
      <c r="BQ256" s="317">
        <f t="shared" si="106"/>
        <v>7</v>
      </c>
      <c r="BR256" s="347">
        <v>1.0800000000000001E-2</v>
      </c>
      <c r="BS256" s="337">
        <f t="shared" si="91"/>
        <v>3521.0958900000001</v>
      </c>
      <c r="BX256" s="345"/>
      <c r="CE256" s="345"/>
      <c r="CH256" s="337"/>
      <c r="CL256" s="335">
        <f t="shared" si="98"/>
        <v>38197</v>
      </c>
      <c r="CM256" s="345">
        <v>38200</v>
      </c>
      <c r="CN256" s="317">
        <f t="shared" si="104"/>
        <v>3</v>
      </c>
      <c r="CO256" s="347">
        <v>1.0800000000000001E-2</v>
      </c>
      <c r="CP256" s="347"/>
      <c r="CQ256" s="347"/>
      <c r="CR256" s="347"/>
      <c r="CS256" s="347"/>
      <c r="CT256" s="347"/>
      <c r="CU256" s="347"/>
      <c r="CV256" s="337">
        <f t="shared" si="105"/>
        <v>7377.2</v>
      </c>
      <c r="CW256" s="341">
        <f>SUM(CV252:CV256)</f>
        <v>72724.59</v>
      </c>
    </row>
    <row r="257" spans="1:101" hidden="1" x14ac:dyDescent="0.25">
      <c r="A257" s="335">
        <f t="shared" si="99"/>
        <v>35649</v>
      </c>
      <c r="B257" s="345">
        <v>35657</v>
      </c>
      <c r="C257" s="317">
        <f t="shared" si="93"/>
        <v>8</v>
      </c>
      <c r="E257" s="346">
        <v>3.7170000000000002E-2</v>
      </c>
      <c r="F257" s="339">
        <f>ROUND(((F256*SUM($C$10:C256))+(E257*C257))/SUM($C$10:C257),5)</f>
        <v>3.1710000000000002E-2</v>
      </c>
      <c r="G257" s="348">
        <v>103.7</v>
      </c>
      <c r="I257" s="335">
        <f t="shared" si="100"/>
        <v>35041</v>
      </c>
      <c r="J257" s="353">
        <v>35044</v>
      </c>
      <c r="K257" s="317">
        <f t="shared" si="94"/>
        <v>3</v>
      </c>
      <c r="M257" s="339">
        <v>3.7600000000000001E-2</v>
      </c>
      <c r="N257" s="339">
        <f>ROUND(((N256*SUM($K$10:K256))+(M257*K257))/SUM($K$10:K257),5)</f>
        <v>3.0450000000000001E-2</v>
      </c>
      <c r="O257" s="316">
        <v>80.8</v>
      </c>
      <c r="Q257" s="335">
        <f t="shared" si="101"/>
        <v>35769</v>
      </c>
      <c r="R257" s="345">
        <v>35772</v>
      </c>
      <c r="S257" s="317">
        <f t="shared" si="95"/>
        <v>3</v>
      </c>
      <c r="U257" s="346">
        <v>3.7539999999999997E-2</v>
      </c>
      <c r="V257" s="339">
        <f>ROUND(((V256*SUM($S$10:S256))+(U257*S257))/SUM($S$10:S257),5)</f>
        <v>3.4180000000000002E-2</v>
      </c>
      <c r="W257" s="357">
        <v>94.9</v>
      </c>
      <c r="AH257" s="345"/>
      <c r="AS257" s="346"/>
      <c r="BB257" s="352"/>
      <c r="BC257" s="348"/>
      <c r="BE257" s="335">
        <f t="shared" si="96"/>
        <v>35311</v>
      </c>
      <c r="BF257" s="353">
        <v>35318</v>
      </c>
      <c r="BG257" s="317">
        <f t="shared" si="92"/>
        <v>7</v>
      </c>
      <c r="BH257" s="339">
        <v>3.2800000000000003E-2</v>
      </c>
      <c r="BI257" s="337">
        <f t="shared" si="102"/>
        <v>18819.669999999998</v>
      </c>
      <c r="BO257" s="335">
        <f t="shared" si="97"/>
        <v>37266</v>
      </c>
      <c r="BP257" s="345">
        <v>37273</v>
      </c>
      <c r="BQ257" s="317">
        <f t="shared" si="106"/>
        <v>7</v>
      </c>
      <c r="BR257" s="347">
        <v>1.2699999999999999E-2</v>
      </c>
      <c r="BS257" s="337">
        <f t="shared" si="91"/>
        <v>4140.5479450000003</v>
      </c>
      <c r="BX257" s="345"/>
      <c r="CE257" s="345"/>
      <c r="CH257" s="337"/>
      <c r="CL257" s="335">
        <f t="shared" si="98"/>
        <v>38200</v>
      </c>
      <c r="CM257" s="345">
        <v>38204</v>
      </c>
      <c r="CN257" s="317">
        <f t="shared" si="104"/>
        <v>4</v>
      </c>
      <c r="CO257" s="347">
        <v>1.0800000000000001E-2</v>
      </c>
      <c r="CP257" s="347"/>
      <c r="CQ257" s="347"/>
      <c r="CR257" s="347"/>
      <c r="CS257" s="347"/>
      <c r="CT257" s="347"/>
      <c r="CU257" s="347"/>
      <c r="CV257" s="337">
        <f t="shared" si="105"/>
        <v>9836.26</v>
      </c>
    </row>
    <row r="258" spans="1:101" hidden="1" x14ac:dyDescent="0.25">
      <c r="A258" s="335">
        <f t="shared" si="99"/>
        <v>35657</v>
      </c>
      <c r="B258" s="345">
        <v>35662</v>
      </c>
      <c r="C258" s="317">
        <f t="shared" si="93"/>
        <v>5</v>
      </c>
      <c r="E258" s="346">
        <v>3.7190000000000001E-2</v>
      </c>
      <c r="F258" s="339">
        <f>ROUND(((F257*SUM($C$10:C257))+(E258*C258))/SUM($C$10:C258),5)</f>
        <v>3.1730000000000001E-2</v>
      </c>
      <c r="G258" s="348">
        <v>104.6</v>
      </c>
      <c r="I258" s="335">
        <f t="shared" si="100"/>
        <v>35044</v>
      </c>
      <c r="J258" s="353">
        <v>35048</v>
      </c>
      <c r="K258" s="317">
        <f t="shared" si="94"/>
        <v>4</v>
      </c>
      <c r="M258" s="339">
        <v>3.7350000000000001E-2</v>
      </c>
      <c r="N258" s="339">
        <f>ROUND(((N257*SUM($K$10:K257))+(M258*K258))/SUM($K$10:K258),5)</f>
        <v>3.0470000000000001E-2</v>
      </c>
      <c r="O258" s="316">
        <v>87.3</v>
      </c>
      <c r="Q258" s="335">
        <f t="shared" si="101"/>
        <v>35772</v>
      </c>
      <c r="R258" s="345">
        <v>35773</v>
      </c>
      <c r="S258" s="317">
        <f t="shared" si="95"/>
        <v>1</v>
      </c>
      <c r="U258" s="346">
        <v>3.7519999999999998E-2</v>
      </c>
      <c r="V258" s="339">
        <f>ROUND(((V257*SUM($S$10:S257))+(U258*S258))/SUM($S$10:S258),5)</f>
        <v>3.4180000000000002E-2</v>
      </c>
      <c r="W258" s="357">
        <v>104.9</v>
      </c>
      <c r="AH258" s="345"/>
      <c r="AS258" s="346"/>
      <c r="BB258" s="352"/>
      <c r="BC258" s="348"/>
      <c r="BE258" s="335">
        <f t="shared" si="96"/>
        <v>35318</v>
      </c>
      <c r="BF258" s="353">
        <v>35325</v>
      </c>
      <c r="BG258" s="317">
        <f t="shared" si="92"/>
        <v>7</v>
      </c>
      <c r="BH258" s="339">
        <v>3.5099999999999999E-2</v>
      </c>
      <c r="BI258" s="337">
        <f t="shared" si="102"/>
        <v>20139.34</v>
      </c>
      <c r="BO258" s="335">
        <f t="shared" si="97"/>
        <v>37273</v>
      </c>
      <c r="BP258" s="345">
        <v>37280</v>
      </c>
      <c r="BQ258" s="317">
        <f t="shared" si="106"/>
        <v>7</v>
      </c>
      <c r="BR258" s="347">
        <v>1.26E-2</v>
      </c>
      <c r="BS258" s="337">
        <f t="shared" ref="BS258:BS327" si="107">ROUND($BS$5*BR258*BQ258/365,6)</f>
        <v>4107.945205</v>
      </c>
      <c r="BX258" s="345"/>
      <c r="CE258" s="345"/>
      <c r="CH258" s="337"/>
      <c r="CL258" s="335">
        <f t="shared" si="98"/>
        <v>38204</v>
      </c>
      <c r="CM258" s="345">
        <v>38211</v>
      </c>
      <c r="CN258" s="317">
        <f t="shared" si="104"/>
        <v>7</v>
      </c>
      <c r="CO258" s="347">
        <v>1.0699999999999999E-2</v>
      </c>
      <c r="CP258" s="347"/>
      <c r="CQ258" s="347"/>
      <c r="CR258" s="347"/>
      <c r="CS258" s="347"/>
      <c r="CT258" s="347"/>
      <c r="CU258" s="347"/>
      <c r="CV258" s="337">
        <f t="shared" si="105"/>
        <v>17054.080000000002</v>
      </c>
    </row>
    <row r="259" spans="1:101" hidden="1" x14ac:dyDescent="0.25">
      <c r="A259" s="335">
        <f t="shared" si="99"/>
        <v>35662</v>
      </c>
      <c r="B259" s="345">
        <v>35663</v>
      </c>
      <c r="C259" s="317">
        <f t="shared" si="93"/>
        <v>1</v>
      </c>
      <c r="E259" s="346">
        <v>3.703E-2</v>
      </c>
      <c r="F259" s="339">
        <f>ROUND(((F258*SUM($C$10:C258))+(E259*C259))/SUM($C$10:C259),5)</f>
        <v>3.1730000000000001E-2</v>
      </c>
      <c r="G259" s="348">
        <v>86.6</v>
      </c>
      <c r="I259" s="335">
        <f t="shared" si="100"/>
        <v>35048</v>
      </c>
      <c r="J259" s="353">
        <v>35083</v>
      </c>
      <c r="K259" s="317">
        <f t="shared" si="94"/>
        <v>35</v>
      </c>
      <c r="M259" s="339">
        <v>3.7269999999999998E-2</v>
      </c>
      <c r="N259" s="339">
        <f>ROUND(((N258*SUM($K$10:K258))+(M259*K259))/SUM($K$10:K259),5)</f>
        <v>3.0669999999999999E-2</v>
      </c>
      <c r="O259" s="351">
        <v>108</v>
      </c>
      <c r="Q259" s="335">
        <f t="shared" si="101"/>
        <v>35773</v>
      </c>
      <c r="R259" s="345">
        <v>35775</v>
      </c>
      <c r="S259" s="317">
        <f t="shared" si="95"/>
        <v>2</v>
      </c>
      <c r="U259" s="346">
        <v>3.7530000000000001E-2</v>
      </c>
      <c r="V259" s="339">
        <f>ROUND(((V258*SUM($S$10:S258))+(U259*S259))/SUM($S$10:S259),5)</f>
        <v>3.4180000000000002E-2</v>
      </c>
      <c r="W259" s="357">
        <v>107.1</v>
      </c>
      <c r="AH259" s="345"/>
      <c r="AS259" s="346"/>
      <c r="BB259" s="352"/>
      <c r="BC259" s="348"/>
      <c r="BE259" s="335">
        <f t="shared" si="96"/>
        <v>35325</v>
      </c>
      <c r="BF259" s="353">
        <v>35332</v>
      </c>
      <c r="BG259" s="317">
        <f t="shared" si="92"/>
        <v>7</v>
      </c>
      <c r="BH259" s="339">
        <v>3.6000000000000004E-2</v>
      </c>
      <c r="BI259" s="337">
        <f t="shared" si="102"/>
        <v>20655.740000000002</v>
      </c>
      <c r="BO259" s="335">
        <f t="shared" si="97"/>
        <v>37280</v>
      </c>
      <c r="BP259" s="345">
        <v>37287</v>
      </c>
      <c r="BQ259" s="317">
        <f t="shared" si="106"/>
        <v>7</v>
      </c>
      <c r="BR259" s="347">
        <v>1.26E-2</v>
      </c>
      <c r="BS259" s="337">
        <f t="shared" si="107"/>
        <v>4107.945205</v>
      </c>
      <c r="BX259" s="345"/>
      <c r="CE259" s="345"/>
      <c r="CH259" s="337"/>
      <c r="CL259" s="335">
        <f t="shared" si="98"/>
        <v>38211</v>
      </c>
      <c r="CM259" s="345">
        <v>38218</v>
      </c>
      <c r="CN259" s="317">
        <f t="shared" si="104"/>
        <v>7</v>
      </c>
      <c r="CO259" s="347">
        <v>1.0800000000000001E-2</v>
      </c>
      <c r="CP259" s="347"/>
      <c r="CQ259" s="347"/>
      <c r="CR259" s="347"/>
      <c r="CS259" s="347"/>
      <c r="CT259" s="347"/>
      <c r="CU259" s="347"/>
      <c r="CV259" s="337">
        <f t="shared" si="105"/>
        <v>17213.46</v>
      </c>
    </row>
    <row r="260" spans="1:101" hidden="1" x14ac:dyDescent="0.25">
      <c r="A260" s="335">
        <f t="shared" si="99"/>
        <v>35663</v>
      </c>
      <c r="B260" s="345">
        <v>35690</v>
      </c>
      <c r="C260" s="317">
        <f t="shared" si="93"/>
        <v>27</v>
      </c>
      <c r="E260" s="346">
        <v>3.687E-2</v>
      </c>
      <c r="F260" s="339">
        <f>ROUND(((F259*SUM($C$10:C259))+(E260*C260))/SUM($C$10:C260),5)</f>
        <v>3.1809999999999998E-2</v>
      </c>
      <c r="G260" s="348">
        <v>88.2</v>
      </c>
      <c r="I260" s="335">
        <f t="shared" si="100"/>
        <v>35083</v>
      </c>
      <c r="J260" s="353">
        <v>35086</v>
      </c>
      <c r="K260" s="317">
        <f t="shared" si="94"/>
        <v>3</v>
      </c>
      <c r="M260" s="339">
        <v>3.687E-2</v>
      </c>
      <c r="N260" s="339">
        <f>ROUND(((N259*SUM($K$10:K259))+(M260*K260))/SUM($K$10:K260),5)</f>
        <v>3.0689999999999999E-2</v>
      </c>
      <c r="O260" s="351">
        <v>107.2</v>
      </c>
      <c r="Q260" s="335">
        <f t="shared" si="101"/>
        <v>35775</v>
      </c>
      <c r="R260" s="345">
        <v>35802</v>
      </c>
      <c r="S260" s="317">
        <f t="shared" si="95"/>
        <v>27</v>
      </c>
      <c r="U260" s="346">
        <v>3.7740000000000003E-2</v>
      </c>
      <c r="V260" s="339">
        <f>ROUND(((V259*SUM($S$10:S259))+(U260*S260))/SUM($S$10:S260),5)</f>
        <v>3.424E-2</v>
      </c>
      <c r="W260" s="357">
        <v>107.7</v>
      </c>
      <c r="AH260" s="345"/>
      <c r="AS260" s="346"/>
      <c r="BB260" s="352"/>
      <c r="BC260" s="348"/>
      <c r="BE260" s="335">
        <f t="shared" si="96"/>
        <v>35332</v>
      </c>
      <c r="BF260" s="353">
        <v>35339</v>
      </c>
      <c r="BG260" s="317">
        <f t="shared" si="92"/>
        <v>7</v>
      </c>
      <c r="BH260" s="339">
        <v>3.8600000000000002E-2</v>
      </c>
      <c r="BI260" s="337">
        <f t="shared" si="102"/>
        <v>22147.54</v>
      </c>
      <c r="BJ260" s="341">
        <f>SUM(BI256:BI260)</f>
        <v>87532.78</v>
      </c>
      <c r="BK260" s="337">
        <v>86291.25</v>
      </c>
      <c r="BL260" s="341">
        <f>BJ260-BK260</f>
        <v>1241.5299999999988</v>
      </c>
      <c r="BM260" s="341">
        <f>BM255+BL260</f>
        <v>12775.760000000013</v>
      </c>
      <c r="BO260" s="335">
        <f t="shared" si="97"/>
        <v>37287</v>
      </c>
      <c r="BP260" s="345">
        <v>37288</v>
      </c>
      <c r="BQ260" s="317">
        <f t="shared" si="106"/>
        <v>1</v>
      </c>
      <c r="BR260" s="347">
        <v>1.35E-2</v>
      </c>
      <c r="BS260" s="337">
        <f t="shared" si="107"/>
        <v>628.76712299999997</v>
      </c>
      <c r="BT260" s="341">
        <f>SUM(BS255:BS260)</f>
        <v>18006.027395000001</v>
      </c>
      <c r="BX260" s="345"/>
      <c r="CE260" s="345"/>
      <c r="CH260" s="337"/>
      <c r="CL260" s="335">
        <f t="shared" si="98"/>
        <v>38218</v>
      </c>
      <c r="CM260" s="345">
        <v>38225</v>
      </c>
      <c r="CN260" s="317">
        <f t="shared" si="104"/>
        <v>7</v>
      </c>
      <c r="CO260" s="347">
        <v>1.2500000000000001E-2</v>
      </c>
      <c r="CP260" s="347"/>
      <c r="CQ260" s="347"/>
      <c r="CR260" s="347"/>
      <c r="CS260" s="347"/>
      <c r="CT260" s="347"/>
      <c r="CU260" s="347"/>
      <c r="CV260" s="337">
        <f t="shared" si="105"/>
        <v>19922.98</v>
      </c>
    </row>
    <row r="261" spans="1:101" hidden="1" x14ac:dyDescent="0.25">
      <c r="A261" s="335">
        <f t="shared" si="99"/>
        <v>35690</v>
      </c>
      <c r="B261" s="345">
        <v>35709</v>
      </c>
      <c r="C261" s="317">
        <f t="shared" si="93"/>
        <v>19</v>
      </c>
      <c r="E261" s="346">
        <v>3.6999999999999998E-2</v>
      </c>
      <c r="F261" s="339">
        <f>ROUND(((F260*SUM($C$10:C260))+(E261*C261))/SUM($C$10:C261),5)</f>
        <v>3.1859999999999999E-2</v>
      </c>
      <c r="G261" s="348">
        <v>88.4</v>
      </c>
      <c r="I261" s="335">
        <f t="shared" si="100"/>
        <v>35086</v>
      </c>
      <c r="J261" s="353">
        <v>35095</v>
      </c>
      <c r="K261" s="317">
        <f t="shared" si="94"/>
        <v>9</v>
      </c>
      <c r="M261" s="339">
        <v>3.6389999999999999E-2</v>
      </c>
      <c r="N261" s="339">
        <f>ROUND(((N260*SUM($K$10:K260))+(M261*K261))/SUM($K$10:K261),5)</f>
        <v>3.073E-2</v>
      </c>
      <c r="O261" s="351">
        <v>107.7</v>
      </c>
      <c r="Q261" s="335">
        <f t="shared" si="101"/>
        <v>35802</v>
      </c>
      <c r="R261" s="345">
        <v>35804</v>
      </c>
      <c r="S261" s="317">
        <f t="shared" si="95"/>
        <v>2</v>
      </c>
      <c r="U261" s="346">
        <v>3.7679999999999998E-2</v>
      </c>
      <c r="V261" s="339">
        <f>ROUND(((V260*SUM($S$10:S260))+(U261*S261))/SUM($S$10:S261),5)</f>
        <v>3.424E-2</v>
      </c>
      <c r="W261" s="357">
        <v>110.8</v>
      </c>
      <c r="AH261" s="345"/>
      <c r="AS261" s="346"/>
      <c r="BB261" s="352"/>
      <c r="BC261" s="348"/>
      <c r="BE261" s="335">
        <f t="shared" si="96"/>
        <v>35339</v>
      </c>
      <c r="BF261" s="353">
        <v>35346</v>
      </c>
      <c r="BG261" s="317">
        <f t="shared" si="92"/>
        <v>7</v>
      </c>
      <c r="BH261" s="339">
        <v>3.3800000000000004E-2</v>
      </c>
      <c r="BI261" s="337">
        <f t="shared" si="102"/>
        <v>19393.439999999999</v>
      </c>
      <c r="BK261" s="337"/>
      <c r="BO261" s="335">
        <f t="shared" si="97"/>
        <v>37288</v>
      </c>
      <c r="BP261" s="345">
        <v>37294</v>
      </c>
      <c r="BQ261" s="317">
        <f t="shared" si="106"/>
        <v>6</v>
      </c>
      <c r="BR261" s="347">
        <v>1.35E-2</v>
      </c>
      <c r="BS261" s="337">
        <f t="shared" si="107"/>
        <v>3772.6027399999998</v>
      </c>
      <c r="BX261" s="345"/>
      <c r="CE261" s="345"/>
      <c r="CH261" s="337"/>
      <c r="CL261" s="335">
        <f t="shared" si="98"/>
        <v>38225</v>
      </c>
      <c r="CM261" s="345">
        <v>38231</v>
      </c>
      <c r="CN261" s="317">
        <f t="shared" si="104"/>
        <v>6</v>
      </c>
      <c r="CO261" s="347">
        <v>1.32E-2</v>
      </c>
      <c r="CP261" s="347"/>
      <c r="CQ261" s="347"/>
      <c r="CR261" s="347"/>
      <c r="CS261" s="347"/>
      <c r="CT261" s="347"/>
      <c r="CU261" s="347"/>
      <c r="CV261" s="337">
        <f t="shared" si="105"/>
        <v>18033.150000000001</v>
      </c>
      <c r="CW261" s="341">
        <f>SUM(CV257:CV261)</f>
        <v>82059.929999999993</v>
      </c>
    </row>
    <row r="262" spans="1:101" hidden="1" x14ac:dyDescent="0.25">
      <c r="A262" s="335">
        <f t="shared" si="99"/>
        <v>35709</v>
      </c>
      <c r="B262" s="345">
        <v>35725</v>
      </c>
      <c r="C262" s="317">
        <f t="shared" si="93"/>
        <v>16</v>
      </c>
      <c r="E262" s="346">
        <v>3.6990000000000002E-2</v>
      </c>
      <c r="F262" s="339">
        <f>ROUND(((F261*SUM($C$10:C261))+(E262*C262))/SUM($C$10:C262),5)</f>
        <v>3.1899999999999998E-2</v>
      </c>
      <c r="G262" s="348">
        <v>86.2</v>
      </c>
      <c r="I262" s="335">
        <f t="shared" si="100"/>
        <v>35095</v>
      </c>
      <c r="J262" s="353">
        <v>35102</v>
      </c>
      <c r="K262" s="317">
        <f t="shared" si="94"/>
        <v>7</v>
      </c>
      <c r="M262" s="339">
        <v>3.6310000000000002E-2</v>
      </c>
      <c r="N262" s="339">
        <f>ROUND(((N261*SUM($K$10:K261))+(M262*K262))/SUM($K$10:K262),5)</f>
        <v>3.0759999999999999E-2</v>
      </c>
      <c r="O262" s="351">
        <v>107.5</v>
      </c>
      <c r="Q262" s="335">
        <f t="shared" si="101"/>
        <v>35804</v>
      </c>
      <c r="R262" s="345">
        <v>35809</v>
      </c>
      <c r="S262" s="317">
        <f t="shared" si="95"/>
        <v>5</v>
      </c>
      <c r="U262" s="346">
        <v>3.7560000000000003E-2</v>
      </c>
      <c r="V262" s="339">
        <f>ROUND(((V261*SUM($S$10:S261))+(U262*S262))/SUM($S$10:S262),5)</f>
        <v>3.4250000000000003E-2</v>
      </c>
      <c r="W262" s="357">
        <v>114.3</v>
      </c>
      <c r="AH262" s="345"/>
      <c r="AS262" s="346"/>
      <c r="BB262" s="352"/>
      <c r="BC262" s="348"/>
      <c r="BE262" s="335">
        <f t="shared" si="96"/>
        <v>35346</v>
      </c>
      <c r="BF262" s="353">
        <v>35353</v>
      </c>
      <c r="BG262" s="317">
        <f t="shared" si="92"/>
        <v>7</v>
      </c>
      <c r="BH262" s="339">
        <v>3.39E-2</v>
      </c>
      <c r="BI262" s="337">
        <f t="shared" si="102"/>
        <v>19450.82</v>
      </c>
      <c r="BK262" s="337"/>
      <c r="BO262" s="335">
        <f t="shared" si="97"/>
        <v>37294</v>
      </c>
      <c r="BP262" s="345">
        <v>37301</v>
      </c>
      <c r="BQ262" s="317">
        <f t="shared" si="106"/>
        <v>7</v>
      </c>
      <c r="BR262" s="347">
        <v>1.2200000000000001E-2</v>
      </c>
      <c r="BS262" s="337">
        <f t="shared" si="107"/>
        <v>3977.5342470000001</v>
      </c>
      <c r="BX262" s="345"/>
      <c r="CE262" s="345"/>
      <c r="CH262" s="337"/>
      <c r="CL262" s="335">
        <f t="shared" si="98"/>
        <v>38231</v>
      </c>
      <c r="CM262" s="345">
        <v>38232</v>
      </c>
      <c r="CN262" s="317">
        <f t="shared" si="104"/>
        <v>1</v>
      </c>
      <c r="CO262" s="347">
        <v>1.32E-2</v>
      </c>
      <c r="CP262" s="347"/>
      <c r="CQ262" s="347"/>
      <c r="CR262" s="347"/>
      <c r="CS262" s="347"/>
      <c r="CT262" s="347"/>
      <c r="CU262" s="347"/>
      <c r="CV262" s="337">
        <f t="shared" ref="CV262:CV270" si="108">ROUND($CR$5*CO262*CN262/366,1)</f>
        <v>3005.5</v>
      </c>
    </row>
    <row r="263" spans="1:101" hidden="1" x14ac:dyDescent="0.25">
      <c r="A263" s="335">
        <f t="shared" si="99"/>
        <v>35725</v>
      </c>
      <c r="B263" s="345">
        <v>35726</v>
      </c>
      <c r="C263" s="317">
        <f t="shared" si="93"/>
        <v>1</v>
      </c>
      <c r="E263" s="346">
        <v>3.6990000000000002E-2</v>
      </c>
      <c r="F263" s="339">
        <f>ROUND(((F262*SUM($C$10:C262))+(E263*C263))/SUM($C$10:C263),5)</f>
        <v>3.1899999999999998E-2</v>
      </c>
      <c r="G263" s="348">
        <v>78.099999999999994</v>
      </c>
      <c r="I263" s="335">
        <f t="shared" si="100"/>
        <v>35102</v>
      </c>
      <c r="J263" s="353">
        <v>35103</v>
      </c>
      <c r="K263" s="317">
        <f t="shared" si="94"/>
        <v>1</v>
      </c>
      <c r="M263" s="339">
        <v>3.628E-2</v>
      </c>
      <c r="N263" s="339">
        <f>ROUND(((N262*SUM($K$10:K262))+(M263*K263))/SUM($K$10:K263),5)</f>
        <v>3.0759999999999999E-2</v>
      </c>
      <c r="O263" s="351">
        <v>105.9</v>
      </c>
      <c r="Q263" s="335">
        <f t="shared" si="101"/>
        <v>35809</v>
      </c>
      <c r="R263" s="345">
        <v>35831</v>
      </c>
      <c r="S263" s="317">
        <f t="shared" si="95"/>
        <v>22</v>
      </c>
      <c r="U263" s="346">
        <v>3.7530000000000001E-2</v>
      </c>
      <c r="V263" s="339">
        <f>ROUND(((V262*SUM($S$10:S262))+(U263*S263))/SUM($S$10:S263),5)</f>
        <v>3.4290000000000001E-2</v>
      </c>
      <c r="W263" s="357">
        <v>112.6</v>
      </c>
      <c r="AH263" s="345"/>
      <c r="AS263" s="346"/>
      <c r="BB263" s="352"/>
      <c r="BC263" s="348"/>
      <c r="BE263" s="335">
        <f t="shared" si="96"/>
        <v>35353</v>
      </c>
      <c r="BF263" s="353">
        <v>35360</v>
      </c>
      <c r="BG263" s="317">
        <f t="shared" si="92"/>
        <v>7</v>
      </c>
      <c r="BH263" s="339">
        <v>3.5900000000000001E-2</v>
      </c>
      <c r="BI263" s="337">
        <f t="shared" si="102"/>
        <v>20598.36</v>
      </c>
      <c r="BK263" s="337"/>
      <c r="BO263" s="335">
        <f t="shared" si="97"/>
        <v>37301</v>
      </c>
      <c r="BP263" s="345">
        <v>37308</v>
      </c>
      <c r="BQ263" s="317">
        <f t="shared" si="106"/>
        <v>7</v>
      </c>
      <c r="BR263" s="347">
        <v>1.2500000000000001E-2</v>
      </c>
      <c r="BS263" s="337">
        <f t="shared" si="107"/>
        <v>4075.3424660000001</v>
      </c>
      <c r="BX263" s="345"/>
      <c r="CE263" s="345"/>
      <c r="CH263" s="337"/>
      <c r="CL263" s="335">
        <f t="shared" si="98"/>
        <v>38232</v>
      </c>
      <c r="CM263" s="345">
        <v>38239</v>
      </c>
      <c r="CN263" s="317">
        <f t="shared" si="104"/>
        <v>7</v>
      </c>
      <c r="CO263" s="347">
        <v>1.3100000000000001E-2</v>
      </c>
      <c r="CP263" s="347"/>
      <c r="CQ263" s="347"/>
      <c r="CR263" s="347"/>
      <c r="CS263" s="347"/>
      <c r="CT263" s="347"/>
      <c r="CU263" s="347"/>
      <c r="CV263" s="337">
        <f t="shared" si="108"/>
        <v>20879.3</v>
      </c>
    </row>
    <row r="264" spans="1:101" hidden="1" x14ac:dyDescent="0.25">
      <c r="A264" s="335">
        <f t="shared" si="99"/>
        <v>35726</v>
      </c>
      <c r="B264" s="345">
        <v>35754</v>
      </c>
      <c r="C264" s="317">
        <f t="shared" si="93"/>
        <v>28</v>
      </c>
      <c r="E264" s="346">
        <v>3.712E-2</v>
      </c>
      <c r="F264" s="339">
        <f>ROUND(((F263*SUM($C$10:C263))+(E264*C264))/SUM($C$10:C264),5)</f>
        <v>3.1980000000000001E-2</v>
      </c>
      <c r="G264" s="316">
        <v>90.9</v>
      </c>
      <c r="I264" s="335">
        <f t="shared" si="100"/>
        <v>35103</v>
      </c>
      <c r="J264" s="353">
        <v>35104</v>
      </c>
      <c r="K264" s="317">
        <f t="shared" si="94"/>
        <v>1</v>
      </c>
      <c r="M264" s="339">
        <v>3.628E-2</v>
      </c>
      <c r="N264" s="339">
        <f>ROUND(((N263*SUM($K$10:K263))+(M264*K264))/SUM($K$10:K264),5)</f>
        <v>3.0759999999999999E-2</v>
      </c>
      <c r="O264" s="351">
        <v>105.9</v>
      </c>
      <c r="Q264" s="335">
        <f t="shared" si="101"/>
        <v>35831</v>
      </c>
      <c r="R264" s="345">
        <v>35851</v>
      </c>
      <c r="S264" s="317">
        <f t="shared" si="95"/>
        <v>20</v>
      </c>
      <c r="U264" s="346">
        <v>3.746E-2</v>
      </c>
      <c r="V264" s="339">
        <f>ROUND(((V263*SUM($S$10:S263))+(U264*S264))/SUM($S$10:S264),5)</f>
        <v>3.4329999999999999E-2</v>
      </c>
      <c r="W264" s="357">
        <v>111.2</v>
      </c>
      <c r="AH264" s="345"/>
      <c r="AS264" s="346"/>
      <c r="BB264" s="352"/>
      <c r="BC264" s="348"/>
      <c r="BE264" s="335">
        <f t="shared" si="96"/>
        <v>35360</v>
      </c>
      <c r="BF264" s="353">
        <v>35367</v>
      </c>
      <c r="BG264" s="317">
        <f t="shared" si="92"/>
        <v>7</v>
      </c>
      <c r="BH264" s="339">
        <v>3.5400000000000001E-2</v>
      </c>
      <c r="BI264" s="337">
        <f t="shared" si="102"/>
        <v>20311.48</v>
      </c>
      <c r="BK264" s="337"/>
      <c r="BO264" s="335">
        <f t="shared" si="97"/>
        <v>37308</v>
      </c>
      <c r="BP264" s="345">
        <v>37315</v>
      </c>
      <c r="BQ264" s="317">
        <f t="shared" si="106"/>
        <v>7</v>
      </c>
      <c r="BR264" s="347">
        <v>1.23E-2</v>
      </c>
      <c r="BS264" s="337">
        <f t="shared" si="107"/>
        <v>4010.136986</v>
      </c>
      <c r="BX264" s="345"/>
      <c r="CE264" s="345"/>
      <c r="CH264" s="337"/>
      <c r="CL264" s="335">
        <f t="shared" si="98"/>
        <v>38239</v>
      </c>
      <c r="CM264" s="345">
        <v>38246</v>
      </c>
      <c r="CN264" s="317">
        <f t="shared" si="104"/>
        <v>7</v>
      </c>
      <c r="CO264" s="347">
        <v>1.32E-2</v>
      </c>
      <c r="CP264" s="347"/>
      <c r="CQ264" s="347"/>
      <c r="CR264" s="347"/>
      <c r="CS264" s="347"/>
      <c r="CT264" s="347"/>
      <c r="CU264" s="347"/>
      <c r="CV264" s="337">
        <f t="shared" si="108"/>
        <v>21038.7</v>
      </c>
    </row>
    <row r="265" spans="1:101" hidden="1" x14ac:dyDescent="0.25">
      <c r="A265" s="335">
        <f t="shared" si="99"/>
        <v>35754</v>
      </c>
      <c r="B265" s="345">
        <v>35774</v>
      </c>
      <c r="C265" s="317">
        <f t="shared" si="93"/>
        <v>20</v>
      </c>
      <c r="E265" s="346">
        <v>3.7310000000000003E-2</v>
      </c>
      <c r="F265" s="339">
        <f>ROUND(((F264*SUM($C$10:C264))+(E265*C265))/SUM($C$10:C265),5)</f>
        <v>3.2039999999999999E-2</v>
      </c>
      <c r="G265" s="316">
        <v>89.7</v>
      </c>
      <c r="I265" s="335">
        <f t="shared" si="100"/>
        <v>35104</v>
      </c>
      <c r="J265" s="353">
        <v>35108</v>
      </c>
      <c r="K265" s="317">
        <f t="shared" si="94"/>
        <v>4</v>
      </c>
      <c r="M265" s="339">
        <v>3.6229999999999998E-2</v>
      </c>
      <c r="N265" s="339">
        <f>ROUND(((N264*SUM($K$10:K264))+(M265*K265))/SUM($K$10:K265),5)</f>
        <v>3.0779999999999998E-2</v>
      </c>
      <c r="O265" s="351">
        <v>107.4</v>
      </c>
      <c r="Q265" s="335">
        <f t="shared" si="101"/>
        <v>35851</v>
      </c>
      <c r="R265" s="345">
        <v>35860</v>
      </c>
      <c r="S265" s="317">
        <f t="shared" si="95"/>
        <v>9</v>
      </c>
      <c r="U265" s="346">
        <v>3.7289999999999997E-2</v>
      </c>
      <c r="V265" s="339">
        <f>ROUND(((V264*SUM($S$10:S264))+(U265*S265))/SUM($S$10:S265),5)</f>
        <v>3.4349999999999999E-2</v>
      </c>
      <c r="W265" s="357">
        <v>106.5</v>
      </c>
      <c r="AH265" s="345"/>
      <c r="AS265" s="346"/>
      <c r="BB265" s="352"/>
      <c r="BC265" s="348"/>
      <c r="BE265" s="335">
        <f t="shared" si="96"/>
        <v>35367</v>
      </c>
      <c r="BF265" s="353">
        <v>35370</v>
      </c>
      <c r="BG265" s="317">
        <f t="shared" ref="BG265:BG328" si="109">BF265-BE265</f>
        <v>3</v>
      </c>
      <c r="BH265" s="339">
        <v>3.56E-2</v>
      </c>
      <c r="BI265" s="337">
        <f t="shared" si="102"/>
        <v>8754.1</v>
      </c>
      <c r="BJ265" s="341">
        <f>SUM(BI261:BI265)</f>
        <v>88508.2</v>
      </c>
      <c r="BK265" s="337">
        <v>89320.66</v>
      </c>
      <c r="BL265" s="341">
        <f>BJ265-BK265</f>
        <v>-812.4600000000064</v>
      </c>
      <c r="BM265" s="341">
        <f>BM260+BL265</f>
        <v>11963.300000000007</v>
      </c>
      <c r="BO265" s="335">
        <f t="shared" si="97"/>
        <v>37315</v>
      </c>
      <c r="BP265" s="345">
        <v>37316</v>
      </c>
      <c r="BQ265" s="317">
        <f t="shared" si="106"/>
        <v>1</v>
      </c>
      <c r="BR265" s="346">
        <v>1.14E-2</v>
      </c>
      <c r="BS265" s="337">
        <f t="shared" si="107"/>
        <v>530.95890399999996</v>
      </c>
      <c r="BT265" s="341">
        <f>SUM(BS261:BS265)</f>
        <v>16366.575342999999</v>
      </c>
      <c r="BX265" s="345"/>
      <c r="CE265" s="345"/>
      <c r="CH265" s="337"/>
      <c r="CL265" s="335">
        <f t="shared" si="98"/>
        <v>38246</v>
      </c>
      <c r="CM265" s="345">
        <v>38253</v>
      </c>
      <c r="CN265" s="317">
        <f t="shared" si="104"/>
        <v>7</v>
      </c>
      <c r="CO265" s="347">
        <v>1.3899999999999999E-2</v>
      </c>
      <c r="CP265" s="347"/>
      <c r="CQ265" s="347"/>
      <c r="CR265" s="347"/>
      <c r="CS265" s="347"/>
      <c r="CT265" s="347"/>
      <c r="CU265" s="347"/>
      <c r="CV265" s="337">
        <f t="shared" si="108"/>
        <v>22154.400000000001</v>
      </c>
    </row>
    <row r="266" spans="1:101" hidden="1" x14ac:dyDescent="0.25">
      <c r="A266" s="335">
        <f t="shared" si="99"/>
        <v>35774</v>
      </c>
      <c r="B266" s="345">
        <v>35775</v>
      </c>
      <c r="C266" s="317">
        <f t="shared" ref="C266:C329" si="110">B266-A266</f>
        <v>1</v>
      </c>
      <c r="E266" s="346">
        <v>3.739E-2</v>
      </c>
      <c r="F266" s="339">
        <f>ROUND(((F265*SUM($C$10:C265))+(E266*C266))/SUM($C$10:C266),5)</f>
        <v>3.2039999999999999E-2</v>
      </c>
      <c r="G266" s="348">
        <v>81.2</v>
      </c>
      <c r="I266" s="335">
        <f t="shared" si="100"/>
        <v>35108</v>
      </c>
      <c r="J266" s="353">
        <v>35109</v>
      </c>
      <c r="K266" s="317">
        <f t="shared" ref="K266:K329" si="111">J266-I266</f>
        <v>1</v>
      </c>
      <c r="M266" s="339">
        <v>3.6159999999999998E-2</v>
      </c>
      <c r="N266" s="339">
        <f>ROUND(((N265*SUM($K$10:K265))+(M266*K266))/SUM($K$10:K266),5)</f>
        <v>3.0779999999999998E-2</v>
      </c>
      <c r="O266" s="351">
        <v>107.1</v>
      </c>
      <c r="Q266" s="335">
        <f t="shared" si="101"/>
        <v>35860</v>
      </c>
      <c r="R266" s="345">
        <v>35863</v>
      </c>
      <c r="S266" s="317">
        <f t="shared" ref="S266:S329" si="112">R266-Q266</f>
        <v>3</v>
      </c>
      <c r="U266" s="346">
        <v>3.6990000000000002E-2</v>
      </c>
      <c r="V266" s="339">
        <f>ROUND(((V265*SUM($S$10:S265))+(U266*S266))/SUM($S$10:S266),5)</f>
        <v>3.4349999999999999E-2</v>
      </c>
      <c r="W266" s="357">
        <v>103.8</v>
      </c>
      <c r="AH266" s="345"/>
      <c r="AS266" s="346"/>
      <c r="BB266" s="352"/>
      <c r="BC266" s="348"/>
      <c r="BE266" s="335">
        <f t="shared" ref="BE266:BE335" si="113">BF265</f>
        <v>35370</v>
      </c>
      <c r="BF266" s="353">
        <v>35374</v>
      </c>
      <c r="BG266" s="317">
        <f t="shared" si="109"/>
        <v>4</v>
      </c>
      <c r="BH266" s="339">
        <v>3.56E-2</v>
      </c>
      <c r="BI266" s="337">
        <f t="shared" si="102"/>
        <v>11672.13</v>
      </c>
      <c r="BK266" s="337"/>
      <c r="BO266" s="335">
        <f t="shared" ref="BO266:BO335" si="114">BP265</f>
        <v>37316</v>
      </c>
      <c r="BP266" s="345">
        <v>37322</v>
      </c>
      <c r="BQ266" s="317">
        <f t="shared" si="106"/>
        <v>6</v>
      </c>
      <c r="BR266" s="347">
        <v>1.14E-2</v>
      </c>
      <c r="BS266" s="337">
        <f t="shared" si="107"/>
        <v>3185.7534249999999</v>
      </c>
      <c r="BX266" s="345"/>
      <c r="CE266" s="345"/>
      <c r="CH266" s="337"/>
      <c r="CL266" s="335">
        <f t="shared" ref="CL266:CL329" si="115">CM265</f>
        <v>38253</v>
      </c>
      <c r="CM266" s="345">
        <v>38260</v>
      </c>
      <c r="CN266" s="317">
        <f t="shared" si="104"/>
        <v>7</v>
      </c>
      <c r="CO266" s="347">
        <v>1.5100000000000001E-2</v>
      </c>
      <c r="CP266" s="347"/>
      <c r="CQ266" s="347"/>
      <c r="CR266" s="347"/>
      <c r="CS266" s="347"/>
      <c r="CT266" s="347"/>
      <c r="CU266" s="347"/>
      <c r="CV266" s="337">
        <f t="shared" si="108"/>
        <v>24067</v>
      </c>
    </row>
    <row r="267" spans="1:101" hidden="1" x14ac:dyDescent="0.25">
      <c r="A267" s="335">
        <f t="shared" ref="A267:A336" si="116">B266</f>
        <v>35775</v>
      </c>
      <c r="B267" s="345">
        <v>35780</v>
      </c>
      <c r="C267" s="317">
        <f t="shared" si="110"/>
        <v>5</v>
      </c>
      <c r="E267" s="346">
        <v>3.73E-2</v>
      </c>
      <c r="F267" s="339">
        <f>ROUND(((F266*SUM($C$10:C266))+(E267*C267))/SUM($C$10:C267),5)</f>
        <v>3.2050000000000002E-2</v>
      </c>
      <c r="G267" s="348">
        <v>83.6</v>
      </c>
      <c r="I267" s="335">
        <f t="shared" ref="I267:I336" si="117">J266</f>
        <v>35109</v>
      </c>
      <c r="J267" s="353">
        <v>35115</v>
      </c>
      <c r="K267" s="317">
        <f t="shared" si="111"/>
        <v>6</v>
      </c>
      <c r="M267" s="339">
        <v>3.5400000000000001E-2</v>
      </c>
      <c r="N267" s="339">
        <f>ROUND(((N266*SUM($K$10:K266))+(M267*K267))/SUM($K$10:K267),5)</f>
        <v>3.0800000000000001E-2</v>
      </c>
      <c r="O267" s="351">
        <v>112.9</v>
      </c>
      <c r="Q267" s="335">
        <f t="shared" ref="Q267:Q338" si="118">R266</f>
        <v>35863</v>
      </c>
      <c r="R267" s="345">
        <v>35864</v>
      </c>
      <c r="S267" s="317">
        <f t="shared" si="112"/>
        <v>1</v>
      </c>
      <c r="U267" s="346">
        <v>3.7019999999999997E-2</v>
      </c>
      <c r="V267" s="339">
        <f>ROUND(((V266*SUM($S$10:S266))+(U267*S267))/SUM($S$10:S267),5)</f>
        <v>3.4349999999999999E-2</v>
      </c>
      <c r="W267" s="357">
        <v>102.2</v>
      </c>
      <c r="AH267" s="345"/>
      <c r="AS267" s="346"/>
      <c r="BB267" s="352"/>
      <c r="BC267" s="348"/>
      <c r="BE267" s="335">
        <f t="shared" si="113"/>
        <v>35374</v>
      </c>
      <c r="BF267" s="353">
        <v>35381</v>
      </c>
      <c r="BG267" s="317">
        <f t="shared" si="109"/>
        <v>7</v>
      </c>
      <c r="BH267" s="339">
        <v>3.27E-2</v>
      </c>
      <c r="BI267" s="337">
        <f t="shared" si="102"/>
        <v>18762.3</v>
      </c>
      <c r="BK267" s="337"/>
      <c r="BO267" s="335">
        <f t="shared" si="114"/>
        <v>37322</v>
      </c>
      <c r="BP267" s="345">
        <v>37329</v>
      </c>
      <c r="BQ267" s="317">
        <f t="shared" si="106"/>
        <v>7</v>
      </c>
      <c r="BR267" s="347">
        <v>1.12E-2</v>
      </c>
      <c r="BS267" s="337">
        <f t="shared" si="107"/>
        <v>3651.5068489999999</v>
      </c>
      <c r="BX267" s="345"/>
      <c r="CE267" s="345"/>
      <c r="CH267" s="337"/>
      <c r="CL267" s="335">
        <f t="shared" si="115"/>
        <v>38260</v>
      </c>
      <c r="CM267" s="345">
        <v>38261</v>
      </c>
      <c r="CN267" s="317">
        <f t="shared" si="104"/>
        <v>1</v>
      </c>
      <c r="CO267" s="347">
        <v>1.6899999999999998E-2</v>
      </c>
      <c r="CP267" s="347"/>
      <c r="CQ267" s="347"/>
      <c r="CR267" s="347"/>
      <c r="CS267" s="347"/>
      <c r="CT267" s="347"/>
      <c r="CU267" s="347"/>
      <c r="CV267" s="337">
        <f t="shared" si="108"/>
        <v>3848</v>
      </c>
      <c r="CW267" s="341">
        <f>SUM(CV262:CV267)</f>
        <v>94992.9</v>
      </c>
    </row>
    <row r="268" spans="1:101" hidden="1" x14ac:dyDescent="0.25">
      <c r="A268" s="335">
        <f t="shared" si="116"/>
        <v>35780</v>
      </c>
      <c r="B268" s="345">
        <v>35811</v>
      </c>
      <c r="C268" s="317">
        <f t="shared" si="110"/>
        <v>31</v>
      </c>
      <c r="E268" s="346">
        <v>3.7289999999999997E-2</v>
      </c>
      <c r="F268" s="339">
        <f>ROUND(((F267*SUM($C$10:C267))+(E268*C268))/SUM($C$10:C268),5)</f>
        <v>3.2129999999999999E-2</v>
      </c>
      <c r="G268" s="348">
        <v>82.1</v>
      </c>
      <c r="I268" s="335">
        <f t="shared" si="117"/>
        <v>35115</v>
      </c>
      <c r="J268" s="353">
        <v>35123</v>
      </c>
      <c r="K268" s="317">
        <f t="shared" si="111"/>
        <v>8</v>
      </c>
      <c r="M268" s="339">
        <v>3.4520000000000002E-2</v>
      </c>
      <c r="N268" s="339">
        <f>ROUND(((N267*SUM($K$10:K267))+(M268*K268))/SUM($K$10:K268),5)</f>
        <v>3.082E-2</v>
      </c>
      <c r="O268" s="351">
        <v>120</v>
      </c>
      <c r="Q268" s="335">
        <f t="shared" si="118"/>
        <v>35864</v>
      </c>
      <c r="R268" s="345">
        <v>35865</v>
      </c>
      <c r="S268" s="317">
        <f t="shared" si="112"/>
        <v>1</v>
      </c>
      <c r="U268" s="346">
        <v>3.628E-2</v>
      </c>
      <c r="V268" s="339">
        <f>ROUND(((V267*SUM($S$10:S267))+(U268*S268))/SUM($S$10:S268),5)</f>
        <v>3.4349999999999999E-2</v>
      </c>
      <c r="W268" s="357">
        <v>99.6</v>
      </c>
      <c r="AH268" s="345"/>
      <c r="AS268" s="346"/>
      <c r="BB268" s="352"/>
      <c r="BC268" s="348"/>
      <c r="BE268" s="335">
        <f t="shared" si="113"/>
        <v>35381</v>
      </c>
      <c r="BF268" s="353">
        <v>35388</v>
      </c>
      <c r="BG268" s="317">
        <f t="shared" si="109"/>
        <v>7</v>
      </c>
      <c r="BH268" s="339">
        <v>3.5000000000000003E-2</v>
      </c>
      <c r="BI268" s="337">
        <f t="shared" si="102"/>
        <v>20081.97</v>
      </c>
      <c r="BK268" s="337"/>
      <c r="BO268" s="335">
        <f t="shared" si="114"/>
        <v>37329</v>
      </c>
      <c r="BP268" s="345">
        <v>37336</v>
      </c>
      <c r="BQ268" s="317">
        <f t="shared" si="106"/>
        <v>7</v>
      </c>
      <c r="BR268" s="347">
        <v>1.3299999999999999E-2</v>
      </c>
      <c r="BS268" s="337">
        <f t="shared" si="107"/>
        <v>4336.1643839999997</v>
      </c>
      <c r="BX268" s="345"/>
      <c r="CE268" s="345"/>
      <c r="CH268" s="337"/>
      <c r="CL268" s="335">
        <f t="shared" si="115"/>
        <v>38261</v>
      </c>
      <c r="CM268" s="345">
        <v>38267</v>
      </c>
      <c r="CN268" s="317">
        <f t="shared" si="104"/>
        <v>6</v>
      </c>
      <c r="CO268" s="347">
        <v>1.6899999999999998E-2</v>
      </c>
      <c r="CP268" s="347"/>
      <c r="CQ268" s="347"/>
      <c r="CR268" s="347"/>
      <c r="CS268" s="347"/>
      <c r="CT268" s="347"/>
      <c r="CU268" s="347"/>
      <c r="CV268" s="337">
        <f t="shared" si="108"/>
        <v>23087.9</v>
      </c>
    </row>
    <row r="269" spans="1:101" hidden="1" x14ac:dyDescent="0.25">
      <c r="A269" s="335">
        <f t="shared" si="116"/>
        <v>35811</v>
      </c>
      <c r="B269" s="345">
        <v>35838</v>
      </c>
      <c r="C269" s="317">
        <f t="shared" si="110"/>
        <v>27</v>
      </c>
      <c r="E269" s="346">
        <v>3.7179999999999998E-2</v>
      </c>
      <c r="F269" s="339">
        <f>ROUND(((F268*SUM($C$10:C268))+(E269*C269))/SUM($C$10:C269),5)</f>
        <v>3.2199999999999999E-2</v>
      </c>
      <c r="G269" s="348">
        <v>83.6</v>
      </c>
      <c r="I269" s="335">
        <f t="shared" si="117"/>
        <v>35123</v>
      </c>
      <c r="J269" s="353">
        <v>35131</v>
      </c>
      <c r="K269" s="317">
        <f t="shared" si="111"/>
        <v>8</v>
      </c>
      <c r="M269" s="339">
        <v>3.4000000000000002E-2</v>
      </c>
      <c r="N269" s="339">
        <f>ROUND(((N268*SUM($K$10:K268))+(M269*K269))/SUM($K$10:K269),5)</f>
        <v>3.0839999999999999E-2</v>
      </c>
      <c r="O269" s="351">
        <v>126.6</v>
      </c>
      <c r="Q269" s="335">
        <f t="shared" si="118"/>
        <v>35865</v>
      </c>
      <c r="R269" s="345">
        <v>35888</v>
      </c>
      <c r="S269" s="317">
        <f t="shared" si="112"/>
        <v>23</v>
      </c>
      <c r="U269" s="346">
        <v>3.628E-2</v>
      </c>
      <c r="V269" s="339">
        <f>ROUND(((V268*SUM($S$10:S268))+(U269*S269))/SUM($S$10:S269),5)</f>
        <v>3.4380000000000001E-2</v>
      </c>
      <c r="W269" s="357">
        <v>99.6</v>
      </c>
      <c r="AH269" s="345"/>
      <c r="AS269" s="346"/>
      <c r="BB269" s="352"/>
      <c r="BC269" s="348"/>
      <c r="BE269" s="335">
        <f t="shared" si="113"/>
        <v>35388</v>
      </c>
      <c r="BF269" s="353">
        <v>35395</v>
      </c>
      <c r="BG269" s="317">
        <f t="shared" si="109"/>
        <v>7</v>
      </c>
      <c r="BH269" s="339">
        <v>3.5300000000000005E-2</v>
      </c>
      <c r="BI269" s="337">
        <f t="shared" si="102"/>
        <v>20254.099999999999</v>
      </c>
      <c r="BK269" s="337"/>
      <c r="BO269" s="335">
        <f t="shared" si="114"/>
        <v>37336</v>
      </c>
      <c r="BP269" s="345">
        <v>37343</v>
      </c>
      <c r="BQ269" s="317">
        <f t="shared" si="106"/>
        <v>7</v>
      </c>
      <c r="BR269" s="347">
        <v>1.4800000000000001E-2</v>
      </c>
      <c r="BS269" s="337">
        <f t="shared" si="107"/>
        <v>4825.2054790000002</v>
      </c>
      <c r="BX269" s="345"/>
      <c r="CE269" s="345"/>
      <c r="CH269" s="337"/>
      <c r="CL269" s="335">
        <f t="shared" si="115"/>
        <v>38267</v>
      </c>
      <c r="CM269" s="345">
        <v>38274</v>
      </c>
      <c r="CN269" s="317">
        <f t="shared" si="104"/>
        <v>7</v>
      </c>
      <c r="CO269" s="347">
        <v>1.6199999999999999E-2</v>
      </c>
      <c r="CP269" s="347"/>
      <c r="CQ269" s="347"/>
      <c r="CR269" s="347"/>
      <c r="CS269" s="347"/>
      <c r="CT269" s="347"/>
      <c r="CU269" s="347"/>
      <c r="CV269" s="337">
        <f t="shared" si="108"/>
        <v>25820.2</v>
      </c>
    </row>
    <row r="270" spans="1:101" hidden="1" x14ac:dyDescent="0.25">
      <c r="A270" s="335">
        <f t="shared" si="116"/>
        <v>35838</v>
      </c>
      <c r="B270" s="345">
        <v>35845</v>
      </c>
      <c r="C270" s="317">
        <f t="shared" si="110"/>
        <v>7</v>
      </c>
      <c r="E270" s="346">
        <v>3.628E-2</v>
      </c>
      <c r="F270" s="339">
        <f>ROUND(((F269*SUM($C$10:C269))+(E270*C270))/SUM($C$10:C270),5)</f>
        <v>3.2210000000000003E-2</v>
      </c>
      <c r="G270" s="348">
        <v>79.7</v>
      </c>
      <c r="I270" s="335">
        <f t="shared" si="117"/>
        <v>35131</v>
      </c>
      <c r="J270" s="353">
        <v>35150</v>
      </c>
      <c r="K270" s="317">
        <f t="shared" si="111"/>
        <v>19</v>
      </c>
      <c r="M270" s="339">
        <v>3.354E-2</v>
      </c>
      <c r="N270" s="339">
        <f>ROUND(((N269*SUM($K$10:K269))+(M270*K270))/SUM($K$10:K270),5)</f>
        <v>3.0880000000000001E-2</v>
      </c>
      <c r="O270" s="351">
        <v>129.30000000000001</v>
      </c>
      <c r="Q270" s="335">
        <f t="shared" si="118"/>
        <v>35888</v>
      </c>
      <c r="R270" s="345">
        <v>35893</v>
      </c>
      <c r="S270" s="317">
        <f t="shared" si="112"/>
        <v>5</v>
      </c>
      <c r="U270" s="346">
        <v>3.6310000000000002E-2</v>
      </c>
      <c r="V270" s="339">
        <f>ROUND(((V269*SUM($S$10:S269))+(U270*S270))/SUM($S$10:S270),5)</f>
        <v>3.4389999999999997E-2</v>
      </c>
      <c r="W270" s="357">
        <v>106.4</v>
      </c>
      <c r="AH270" s="345"/>
      <c r="AS270" s="346"/>
      <c r="BB270" s="352"/>
      <c r="BC270" s="348"/>
      <c r="BE270" s="335">
        <f t="shared" si="113"/>
        <v>35395</v>
      </c>
      <c r="BF270" s="353">
        <v>35400</v>
      </c>
      <c r="BG270" s="317">
        <f t="shared" si="109"/>
        <v>5</v>
      </c>
      <c r="BH270" s="339">
        <v>3.5700000000000003E-2</v>
      </c>
      <c r="BI270" s="337">
        <f t="shared" si="102"/>
        <v>14631.15</v>
      </c>
      <c r="BJ270" s="341">
        <f>SUM(BI266:BI270)</f>
        <v>85401.65</v>
      </c>
      <c r="BK270" s="337">
        <v>86316.2</v>
      </c>
      <c r="BL270" s="341">
        <f>BJ270-BK270</f>
        <v>-914.55000000000291</v>
      </c>
      <c r="BM270" s="341">
        <f>BM265+BL270</f>
        <v>11048.750000000004</v>
      </c>
      <c r="BO270" s="335">
        <f t="shared" si="114"/>
        <v>37343</v>
      </c>
      <c r="BP270" s="345">
        <v>37347</v>
      </c>
      <c r="BQ270" s="317">
        <f t="shared" si="106"/>
        <v>4</v>
      </c>
      <c r="BR270" s="347">
        <v>1.4800000000000001E-2</v>
      </c>
      <c r="BS270" s="337">
        <f t="shared" si="107"/>
        <v>2757.2602740000002</v>
      </c>
      <c r="BT270" s="341">
        <f>SUM(BS266:BS270)</f>
        <v>18755.890411</v>
      </c>
      <c r="BX270" s="345"/>
      <c r="CE270" s="345"/>
      <c r="CH270" s="337"/>
      <c r="CL270" s="335">
        <f t="shared" si="115"/>
        <v>38274</v>
      </c>
      <c r="CM270" s="345">
        <v>38281</v>
      </c>
      <c r="CN270" s="317">
        <f t="shared" si="104"/>
        <v>7</v>
      </c>
      <c r="CO270" s="347">
        <v>1.7100000000000001E-2</v>
      </c>
      <c r="CP270" s="347"/>
      <c r="CQ270" s="347"/>
      <c r="CR270" s="347"/>
      <c r="CS270" s="347"/>
      <c r="CT270" s="347"/>
      <c r="CU270" s="347"/>
      <c r="CV270" s="337">
        <f t="shared" si="108"/>
        <v>27254.6</v>
      </c>
    </row>
    <row r="271" spans="1:101" hidden="1" x14ac:dyDescent="0.25">
      <c r="A271" s="335">
        <f t="shared" si="116"/>
        <v>35845</v>
      </c>
      <c r="B271" s="345">
        <v>35852</v>
      </c>
      <c r="C271" s="317">
        <f t="shared" si="110"/>
        <v>7</v>
      </c>
      <c r="E271" s="346">
        <v>3.5580000000000001E-2</v>
      </c>
      <c r="F271" s="339">
        <f>ROUND(((F270*SUM($C$10:C270))+(E271*C271))/SUM($C$10:C271),5)</f>
        <v>3.2219999999999999E-2</v>
      </c>
      <c r="G271" s="348">
        <v>97.3</v>
      </c>
      <c r="I271" s="335">
        <f t="shared" si="117"/>
        <v>35150</v>
      </c>
      <c r="J271" s="353">
        <v>35153</v>
      </c>
      <c r="K271" s="317">
        <f t="shared" si="111"/>
        <v>3</v>
      </c>
      <c r="M271" s="339">
        <v>3.363E-2</v>
      </c>
      <c r="N271" s="339">
        <f>ROUND(((N270*SUM($K$10:K270))+(M271*K271))/SUM($K$10:K271),5)</f>
        <v>3.0890000000000001E-2</v>
      </c>
      <c r="O271" s="351">
        <v>131.30000000000001</v>
      </c>
      <c r="Q271" s="335">
        <f t="shared" si="118"/>
        <v>35893</v>
      </c>
      <c r="R271" s="345">
        <v>35894</v>
      </c>
      <c r="S271" s="317">
        <f t="shared" si="112"/>
        <v>1</v>
      </c>
      <c r="U271" s="346">
        <v>3.5729999999999998E-2</v>
      </c>
      <c r="V271" s="339">
        <f>ROUND(((V270*SUM($S$10:S270))+(U271*S271))/SUM($S$10:S271),5)</f>
        <v>3.4389999999999997E-2</v>
      </c>
      <c r="W271" s="357">
        <v>97</v>
      </c>
      <c r="AH271" s="345"/>
      <c r="AS271" s="346"/>
      <c r="BB271" s="352"/>
      <c r="BC271" s="348"/>
      <c r="BE271" s="335">
        <f t="shared" si="113"/>
        <v>35400</v>
      </c>
      <c r="BF271" s="353">
        <v>35402</v>
      </c>
      <c r="BG271" s="317">
        <f t="shared" si="109"/>
        <v>2</v>
      </c>
      <c r="BH271" s="339">
        <v>3.5700000000000003E-2</v>
      </c>
      <c r="BI271" s="337">
        <f t="shared" si="102"/>
        <v>5852.46</v>
      </c>
      <c r="BK271" s="337"/>
      <c r="BO271" s="335">
        <f t="shared" si="114"/>
        <v>37347</v>
      </c>
      <c r="BP271" s="345">
        <v>37350</v>
      </c>
      <c r="BQ271" s="317">
        <f t="shared" si="106"/>
        <v>3</v>
      </c>
      <c r="BR271" s="347">
        <v>1.4800000000000001E-2</v>
      </c>
      <c r="BS271" s="337">
        <f t="shared" si="107"/>
        <v>2067.945205</v>
      </c>
      <c r="BX271" s="345"/>
      <c r="CE271" s="345"/>
      <c r="CH271" s="337"/>
      <c r="CL271" s="335">
        <f t="shared" si="115"/>
        <v>38281</v>
      </c>
      <c r="CM271" s="345">
        <v>38288</v>
      </c>
      <c r="CN271" s="317">
        <f t="shared" si="104"/>
        <v>7</v>
      </c>
      <c r="CO271" s="347">
        <v>1.7500000000000002E-2</v>
      </c>
      <c r="CP271" s="347"/>
      <c r="CQ271" s="347"/>
      <c r="CR271" s="347"/>
      <c r="CS271" s="347"/>
      <c r="CT271" s="347"/>
      <c r="CU271" s="347"/>
      <c r="CV271" s="337">
        <f t="shared" ref="CV271:CV283" si="119">ROUND($CR$5*CO271*CN271/366,2)</f>
        <v>27892.18</v>
      </c>
    </row>
    <row r="272" spans="1:101" hidden="1" x14ac:dyDescent="0.25">
      <c r="A272" s="335">
        <f t="shared" si="116"/>
        <v>35852</v>
      </c>
      <c r="B272" s="345">
        <v>35863</v>
      </c>
      <c r="C272" s="317">
        <f t="shared" si="110"/>
        <v>11</v>
      </c>
      <c r="E272" s="346">
        <v>3.5150000000000001E-2</v>
      </c>
      <c r="F272" s="339">
        <f>ROUND(((F271*SUM($C$10:C271))+(E272*C272))/SUM($C$10:C272),5)</f>
        <v>3.2239999999999998E-2</v>
      </c>
      <c r="G272" s="348">
        <v>110.5</v>
      </c>
      <c r="I272" s="335">
        <f t="shared" si="117"/>
        <v>35153</v>
      </c>
      <c r="J272" s="353">
        <v>35165</v>
      </c>
      <c r="K272" s="317">
        <f t="shared" si="111"/>
        <v>12</v>
      </c>
      <c r="M272" s="339">
        <v>3.2960000000000003E-2</v>
      </c>
      <c r="N272" s="339">
        <f>ROUND(((N271*SUM($K$10:K271))+(M272*K272))/SUM($K$10:K272),5)</f>
        <v>3.091E-2</v>
      </c>
      <c r="O272" s="351">
        <v>114.2</v>
      </c>
      <c r="Q272" s="335">
        <f t="shared" si="118"/>
        <v>35894</v>
      </c>
      <c r="R272" s="345">
        <v>35898</v>
      </c>
      <c r="S272" s="317">
        <f t="shared" si="112"/>
        <v>4</v>
      </c>
      <c r="U272" s="346">
        <v>3.5549999999999998E-2</v>
      </c>
      <c r="V272" s="339">
        <f>ROUND(((V271*SUM($S$10:S271))+(U272*S272))/SUM($S$10:S272),5)</f>
        <v>3.4389999999999997E-2</v>
      </c>
      <c r="W272" s="357">
        <v>90.8</v>
      </c>
      <c r="AH272" s="345"/>
      <c r="AS272" s="346"/>
      <c r="BB272" s="352"/>
      <c r="BC272" s="348"/>
      <c r="BE272" s="335">
        <f t="shared" si="113"/>
        <v>35402</v>
      </c>
      <c r="BF272" s="353">
        <v>35409</v>
      </c>
      <c r="BG272" s="317">
        <f t="shared" si="109"/>
        <v>7</v>
      </c>
      <c r="BH272" s="339">
        <v>3.1800000000000002E-2</v>
      </c>
      <c r="BI272" s="337">
        <f t="shared" si="102"/>
        <v>18245.900000000001</v>
      </c>
      <c r="BK272" s="337"/>
      <c r="BO272" s="335">
        <f t="shared" si="114"/>
        <v>37350</v>
      </c>
      <c r="BP272" s="345">
        <v>37357</v>
      </c>
      <c r="BQ272" s="317">
        <f t="shared" si="106"/>
        <v>7</v>
      </c>
      <c r="BR272" s="347">
        <v>1.35E-2</v>
      </c>
      <c r="BS272" s="337">
        <f t="shared" si="107"/>
        <v>4401.3698629999999</v>
      </c>
      <c r="BX272" s="345"/>
      <c r="CE272" s="345"/>
      <c r="CH272" s="337"/>
      <c r="CL272" s="335">
        <f t="shared" si="115"/>
        <v>38288</v>
      </c>
      <c r="CM272" s="345">
        <v>38292</v>
      </c>
      <c r="CN272" s="317">
        <f t="shared" si="104"/>
        <v>4</v>
      </c>
      <c r="CO272" s="347">
        <v>1.7600000000000001E-2</v>
      </c>
      <c r="CP272" s="347"/>
      <c r="CQ272" s="347"/>
      <c r="CR272" s="347"/>
      <c r="CS272" s="347"/>
      <c r="CT272" s="347"/>
      <c r="CU272" s="347"/>
      <c r="CV272" s="337">
        <f t="shared" si="119"/>
        <v>16029.46</v>
      </c>
      <c r="CW272" s="341">
        <f>SUM(CV268:CV272)</f>
        <v>120084.34</v>
      </c>
    </row>
    <row r="273" spans="1:101" hidden="1" x14ac:dyDescent="0.25">
      <c r="A273" s="335">
        <f t="shared" si="116"/>
        <v>35863</v>
      </c>
      <c r="B273" s="345">
        <v>35864</v>
      </c>
      <c r="C273" s="317">
        <f t="shared" si="110"/>
        <v>1</v>
      </c>
      <c r="E273" s="346">
        <v>3.5150000000000001E-2</v>
      </c>
      <c r="F273" s="339">
        <f>ROUND(((F272*SUM($C$10:C272))+(E273*C273))/SUM($C$10:C273),5)</f>
        <v>3.2239999999999998E-2</v>
      </c>
      <c r="G273" s="348">
        <v>110.5</v>
      </c>
      <c r="I273" s="335">
        <f t="shared" si="117"/>
        <v>35165</v>
      </c>
      <c r="J273" s="353">
        <v>35177</v>
      </c>
      <c r="K273" s="317">
        <f t="shared" si="111"/>
        <v>12</v>
      </c>
      <c r="M273" s="339">
        <v>3.2850000000000004E-2</v>
      </c>
      <c r="N273" s="339">
        <f>ROUND(((N272*SUM($K$10:K272))+(M273*K273))/SUM($K$10:K273),5)</f>
        <v>3.0929999999999999E-2</v>
      </c>
      <c r="O273" s="351">
        <v>111.8</v>
      </c>
      <c r="Q273" s="335">
        <f t="shared" si="118"/>
        <v>35898</v>
      </c>
      <c r="R273" s="345">
        <v>35922</v>
      </c>
      <c r="S273" s="317">
        <f t="shared" si="112"/>
        <v>24</v>
      </c>
      <c r="U273" s="346">
        <v>3.5770000000000003E-2</v>
      </c>
      <c r="V273" s="339">
        <f>ROUND(((V272*SUM($S$10:S272))+(U273*S273))/SUM($S$10:S273),5)</f>
        <v>3.4410000000000003E-2</v>
      </c>
      <c r="W273" s="357">
        <v>116.6</v>
      </c>
      <c r="AH273" s="345"/>
      <c r="AS273" s="346"/>
      <c r="BB273" s="352"/>
      <c r="BC273" s="348"/>
      <c r="BE273" s="335">
        <f t="shared" si="113"/>
        <v>35409</v>
      </c>
      <c r="BF273" s="353">
        <v>35416</v>
      </c>
      <c r="BG273" s="317">
        <f t="shared" si="109"/>
        <v>7</v>
      </c>
      <c r="BH273" s="339">
        <v>3.5299999999999998E-2</v>
      </c>
      <c r="BI273" s="337">
        <f t="shared" si="102"/>
        <v>20254.099999999999</v>
      </c>
      <c r="BK273" s="337"/>
      <c r="BO273" s="335">
        <f t="shared" si="114"/>
        <v>37357</v>
      </c>
      <c r="BP273" s="345">
        <v>37364</v>
      </c>
      <c r="BQ273" s="317">
        <f t="shared" si="106"/>
        <v>7</v>
      </c>
      <c r="BR273" s="347">
        <v>1.43E-2</v>
      </c>
      <c r="BS273" s="337">
        <f t="shared" si="107"/>
        <v>4662.1917810000004</v>
      </c>
      <c r="BX273" s="345"/>
      <c r="CE273" s="345"/>
      <c r="CH273" s="337"/>
      <c r="CL273" s="335">
        <f t="shared" si="115"/>
        <v>38292</v>
      </c>
      <c r="CM273" s="345">
        <v>38295</v>
      </c>
      <c r="CN273" s="317">
        <f t="shared" si="104"/>
        <v>3</v>
      </c>
      <c r="CO273" s="346">
        <v>1.7600000000000001E-2</v>
      </c>
      <c r="CP273" s="346"/>
      <c r="CQ273" s="346"/>
      <c r="CR273" s="346"/>
      <c r="CS273" s="346"/>
      <c r="CT273" s="346"/>
      <c r="CU273" s="346"/>
      <c r="CV273" s="337">
        <f t="shared" si="119"/>
        <v>12022.1</v>
      </c>
    </row>
    <row r="274" spans="1:101" hidden="1" x14ac:dyDescent="0.25">
      <c r="A274" s="335">
        <f t="shared" si="116"/>
        <v>35864</v>
      </c>
      <c r="B274" s="345">
        <v>35866</v>
      </c>
      <c r="C274" s="317">
        <f t="shared" si="110"/>
        <v>2</v>
      </c>
      <c r="E274" s="346">
        <v>3.4369999999999998E-2</v>
      </c>
      <c r="F274" s="339">
        <f>ROUND(((F273*SUM($C$10:C273))+(E274*C274))/SUM($C$10:C274),5)</f>
        <v>3.2239999999999998E-2</v>
      </c>
      <c r="G274" s="348">
        <v>94.5</v>
      </c>
      <c r="I274" s="335">
        <f t="shared" si="117"/>
        <v>35177</v>
      </c>
      <c r="J274" s="353">
        <v>35179</v>
      </c>
      <c r="K274" s="317">
        <f t="shared" si="111"/>
        <v>2</v>
      </c>
      <c r="M274" s="339">
        <v>3.3509999999999998E-2</v>
      </c>
      <c r="N274" s="339">
        <f>ROUND(((N273*SUM($K$10:K273))+(M274*K274))/SUM($K$10:K274),5)</f>
        <v>3.0929999999999999E-2</v>
      </c>
      <c r="O274" s="351">
        <v>136.5</v>
      </c>
      <c r="Q274" s="335">
        <f t="shared" si="118"/>
        <v>35922</v>
      </c>
      <c r="R274" s="345">
        <v>35926</v>
      </c>
      <c r="S274" s="317">
        <f t="shared" si="112"/>
        <v>4</v>
      </c>
      <c r="U274" s="346">
        <v>3.5740000000000001E-2</v>
      </c>
      <c r="V274" s="339">
        <f>ROUND(((V273*SUM($S$10:S273))+(U274*S274))/SUM($S$10:S274),5)</f>
        <v>3.4410000000000003E-2</v>
      </c>
      <c r="W274" s="357">
        <v>106.4</v>
      </c>
      <c r="AH274" s="345"/>
      <c r="AS274" s="346"/>
      <c r="BB274" s="352"/>
      <c r="BC274" s="348"/>
      <c r="BE274" s="335">
        <f t="shared" si="113"/>
        <v>35416</v>
      </c>
      <c r="BF274" s="353">
        <v>35423</v>
      </c>
      <c r="BG274" s="317">
        <f t="shared" si="109"/>
        <v>7</v>
      </c>
      <c r="BH274" s="339">
        <v>3.9100000000000003E-2</v>
      </c>
      <c r="BI274" s="337">
        <f t="shared" si="102"/>
        <v>22434.43</v>
      </c>
      <c r="BK274" s="337"/>
      <c r="BO274" s="335">
        <f t="shared" si="114"/>
        <v>37364</v>
      </c>
      <c r="BP274" s="345">
        <v>37371</v>
      </c>
      <c r="BQ274" s="317">
        <f t="shared" si="106"/>
        <v>7</v>
      </c>
      <c r="BR274" s="347">
        <v>1.5800000000000002E-2</v>
      </c>
      <c r="BS274" s="337">
        <f t="shared" si="107"/>
        <v>5151.2328770000004</v>
      </c>
      <c r="BX274" s="345"/>
      <c r="CE274" s="345"/>
      <c r="CH274" s="337"/>
      <c r="CL274" s="335">
        <f t="shared" si="115"/>
        <v>38295</v>
      </c>
      <c r="CM274" s="345">
        <v>38302</v>
      </c>
      <c r="CN274" s="317">
        <f t="shared" si="104"/>
        <v>7</v>
      </c>
      <c r="CO274" s="346">
        <v>1.6400000000000001E-2</v>
      </c>
      <c r="CP274" s="346"/>
      <c r="CQ274" s="346"/>
      <c r="CR274" s="346"/>
      <c r="CS274" s="346"/>
      <c r="CT274" s="346"/>
      <c r="CU274" s="346"/>
      <c r="CV274" s="337">
        <f t="shared" si="119"/>
        <v>26138.959999999999</v>
      </c>
    </row>
    <row r="275" spans="1:101" hidden="1" x14ac:dyDescent="0.25">
      <c r="A275" s="335">
        <f t="shared" si="116"/>
        <v>35866</v>
      </c>
      <c r="B275" s="345">
        <v>35871</v>
      </c>
      <c r="C275" s="317">
        <f t="shared" si="110"/>
        <v>5</v>
      </c>
      <c r="E275" s="346">
        <v>3.4049999999999997E-2</v>
      </c>
      <c r="F275" s="339">
        <f>ROUND(((F274*SUM($C$10:C274))+(E275*C275))/SUM($C$10:C275),5)</f>
        <v>3.2239999999999998E-2</v>
      </c>
      <c r="G275" s="348">
        <v>102.1</v>
      </c>
      <c r="I275" s="335">
        <f t="shared" si="117"/>
        <v>35179</v>
      </c>
      <c r="J275" s="353">
        <v>35180</v>
      </c>
      <c r="K275" s="317">
        <f t="shared" si="111"/>
        <v>1</v>
      </c>
      <c r="M275" s="339">
        <v>3.3509999999999998E-2</v>
      </c>
      <c r="N275" s="339">
        <f>ROUND(((N274*SUM($K$10:K274))+(M275*K275))/SUM($K$10:K275),5)</f>
        <v>3.0929999999999999E-2</v>
      </c>
      <c r="O275" s="351">
        <v>136.1</v>
      </c>
      <c r="Q275" s="335">
        <f t="shared" si="118"/>
        <v>35926</v>
      </c>
      <c r="R275" s="345">
        <v>35928</v>
      </c>
      <c r="S275" s="317">
        <f t="shared" si="112"/>
        <v>2</v>
      </c>
      <c r="U275" s="346">
        <v>3.5999999999999997E-2</v>
      </c>
      <c r="V275" s="339">
        <f>ROUND(((V274*SUM($S$10:S274))+(U275*S275))/SUM($S$10:S275),5)</f>
        <v>3.4410000000000003E-2</v>
      </c>
      <c r="W275" s="357">
        <v>99.4</v>
      </c>
      <c r="AH275" s="345"/>
      <c r="AS275" s="346"/>
      <c r="BB275" s="352"/>
      <c r="BC275" s="348"/>
      <c r="BE275" s="335">
        <f t="shared" si="113"/>
        <v>35423</v>
      </c>
      <c r="BF275" s="353">
        <v>35430</v>
      </c>
      <c r="BG275" s="317">
        <f t="shared" si="109"/>
        <v>7</v>
      </c>
      <c r="BH275" s="339">
        <v>4.2000000000000003E-2</v>
      </c>
      <c r="BI275" s="337">
        <f t="shared" si="102"/>
        <v>24098.36</v>
      </c>
      <c r="BK275" s="337"/>
      <c r="BO275" s="335">
        <f t="shared" si="114"/>
        <v>37371</v>
      </c>
      <c r="BP275" s="345">
        <v>37377</v>
      </c>
      <c r="BQ275" s="317">
        <f t="shared" si="106"/>
        <v>6</v>
      </c>
      <c r="BR275" s="347">
        <v>1.6799999999999999E-2</v>
      </c>
      <c r="BS275" s="337">
        <f t="shared" si="107"/>
        <v>4694.7945209999998</v>
      </c>
      <c r="BT275" s="341">
        <f>SUM(BS271:BS275)</f>
        <v>20977.534247000003</v>
      </c>
      <c r="BX275" s="345"/>
      <c r="CE275" s="345"/>
      <c r="CH275" s="337"/>
      <c r="CL275" s="335">
        <f t="shared" si="115"/>
        <v>38302</v>
      </c>
      <c r="CM275" s="345">
        <v>38309</v>
      </c>
      <c r="CN275" s="317">
        <f t="shared" si="104"/>
        <v>7</v>
      </c>
      <c r="CO275" s="346">
        <v>1.67E-2</v>
      </c>
      <c r="CP275" s="346"/>
      <c r="CQ275" s="346"/>
      <c r="CR275" s="346"/>
      <c r="CS275" s="346"/>
      <c r="CT275" s="346"/>
      <c r="CU275" s="346"/>
      <c r="CV275" s="337">
        <f t="shared" si="119"/>
        <v>26617.11</v>
      </c>
    </row>
    <row r="276" spans="1:101" hidden="1" x14ac:dyDescent="0.25">
      <c r="A276" s="335">
        <f t="shared" si="116"/>
        <v>35871</v>
      </c>
      <c r="B276" s="345">
        <v>35886</v>
      </c>
      <c r="C276" s="317">
        <f t="shared" si="110"/>
        <v>15</v>
      </c>
      <c r="E276" s="346">
        <v>3.406E-2</v>
      </c>
      <c r="F276" s="339">
        <f>ROUND(((F275*SUM($C$10:C275))+(E276*C276))/SUM($C$10:C276),5)</f>
        <v>3.2250000000000001E-2</v>
      </c>
      <c r="G276" s="348">
        <v>104.7</v>
      </c>
      <c r="I276" s="335">
        <f t="shared" si="117"/>
        <v>35180</v>
      </c>
      <c r="J276" s="353">
        <v>35181</v>
      </c>
      <c r="K276" s="317">
        <f t="shared" si="111"/>
        <v>1</v>
      </c>
      <c r="M276" s="339">
        <v>3.3579999999999999E-2</v>
      </c>
      <c r="N276" s="339">
        <f>ROUND(((N275*SUM($K$10:K275))+(M276*K276))/SUM($K$10:K276),5)</f>
        <v>3.0929999999999999E-2</v>
      </c>
      <c r="O276" s="351">
        <v>139.19999999999999</v>
      </c>
      <c r="Q276" s="335">
        <f t="shared" si="118"/>
        <v>35928</v>
      </c>
      <c r="R276" s="345">
        <v>35951</v>
      </c>
      <c r="S276" s="317">
        <f t="shared" si="112"/>
        <v>23</v>
      </c>
      <c r="U276" s="346">
        <v>3.635E-2</v>
      </c>
      <c r="V276" s="339">
        <f>ROUND(((V275*SUM($S$10:S275))+(U276*S276))/SUM($S$10:S276),5)</f>
        <v>3.4439999999999998E-2</v>
      </c>
      <c r="W276" s="357">
        <v>111.4</v>
      </c>
      <c r="AH276" s="345"/>
      <c r="AS276" s="346"/>
      <c r="BB276" s="352"/>
      <c r="BC276" s="348"/>
      <c r="BE276" s="335">
        <f t="shared" si="113"/>
        <v>35430</v>
      </c>
      <c r="BF276" s="353">
        <v>35431</v>
      </c>
      <c r="BG276" s="317">
        <f t="shared" si="109"/>
        <v>1</v>
      </c>
      <c r="BH276" s="339">
        <v>3.0499999999999999E-2</v>
      </c>
      <c r="BI276" s="337">
        <f t="shared" si="102"/>
        <v>2500</v>
      </c>
      <c r="BJ276" s="341">
        <f>SUM(BI271:BI276)</f>
        <v>93385.25</v>
      </c>
      <c r="BK276" s="337">
        <v>89370.03</v>
      </c>
      <c r="BL276" s="341">
        <f>BJ276-BK276</f>
        <v>4015.2200000000012</v>
      </c>
      <c r="BM276" s="341">
        <f>BM270+BL276</f>
        <v>15063.970000000005</v>
      </c>
      <c r="BO276" s="335">
        <f t="shared" si="114"/>
        <v>37377</v>
      </c>
      <c r="BP276" s="345">
        <v>37378</v>
      </c>
      <c r="BQ276" s="317">
        <f t="shared" si="106"/>
        <v>1</v>
      </c>
      <c r="BR276" s="347">
        <v>1.6799999999999999E-2</v>
      </c>
      <c r="BS276" s="337">
        <f t="shared" si="107"/>
        <v>782.46575299999995</v>
      </c>
      <c r="BT276" s="341" t="s">
        <v>35</v>
      </c>
      <c r="BX276" s="345"/>
      <c r="CE276" s="345"/>
      <c r="CH276" s="337"/>
      <c r="CL276" s="335">
        <f t="shared" si="115"/>
        <v>38309</v>
      </c>
      <c r="CM276" s="345">
        <v>38316</v>
      </c>
      <c r="CN276" s="317">
        <f t="shared" si="104"/>
        <v>7</v>
      </c>
      <c r="CO276" s="346">
        <v>1.6500000000000001E-2</v>
      </c>
      <c r="CP276" s="346"/>
      <c r="CQ276" s="346"/>
      <c r="CR276" s="346"/>
      <c r="CS276" s="346"/>
      <c r="CT276" s="346"/>
      <c r="CU276" s="346"/>
      <c r="CV276" s="337">
        <f t="shared" si="119"/>
        <v>26298.34</v>
      </c>
    </row>
    <row r="277" spans="1:101" hidden="1" x14ac:dyDescent="0.25">
      <c r="A277" s="335">
        <f t="shared" si="116"/>
        <v>35886</v>
      </c>
      <c r="B277" s="345">
        <v>35888</v>
      </c>
      <c r="C277" s="317">
        <f t="shared" si="110"/>
        <v>2</v>
      </c>
      <c r="E277" s="346">
        <v>3.4369999999999998E-2</v>
      </c>
      <c r="F277" s="339">
        <f>ROUND(((F276*SUM($C$10:C276))+(E277*C277))/SUM($C$10:C277),5)</f>
        <v>3.2250000000000001E-2</v>
      </c>
      <c r="G277" s="348">
        <v>110.4</v>
      </c>
      <c r="I277" s="335">
        <f t="shared" si="117"/>
        <v>35181</v>
      </c>
      <c r="J277" s="353">
        <v>35184</v>
      </c>
      <c r="K277" s="317">
        <f t="shared" si="111"/>
        <v>3</v>
      </c>
      <c r="M277" s="339">
        <v>3.3600000000000005E-2</v>
      </c>
      <c r="N277" s="339">
        <f>ROUND(((N276*SUM($K$10:K276))+(M277*K277))/SUM($K$10:K277),5)</f>
        <v>3.0939999999999999E-2</v>
      </c>
      <c r="O277" s="351">
        <v>137.69999999999999</v>
      </c>
      <c r="Q277" s="335">
        <f t="shared" si="118"/>
        <v>35951</v>
      </c>
      <c r="R277" s="345">
        <v>35954</v>
      </c>
      <c r="S277" s="317">
        <f t="shared" si="112"/>
        <v>3</v>
      </c>
      <c r="U277" s="346">
        <v>3.6347999999999998E-2</v>
      </c>
      <c r="V277" s="339">
        <f>ROUND(((V276*SUM($S$10:S276))+(U277*S277))/SUM($S$10:S277),5)</f>
        <v>3.4439999999999998E-2</v>
      </c>
      <c r="W277" s="357">
        <v>117.1</v>
      </c>
      <c r="AH277" s="345"/>
      <c r="AS277" s="346"/>
      <c r="BB277" s="352"/>
      <c r="BC277" s="348"/>
      <c r="BE277" s="335">
        <f t="shared" si="113"/>
        <v>35431</v>
      </c>
      <c r="BF277" s="353">
        <v>35437</v>
      </c>
      <c r="BG277" s="317">
        <f t="shared" si="109"/>
        <v>6</v>
      </c>
      <c r="BH277" s="339">
        <v>3.0499999999999999E-2</v>
      </c>
      <c r="BI277" s="337">
        <f>ROUND($BI$5*BH277*BG277/365,2)</f>
        <v>15041.1</v>
      </c>
      <c r="BK277" s="337"/>
      <c r="BO277" s="335">
        <f t="shared" si="114"/>
        <v>37378</v>
      </c>
      <c r="BP277" s="345">
        <v>37385</v>
      </c>
      <c r="BQ277" s="317">
        <f t="shared" si="106"/>
        <v>7</v>
      </c>
      <c r="BR277" s="347">
        <v>1.5800000000000002E-2</v>
      </c>
      <c r="BS277" s="337">
        <f t="shared" si="107"/>
        <v>5151.2328770000004</v>
      </c>
      <c r="BT277" s="341" t="s">
        <v>35</v>
      </c>
      <c r="BX277" s="345"/>
      <c r="CE277" s="345"/>
      <c r="CH277" s="337"/>
      <c r="CL277" s="335">
        <f t="shared" si="115"/>
        <v>38316</v>
      </c>
      <c r="CM277" s="345">
        <v>38322</v>
      </c>
      <c r="CN277" s="317">
        <f t="shared" si="104"/>
        <v>6</v>
      </c>
      <c r="CO277" s="346">
        <v>1.67E-2</v>
      </c>
      <c r="CP277" s="346"/>
      <c r="CQ277" s="346"/>
      <c r="CR277" s="346"/>
      <c r="CS277" s="346"/>
      <c r="CT277" s="346"/>
      <c r="CU277" s="346"/>
      <c r="CV277" s="337">
        <f t="shared" si="119"/>
        <v>22814.66</v>
      </c>
      <c r="CW277" s="341">
        <f>SUM(CV273:CV277)</f>
        <v>113891.17</v>
      </c>
    </row>
    <row r="278" spans="1:101" hidden="1" x14ac:dyDescent="0.25">
      <c r="A278" s="335">
        <f t="shared" si="116"/>
        <v>35888</v>
      </c>
      <c r="B278" s="345">
        <v>35930</v>
      </c>
      <c r="C278" s="317">
        <f t="shared" si="110"/>
        <v>42</v>
      </c>
      <c r="E278" s="346">
        <v>3.4520000000000002E-2</v>
      </c>
      <c r="F278" s="339">
        <f>ROUND(((F277*SUM($C$10:C277))+(E278*C278))/SUM($C$10:C278),5)</f>
        <v>3.2300000000000002E-2</v>
      </c>
      <c r="G278" s="348">
        <v>113.3</v>
      </c>
      <c r="I278" s="335">
        <f t="shared" si="117"/>
        <v>35184</v>
      </c>
      <c r="J278" s="353">
        <v>35185</v>
      </c>
      <c r="K278" s="317">
        <f t="shared" si="111"/>
        <v>1</v>
      </c>
      <c r="M278" s="339">
        <v>3.3590000000000002E-2</v>
      </c>
      <c r="N278" s="339">
        <f>ROUND(((N277*SUM($K$10:K277))+(M278*K278))/SUM($K$10:K278),5)</f>
        <v>3.0939999999999999E-2</v>
      </c>
      <c r="O278" s="351">
        <v>137.69999999999999</v>
      </c>
      <c r="Q278" s="335">
        <f t="shared" si="118"/>
        <v>35954</v>
      </c>
      <c r="R278" s="345">
        <v>35955</v>
      </c>
      <c r="S278" s="317">
        <f t="shared" si="112"/>
        <v>1</v>
      </c>
      <c r="U278" s="346">
        <v>3.669E-2</v>
      </c>
      <c r="V278" s="339">
        <f>ROUND(((V277*SUM($S$10:S277))+(U278*S278))/SUM($S$10:S278),5)</f>
        <v>3.4439999999999998E-2</v>
      </c>
      <c r="W278" s="357">
        <v>116.4</v>
      </c>
      <c r="AH278" s="345"/>
      <c r="AS278" s="346"/>
      <c r="BB278" s="352"/>
      <c r="BC278" s="348"/>
      <c r="BE278" s="335">
        <f t="shared" si="113"/>
        <v>35437</v>
      </c>
      <c r="BF278" s="353">
        <v>35444</v>
      </c>
      <c r="BG278" s="317">
        <f t="shared" si="109"/>
        <v>7</v>
      </c>
      <c r="BH278" s="339">
        <v>3.2000000000000001E-2</v>
      </c>
      <c r="BI278" s="337">
        <f t="shared" ref="BI278:BI323" si="120">ROUND($BI$5*BH278*BG278/365,2)</f>
        <v>18410.96</v>
      </c>
      <c r="BK278" s="337"/>
      <c r="BO278" s="335">
        <f t="shared" si="114"/>
        <v>37385</v>
      </c>
      <c r="BP278" s="345">
        <v>37392</v>
      </c>
      <c r="BQ278" s="317">
        <f t="shared" si="106"/>
        <v>7</v>
      </c>
      <c r="BR278" s="347">
        <v>1.55E-2</v>
      </c>
      <c r="BS278" s="337">
        <f t="shared" si="107"/>
        <v>5053.4246579999999</v>
      </c>
      <c r="BT278" s="341" t="s">
        <v>35</v>
      </c>
      <c r="BX278" s="345"/>
      <c r="CE278" s="345"/>
      <c r="CH278" s="337"/>
      <c r="CL278" s="335">
        <f t="shared" si="115"/>
        <v>38322</v>
      </c>
      <c r="CM278" s="345">
        <v>38323</v>
      </c>
      <c r="CN278" s="317">
        <f t="shared" si="104"/>
        <v>1</v>
      </c>
      <c r="CO278" s="347">
        <v>1.67E-2</v>
      </c>
      <c r="CP278" s="347"/>
      <c r="CQ278" s="347"/>
      <c r="CR278" s="347"/>
      <c r="CS278" s="347"/>
      <c r="CT278" s="347"/>
      <c r="CU278" s="347"/>
      <c r="CV278" s="337">
        <f t="shared" si="119"/>
        <v>3802.44</v>
      </c>
    </row>
    <row r="279" spans="1:101" hidden="1" x14ac:dyDescent="0.25">
      <c r="A279" s="335">
        <f t="shared" si="116"/>
        <v>35930</v>
      </c>
      <c r="B279" s="345">
        <v>35937</v>
      </c>
      <c r="C279" s="317">
        <f t="shared" si="110"/>
        <v>7</v>
      </c>
      <c r="E279" s="346">
        <v>3.4569999999999997E-2</v>
      </c>
      <c r="F279" s="339">
        <f>ROUND(((F278*SUM($C$10:C278))+(E279*C279))/SUM($C$10:C279),5)</f>
        <v>3.2309999999999998E-2</v>
      </c>
      <c r="G279" s="348">
        <v>108.1</v>
      </c>
      <c r="I279" s="335">
        <f t="shared" si="117"/>
        <v>35185</v>
      </c>
      <c r="J279" s="353">
        <v>35201</v>
      </c>
      <c r="K279" s="317">
        <f t="shared" si="111"/>
        <v>16</v>
      </c>
      <c r="M279" s="339">
        <v>3.3660000000000002E-2</v>
      </c>
      <c r="N279" s="339">
        <f>ROUND(((N278*SUM($K$10:K278))+(M279*K279))/SUM($K$10:K279),5)</f>
        <v>3.0970000000000001E-2</v>
      </c>
      <c r="O279" s="351">
        <v>140.30000000000001</v>
      </c>
      <c r="Q279" s="335">
        <f t="shared" si="118"/>
        <v>35955</v>
      </c>
      <c r="R279" s="345">
        <v>35956</v>
      </c>
      <c r="S279" s="317">
        <f t="shared" si="112"/>
        <v>1</v>
      </c>
      <c r="U279" s="346">
        <v>3.6679999999999997E-2</v>
      </c>
      <c r="V279" s="339">
        <f>ROUND(((V278*SUM($S$10:S278))+(U279*S279))/SUM($S$10:S279),5)</f>
        <v>3.4439999999999998E-2</v>
      </c>
      <c r="W279" s="357">
        <v>115.7</v>
      </c>
      <c r="AH279" s="345"/>
      <c r="AS279" s="346"/>
      <c r="BB279" s="352"/>
      <c r="BC279" s="348"/>
      <c r="BE279" s="335">
        <f t="shared" si="113"/>
        <v>35444</v>
      </c>
      <c r="BF279" s="353">
        <v>35451</v>
      </c>
      <c r="BG279" s="317">
        <f t="shared" si="109"/>
        <v>7</v>
      </c>
      <c r="BH279" s="339">
        <v>3.4500000000000003E-2</v>
      </c>
      <c r="BI279" s="337">
        <f t="shared" si="120"/>
        <v>19849.32</v>
      </c>
      <c r="BK279" s="337"/>
      <c r="BO279" s="335">
        <f t="shared" si="114"/>
        <v>37392</v>
      </c>
      <c r="BP279" s="345">
        <v>37399</v>
      </c>
      <c r="BQ279" s="317">
        <f t="shared" si="106"/>
        <v>7</v>
      </c>
      <c r="BR279" s="347">
        <v>1.5699999999999999E-2</v>
      </c>
      <c r="BS279" s="337">
        <f t="shared" si="107"/>
        <v>5118.6301370000001</v>
      </c>
      <c r="BX279" s="345"/>
      <c r="CE279" s="345"/>
      <c r="CH279" s="337"/>
      <c r="CL279" s="335">
        <f t="shared" si="115"/>
        <v>38323</v>
      </c>
      <c r="CM279" s="345">
        <v>38330</v>
      </c>
      <c r="CN279" s="317">
        <f t="shared" si="104"/>
        <v>7</v>
      </c>
      <c r="CO279" s="347">
        <v>1.55E-2</v>
      </c>
      <c r="CP279" s="347"/>
      <c r="CQ279" s="347"/>
      <c r="CR279" s="347"/>
      <c r="CS279" s="347"/>
      <c r="CT279" s="347"/>
      <c r="CU279" s="347"/>
      <c r="CV279" s="337">
        <f t="shared" si="119"/>
        <v>24704.5</v>
      </c>
    </row>
    <row r="280" spans="1:101" hidden="1" x14ac:dyDescent="0.25">
      <c r="A280" s="335">
        <f t="shared" si="116"/>
        <v>35937</v>
      </c>
      <c r="B280" s="345">
        <v>35943</v>
      </c>
      <c r="C280" s="317">
        <f t="shared" si="110"/>
        <v>6</v>
      </c>
      <c r="E280" s="346">
        <v>3.483E-2</v>
      </c>
      <c r="F280" s="339">
        <f>ROUND(((F279*SUM($C$10:C279))+(E280*C280))/SUM($C$10:C280),5)</f>
        <v>3.2320000000000002E-2</v>
      </c>
      <c r="G280" s="348">
        <v>97.2</v>
      </c>
      <c r="I280" s="335">
        <f t="shared" si="117"/>
        <v>35201</v>
      </c>
      <c r="J280" s="353">
        <v>35205</v>
      </c>
      <c r="K280" s="317">
        <f t="shared" si="111"/>
        <v>4</v>
      </c>
      <c r="M280" s="339">
        <v>3.3869999999999997E-2</v>
      </c>
      <c r="N280" s="339">
        <f>ROUND(((N279*SUM($K$10:K279))+(M280*K280))/SUM($K$10:K280),5)</f>
        <v>3.0980000000000001E-2</v>
      </c>
      <c r="O280" s="351">
        <v>140.80000000000001</v>
      </c>
      <c r="Q280" s="335">
        <f t="shared" si="118"/>
        <v>35956</v>
      </c>
      <c r="R280" s="345">
        <v>35971</v>
      </c>
      <c r="S280" s="317">
        <f t="shared" si="112"/>
        <v>15</v>
      </c>
      <c r="U280" s="346">
        <v>3.6679999999999997E-2</v>
      </c>
      <c r="V280" s="339">
        <f>ROUND(((V279*SUM($S$10:S279))+(U280*S280))/SUM($S$10:S280),5)</f>
        <v>3.4459999999999998E-2</v>
      </c>
      <c r="W280" s="357">
        <v>117.2</v>
      </c>
      <c r="AH280" s="345"/>
      <c r="AS280" s="346"/>
      <c r="BB280" s="352"/>
      <c r="BC280" s="348"/>
      <c r="BE280" s="335">
        <f t="shared" si="113"/>
        <v>35451</v>
      </c>
      <c r="BF280" s="353">
        <v>35458</v>
      </c>
      <c r="BG280" s="317">
        <f t="shared" si="109"/>
        <v>7</v>
      </c>
      <c r="BH280" s="339">
        <v>3.4200000000000001E-2</v>
      </c>
      <c r="BI280" s="337">
        <f t="shared" si="120"/>
        <v>19676.71</v>
      </c>
      <c r="BK280" s="337"/>
      <c r="BO280" s="335">
        <f t="shared" si="114"/>
        <v>37399</v>
      </c>
      <c r="BP280" s="345">
        <v>37406</v>
      </c>
      <c r="BQ280" s="317">
        <f t="shared" si="106"/>
        <v>7</v>
      </c>
      <c r="BR280" s="347">
        <v>1.5299999999999999E-2</v>
      </c>
      <c r="BS280" s="337">
        <f t="shared" si="107"/>
        <v>4988.2191780000003</v>
      </c>
      <c r="BX280" s="345"/>
      <c r="CE280" s="345"/>
      <c r="CH280" s="337"/>
      <c r="CL280" s="335">
        <f t="shared" si="115"/>
        <v>38330</v>
      </c>
      <c r="CM280" s="345">
        <v>38337</v>
      </c>
      <c r="CN280" s="317">
        <f t="shared" si="104"/>
        <v>7</v>
      </c>
      <c r="CO280" s="347">
        <v>1.43E-2</v>
      </c>
      <c r="CP280" s="347"/>
      <c r="CQ280" s="347"/>
      <c r="CR280" s="347"/>
      <c r="CS280" s="347"/>
      <c r="CT280" s="347"/>
      <c r="CU280" s="347"/>
      <c r="CV280" s="337">
        <f t="shared" si="119"/>
        <v>22791.89</v>
      </c>
    </row>
    <row r="281" spans="1:101" hidden="1" x14ac:dyDescent="0.25">
      <c r="A281" s="335">
        <f t="shared" si="116"/>
        <v>35943</v>
      </c>
      <c r="B281" s="345">
        <v>35949</v>
      </c>
      <c r="C281" s="317">
        <f t="shared" si="110"/>
        <v>6</v>
      </c>
      <c r="E281" s="346">
        <v>3.4909999999999997E-2</v>
      </c>
      <c r="F281" s="339">
        <f>ROUND(((F280*SUM($C$10:C280))+(E281*C281))/SUM($C$10:C281),5)</f>
        <v>3.2329999999999998E-2</v>
      </c>
      <c r="G281" s="348">
        <v>97</v>
      </c>
      <c r="I281" s="335">
        <f t="shared" si="117"/>
        <v>35205</v>
      </c>
      <c r="J281" s="353">
        <v>35208</v>
      </c>
      <c r="K281" s="317">
        <f t="shared" si="111"/>
        <v>3</v>
      </c>
      <c r="M281" s="339">
        <v>3.3919999999999999E-2</v>
      </c>
      <c r="N281" s="339">
        <f>ROUND(((N280*SUM($K$10:K280))+(M281*K281))/SUM($K$10:K281),5)</f>
        <v>3.099E-2</v>
      </c>
      <c r="O281" s="351">
        <v>141.69999999999999</v>
      </c>
      <c r="Q281" s="335">
        <f t="shared" si="118"/>
        <v>35971</v>
      </c>
      <c r="R281" s="345">
        <v>35977</v>
      </c>
      <c r="S281" s="317">
        <f t="shared" si="112"/>
        <v>6</v>
      </c>
      <c r="U281" s="346">
        <v>3.6670000000000001E-2</v>
      </c>
      <c r="V281" s="339">
        <f>ROUND(((V280*SUM($S$10:S280))+(U281*S281))/SUM($S$10:S281),5)</f>
        <v>3.4470000000000001E-2</v>
      </c>
      <c r="W281" s="316">
        <v>115.9</v>
      </c>
      <c r="AH281" s="345"/>
      <c r="AS281" s="346"/>
      <c r="BB281" s="352"/>
      <c r="BC281" s="348"/>
      <c r="BE281" s="335">
        <f t="shared" si="113"/>
        <v>35458</v>
      </c>
      <c r="BF281" s="353">
        <v>35462</v>
      </c>
      <c r="BG281" s="317">
        <f t="shared" si="109"/>
        <v>4</v>
      </c>
      <c r="BH281" s="339">
        <v>3.5299999999999998E-2</v>
      </c>
      <c r="BI281" s="337">
        <f t="shared" si="120"/>
        <v>11605.48</v>
      </c>
      <c r="BJ281" s="341">
        <f>SUM(BI277:BI281)</f>
        <v>84583.569999999992</v>
      </c>
      <c r="BK281" s="337">
        <v>87530.47</v>
      </c>
      <c r="BL281" s="341">
        <f>BJ281-BK281</f>
        <v>-2946.9000000000087</v>
      </c>
      <c r="BM281" s="341">
        <f>BM276+BL281</f>
        <v>12117.069999999996</v>
      </c>
      <c r="BO281" s="335">
        <f t="shared" si="114"/>
        <v>37406</v>
      </c>
      <c r="BP281" s="345">
        <v>37408</v>
      </c>
      <c r="BQ281" s="317">
        <f t="shared" si="106"/>
        <v>2</v>
      </c>
      <c r="BR281" s="347">
        <v>1.4E-2</v>
      </c>
      <c r="BS281" s="337">
        <f t="shared" si="107"/>
        <v>1304.1095889999999</v>
      </c>
      <c r="BT281" s="341">
        <f>SUM(BS276:BS281)</f>
        <v>22398.082192000002</v>
      </c>
      <c r="BX281" s="345"/>
      <c r="CE281" s="345"/>
      <c r="CH281" s="337"/>
      <c r="CL281" s="335">
        <f t="shared" si="115"/>
        <v>38337</v>
      </c>
      <c r="CM281" s="345">
        <v>38344</v>
      </c>
      <c r="CN281" s="317">
        <f t="shared" si="104"/>
        <v>7</v>
      </c>
      <c r="CO281" s="347">
        <v>1.6500000000000001E-2</v>
      </c>
      <c r="CP281" s="347"/>
      <c r="CQ281" s="347"/>
      <c r="CR281" s="347"/>
      <c r="CS281" s="347"/>
      <c r="CT281" s="347"/>
      <c r="CU281" s="347"/>
      <c r="CV281" s="337">
        <f t="shared" si="119"/>
        <v>26298.34</v>
      </c>
    </row>
    <row r="282" spans="1:101" hidden="1" x14ac:dyDescent="0.25">
      <c r="A282" s="335">
        <f t="shared" si="116"/>
        <v>35949</v>
      </c>
      <c r="B282" s="345">
        <v>35951</v>
      </c>
      <c r="C282" s="317">
        <f t="shared" si="110"/>
        <v>2</v>
      </c>
      <c r="E282" s="346">
        <v>3.4925999999999999E-2</v>
      </c>
      <c r="F282" s="339">
        <f>ROUND(((F281*SUM($C$10:C281))+(E282*C282))/SUM($C$10:C282),5)</f>
        <v>3.2329999999999998E-2</v>
      </c>
      <c r="G282" s="348">
        <v>98.13</v>
      </c>
      <c r="I282" s="335">
        <f t="shared" si="117"/>
        <v>35208</v>
      </c>
      <c r="J282" s="353">
        <v>35236</v>
      </c>
      <c r="K282" s="317">
        <f t="shared" si="111"/>
        <v>28</v>
      </c>
      <c r="M282" s="339">
        <v>3.415E-2</v>
      </c>
      <c r="N282" s="339">
        <f>ROUND(((N281*SUM($K$10:K281))+(M282*K282))/SUM($K$10:K282),5)</f>
        <v>3.1050000000000001E-2</v>
      </c>
      <c r="O282" s="351">
        <v>142.30000000000001</v>
      </c>
      <c r="Q282" s="335">
        <f t="shared" si="118"/>
        <v>35977</v>
      </c>
      <c r="R282" s="345">
        <v>35984</v>
      </c>
      <c r="S282" s="317">
        <f t="shared" si="112"/>
        <v>7</v>
      </c>
      <c r="U282" s="346">
        <v>3.6659999999999998E-2</v>
      </c>
      <c r="V282" s="339">
        <f>ROUND(((V281*SUM($S$10:S281))+(U282*S282))/SUM($S$10:S282),5)</f>
        <v>3.4479999999999997E-2</v>
      </c>
      <c r="W282" s="316">
        <v>116.1</v>
      </c>
      <c r="AH282" s="345"/>
      <c r="AS282" s="346"/>
      <c r="BB282" s="352"/>
      <c r="BC282" s="348"/>
      <c r="BE282" s="335">
        <f t="shared" si="113"/>
        <v>35462</v>
      </c>
      <c r="BF282" s="353">
        <v>35465</v>
      </c>
      <c r="BG282" s="317">
        <f t="shared" si="109"/>
        <v>3</v>
      </c>
      <c r="BH282" s="339">
        <v>3.5299999999999998E-2</v>
      </c>
      <c r="BI282" s="337">
        <f t="shared" si="120"/>
        <v>8704.11</v>
      </c>
      <c r="BO282" s="335">
        <f t="shared" si="114"/>
        <v>37408</v>
      </c>
      <c r="BP282" s="345">
        <v>37413</v>
      </c>
      <c r="BQ282" s="317">
        <f t="shared" si="106"/>
        <v>5</v>
      </c>
      <c r="BR282" s="347">
        <v>1.4E-2</v>
      </c>
      <c r="BS282" s="337">
        <f t="shared" si="107"/>
        <v>3260.2739729999998</v>
      </c>
      <c r="BX282" s="345"/>
      <c r="CE282" s="345"/>
      <c r="CH282" s="337"/>
      <c r="CL282" s="335">
        <f t="shared" si="115"/>
        <v>38344</v>
      </c>
      <c r="CM282" s="345">
        <v>38351</v>
      </c>
      <c r="CN282" s="317">
        <f t="shared" si="104"/>
        <v>7</v>
      </c>
      <c r="CO282" s="347">
        <v>1.9300000000000001E-2</v>
      </c>
      <c r="CP282" s="347"/>
      <c r="CQ282" s="347"/>
      <c r="CR282" s="347"/>
      <c r="CS282" s="347"/>
      <c r="CT282" s="347"/>
      <c r="CU282" s="347"/>
      <c r="CV282" s="337">
        <f t="shared" si="119"/>
        <v>30761.09</v>
      </c>
    </row>
    <row r="283" spans="1:101" hidden="1" x14ac:dyDescent="0.25">
      <c r="A283" s="335">
        <f t="shared" si="116"/>
        <v>35951</v>
      </c>
      <c r="B283" s="345">
        <v>35954</v>
      </c>
      <c r="C283" s="317">
        <f t="shared" si="110"/>
        <v>3</v>
      </c>
      <c r="E283" s="346">
        <v>3.5012000000000001E-2</v>
      </c>
      <c r="F283" s="339">
        <f>ROUND(((F282*SUM($C$10:C282))+(E283*C283))/SUM($C$10:C283),5)</f>
        <v>3.2329999999999998E-2</v>
      </c>
      <c r="G283" s="348">
        <v>104.9</v>
      </c>
      <c r="I283" s="335">
        <f t="shared" si="117"/>
        <v>35236</v>
      </c>
      <c r="J283" s="353">
        <v>35275</v>
      </c>
      <c r="K283" s="317">
        <f t="shared" si="111"/>
        <v>39</v>
      </c>
      <c r="M283" s="339">
        <v>3.415E-2</v>
      </c>
      <c r="N283" s="339">
        <f>ROUND(((N282*SUM($K$10:K282))+(M283*K283))/SUM($K$10:K283),5)</f>
        <v>3.1140000000000001E-2</v>
      </c>
      <c r="O283" s="351">
        <v>143.1</v>
      </c>
      <c r="Q283" s="335">
        <f t="shared" si="118"/>
        <v>35984</v>
      </c>
      <c r="R283" s="345">
        <v>36010</v>
      </c>
      <c r="S283" s="317">
        <f t="shared" si="112"/>
        <v>26</v>
      </c>
      <c r="U283" s="346">
        <v>3.6609999999999997E-2</v>
      </c>
      <c r="V283" s="339">
        <f>ROUND(((V282*SUM($S$10:S282))+(U283*S283))/SUM($S$10:S283),5)</f>
        <v>3.4509999999999999E-2</v>
      </c>
      <c r="W283" s="316">
        <v>119.2</v>
      </c>
      <c r="AH283" s="345"/>
      <c r="AS283" s="346"/>
      <c r="BB283" s="352"/>
      <c r="BC283" s="348"/>
      <c r="BE283" s="335">
        <f t="shared" si="113"/>
        <v>35465</v>
      </c>
      <c r="BF283" s="353">
        <v>35472</v>
      </c>
      <c r="BG283" s="317">
        <f t="shared" si="109"/>
        <v>7</v>
      </c>
      <c r="BH283" s="339">
        <v>3.2599999999999997E-2</v>
      </c>
      <c r="BI283" s="337">
        <f t="shared" si="120"/>
        <v>18756.16</v>
      </c>
      <c r="BO283" s="335">
        <f t="shared" si="114"/>
        <v>37413</v>
      </c>
      <c r="BP283" s="345">
        <v>37420</v>
      </c>
      <c r="BQ283" s="317">
        <f t="shared" si="106"/>
        <v>7</v>
      </c>
      <c r="BR283" s="347">
        <v>1.15E-2</v>
      </c>
      <c r="BS283" s="337">
        <f t="shared" si="107"/>
        <v>3749.3150679999999</v>
      </c>
      <c r="BX283" s="345"/>
      <c r="CE283" s="345"/>
      <c r="CH283" s="337"/>
      <c r="CL283" s="335">
        <f t="shared" si="115"/>
        <v>38351</v>
      </c>
      <c r="CM283" s="345">
        <v>38353</v>
      </c>
      <c r="CN283" s="317">
        <f t="shared" si="104"/>
        <v>2</v>
      </c>
      <c r="CO283" s="347">
        <v>1.9900000000000001E-2</v>
      </c>
      <c r="CP283" s="347"/>
      <c r="CQ283" s="347"/>
      <c r="CR283" s="347"/>
      <c r="CS283" s="347"/>
      <c r="CT283" s="347"/>
      <c r="CU283" s="347"/>
      <c r="CV283" s="337">
        <f t="shared" si="119"/>
        <v>9062.11</v>
      </c>
      <c r="CW283" s="341">
        <f>SUM(CV278:CV283)</f>
        <v>117420.37</v>
      </c>
    </row>
    <row r="284" spans="1:101" hidden="1" x14ac:dyDescent="0.25">
      <c r="A284" s="335">
        <f t="shared" si="116"/>
        <v>35954</v>
      </c>
      <c r="B284" s="345">
        <v>35955</v>
      </c>
      <c r="C284" s="317">
        <f t="shared" si="110"/>
        <v>1</v>
      </c>
      <c r="E284" s="346">
        <v>3.492E-2</v>
      </c>
      <c r="F284" s="339">
        <f>ROUND(((F283*SUM($C$10:C283))+(E284*C284))/SUM($C$10:C284),5)</f>
        <v>3.2329999999999998E-2</v>
      </c>
      <c r="G284" s="348">
        <v>108.9</v>
      </c>
      <c r="I284" s="335">
        <f t="shared" si="117"/>
        <v>35275</v>
      </c>
      <c r="J284" s="353">
        <v>35276</v>
      </c>
      <c r="K284" s="317">
        <f t="shared" si="111"/>
        <v>1</v>
      </c>
      <c r="M284" s="339">
        <v>3.4099999999999998E-2</v>
      </c>
      <c r="N284" s="339">
        <f>ROUND(((N283*SUM($K$10:K283))+(M284*K284))/SUM($K$10:K284),5)</f>
        <v>3.1140000000000001E-2</v>
      </c>
      <c r="O284" s="351">
        <v>139.9</v>
      </c>
      <c r="Q284" s="335">
        <f t="shared" si="118"/>
        <v>36010</v>
      </c>
      <c r="R284" s="345">
        <v>36039</v>
      </c>
      <c r="S284" s="317">
        <f t="shared" si="112"/>
        <v>29</v>
      </c>
      <c r="U284" s="346">
        <v>3.6600000000000001E-2</v>
      </c>
      <c r="V284" s="339">
        <f>ROUND(((V283*SUM($S$10:S283))+(U284*S284))/SUM($S$10:S284),5)</f>
        <v>3.4540000000000001E-2</v>
      </c>
      <c r="W284" s="316">
        <v>118.5</v>
      </c>
      <c r="AH284" s="345"/>
      <c r="AS284" s="346"/>
      <c r="BB284" s="352"/>
      <c r="BC284" s="348"/>
      <c r="BE284" s="335">
        <f t="shared" si="113"/>
        <v>35472</v>
      </c>
      <c r="BF284" s="353">
        <v>35479</v>
      </c>
      <c r="BG284" s="317">
        <f t="shared" si="109"/>
        <v>7</v>
      </c>
      <c r="BH284" s="339">
        <v>3.32E-2</v>
      </c>
      <c r="BI284" s="337">
        <f t="shared" si="120"/>
        <v>19101.37</v>
      </c>
      <c r="BO284" s="335">
        <f t="shared" si="114"/>
        <v>37420</v>
      </c>
      <c r="BP284" s="345">
        <v>37427</v>
      </c>
      <c r="BQ284" s="317">
        <f t="shared" si="106"/>
        <v>7</v>
      </c>
      <c r="BR284" s="347">
        <v>1.37E-2</v>
      </c>
      <c r="BS284" s="337">
        <f t="shared" si="107"/>
        <v>4466.5753420000001</v>
      </c>
      <c r="BX284" s="345"/>
      <c r="CE284" s="345"/>
      <c r="CH284" s="337"/>
      <c r="CL284" s="335">
        <f t="shared" si="115"/>
        <v>38353</v>
      </c>
      <c r="CM284" s="361">
        <v>38356</v>
      </c>
      <c r="CN284" s="317">
        <f t="shared" si="104"/>
        <v>3</v>
      </c>
      <c r="CO284" s="346">
        <v>1.9900000000000001E-2</v>
      </c>
      <c r="CP284" s="346"/>
      <c r="CQ284" s="346"/>
      <c r="CR284" s="346"/>
      <c r="CS284" s="346"/>
      <c r="CT284" s="346"/>
      <c r="CU284" s="346"/>
      <c r="CV284" s="337">
        <f t="shared" ref="CV284:CV290" si="121">ROUND($CR$5*CO284*CN284/365,2)</f>
        <v>13630.41</v>
      </c>
      <c r="CW284" s="341">
        <f>SUM(CV284:CV284)</f>
        <v>13630.41</v>
      </c>
    </row>
    <row r="285" spans="1:101" hidden="1" x14ac:dyDescent="0.25">
      <c r="A285" s="335">
        <f t="shared" si="116"/>
        <v>35955</v>
      </c>
      <c r="B285" s="345">
        <v>35956</v>
      </c>
      <c r="C285" s="317">
        <f t="shared" si="110"/>
        <v>1</v>
      </c>
      <c r="E285" s="346">
        <v>3.4923000000000003E-2</v>
      </c>
      <c r="F285" s="339">
        <f>ROUND(((F284*SUM($C$10:C284))+(E285*C285))/SUM($C$10:C285),5)</f>
        <v>3.2329999999999998E-2</v>
      </c>
      <c r="G285" s="348">
        <v>108.9</v>
      </c>
      <c r="I285" s="335">
        <f t="shared" si="117"/>
        <v>35276</v>
      </c>
      <c r="J285" s="353">
        <v>35278</v>
      </c>
      <c r="K285" s="317">
        <f t="shared" si="111"/>
        <v>2</v>
      </c>
      <c r="M285" s="339">
        <v>3.4229999999999997E-2</v>
      </c>
      <c r="N285" s="339">
        <f>ROUND(((N284*SUM($K$10:K284))+(M285*K285))/SUM($K$10:K285),5)</f>
        <v>3.1140000000000001E-2</v>
      </c>
      <c r="O285" s="351">
        <v>136.30000000000001</v>
      </c>
      <c r="Q285" s="335">
        <f t="shared" si="118"/>
        <v>36039</v>
      </c>
      <c r="R285" s="345">
        <v>36040</v>
      </c>
      <c r="S285" s="317">
        <f t="shared" si="112"/>
        <v>1</v>
      </c>
      <c r="U285" s="346">
        <v>3.6240000000000001E-2</v>
      </c>
      <c r="V285" s="339">
        <f>ROUND(((V284*SUM($S$10:S284))+(U285*S285))/SUM($S$10:S285),5)</f>
        <v>3.4540000000000001E-2</v>
      </c>
      <c r="W285" s="316">
        <v>111.9</v>
      </c>
      <c r="AH285" s="345"/>
      <c r="AS285" s="346"/>
      <c r="BB285" s="352"/>
      <c r="BC285" s="348"/>
      <c r="BE285" s="335">
        <f t="shared" si="113"/>
        <v>35479</v>
      </c>
      <c r="BF285" s="353">
        <v>35486</v>
      </c>
      <c r="BG285" s="317">
        <f t="shared" si="109"/>
        <v>7</v>
      </c>
      <c r="BH285" s="339">
        <v>3.3300000000000003E-2</v>
      </c>
      <c r="BI285" s="337">
        <f t="shared" si="120"/>
        <v>19158.900000000001</v>
      </c>
      <c r="BO285" s="335">
        <f t="shared" si="114"/>
        <v>37427</v>
      </c>
      <c r="BP285" s="345">
        <v>37434</v>
      </c>
      <c r="BQ285" s="317">
        <f t="shared" si="106"/>
        <v>7</v>
      </c>
      <c r="BR285" s="347">
        <v>1.38E-2</v>
      </c>
      <c r="BS285" s="337">
        <f t="shared" si="107"/>
        <v>4499.1780820000004</v>
      </c>
      <c r="BX285" s="345"/>
      <c r="CE285" s="345"/>
      <c r="CH285" s="337"/>
      <c r="CL285" s="335">
        <f t="shared" si="115"/>
        <v>38356</v>
      </c>
      <c r="CM285" s="361">
        <v>38358</v>
      </c>
      <c r="CN285" s="317">
        <f t="shared" si="104"/>
        <v>2</v>
      </c>
      <c r="CO285" s="346">
        <v>1.9900000000000001E-2</v>
      </c>
      <c r="CP285" s="346"/>
      <c r="CQ285" s="346"/>
      <c r="CR285" s="346"/>
      <c r="CS285" s="346"/>
      <c r="CT285" s="346"/>
      <c r="CU285" s="346"/>
      <c r="CV285" s="337">
        <f t="shared" si="121"/>
        <v>9086.94</v>
      </c>
    </row>
    <row r="286" spans="1:101" hidden="1" x14ac:dyDescent="0.25">
      <c r="A286" s="335">
        <f t="shared" si="116"/>
        <v>35956</v>
      </c>
      <c r="B286" s="345">
        <v>35957</v>
      </c>
      <c r="C286" s="317">
        <f t="shared" si="110"/>
        <v>1</v>
      </c>
      <c r="E286" s="346">
        <v>3.4923000000000003E-2</v>
      </c>
      <c r="F286" s="339">
        <f>ROUND(((F285*SUM($C$10:C285))+(E286*C286))/SUM($C$10:C286),5)</f>
        <v>3.2329999999999998E-2</v>
      </c>
      <c r="G286" s="348">
        <v>108.9</v>
      </c>
      <c r="I286" s="335">
        <f t="shared" si="117"/>
        <v>35278</v>
      </c>
      <c r="J286" s="353">
        <v>35284</v>
      </c>
      <c r="K286" s="317">
        <f t="shared" si="111"/>
        <v>6</v>
      </c>
      <c r="M286" s="339">
        <v>3.4790000000000001E-2</v>
      </c>
      <c r="N286" s="339">
        <f>ROUND(((N285*SUM($K$10:K285))+(M286*K286))/SUM($K$10:K286),5)</f>
        <v>3.116E-2</v>
      </c>
      <c r="O286" s="351">
        <v>128.1</v>
      </c>
      <c r="Q286" s="335">
        <f t="shared" si="118"/>
        <v>36040</v>
      </c>
      <c r="R286" s="345">
        <v>36041</v>
      </c>
      <c r="S286" s="317">
        <f t="shared" si="112"/>
        <v>1</v>
      </c>
      <c r="U286" s="346">
        <v>3.6150000000000002E-2</v>
      </c>
      <c r="V286" s="339">
        <f>ROUND(((V285*SUM($S$10:S285))+(U286*S286))/SUM($S$10:S286),5)</f>
        <v>3.4540000000000001E-2</v>
      </c>
      <c r="W286" s="316">
        <v>113.2</v>
      </c>
      <c r="AH286" s="345"/>
      <c r="AS286" s="346"/>
      <c r="BB286" s="352"/>
      <c r="BC286" s="348"/>
      <c r="BE286" s="335">
        <f t="shared" si="113"/>
        <v>35486</v>
      </c>
      <c r="BF286" s="353">
        <v>35490</v>
      </c>
      <c r="BG286" s="317">
        <f t="shared" si="109"/>
        <v>4</v>
      </c>
      <c r="BH286" s="339">
        <v>3.3399999999999999E-2</v>
      </c>
      <c r="BI286" s="337">
        <f t="shared" si="120"/>
        <v>10980.82</v>
      </c>
      <c r="BJ286" s="341">
        <f>SUM(BI282:BI286)</f>
        <v>76701.360000000015</v>
      </c>
      <c r="BK286" s="337">
        <v>77374.320000000007</v>
      </c>
      <c r="BL286" s="341">
        <f>BJ286-BK286</f>
        <v>-672.95999999999185</v>
      </c>
      <c r="BM286" s="341">
        <f>BM281+BL286</f>
        <v>11444.110000000004</v>
      </c>
      <c r="BO286" s="335">
        <f t="shared" si="114"/>
        <v>37434</v>
      </c>
      <c r="BP286" s="345">
        <v>37438</v>
      </c>
      <c r="BQ286" s="317">
        <f t="shared" si="106"/>
        <v>4</v>
      </c>
      <c r="BR286" s="347">
        <v>1.23E-2</v>
      </c>
      <c r="BS286" s="337">
        <f t="shared" si="107"/>
        <v>2291.5068489999999</v>
      </c>
      <c r="BT286" s="341">
        <f>SUM(BS282:BS286)</f>
        <v>18266.849313999999</v>
      </c>
      <c r="BX286" s="345"/>
      <c r="CE286" s="345"/>
      <c r="CH286" s="337"/>
      <c r="CL286" s="335">
        <f t="shared" si="115"/>
        <v>38358</v>
      </c>
      <c r="CM286" s="361">
        <v>38365</v>
      </c>
      <c r="CN286" s="317">
        <f t="shared" si="104"/>
        <v>7</v>
      </c>
      <c r="CO286" s="346">
        <v>1.4800000000000001E-2</v>
      </c>
      <c r="CP286" s="346"/>
      <c r="CQ286" s="346"/>
      <c r="CR286" s="346"/>
      <c r="CS286" s="346"/>
      <c r="CT286" s="346"/>
      <c r="CU286" s="346"/>
      <c r="CV286" s="337">
        <f t="shared" si="121"/>
        <v>23653.439999999999</v>
      </c>
    </row>
    <row r="287" spans="1:101" hidden="1" x14ac:dyDescent="0.25">
      <c r="A287" s="335">
        <f t="shared" si="116"/>
        <v>35957</v>
      </c>
      <c r="B287" s="345">
        <v>35971</v>
      </c>
      <c r="C287" s="317">
        <f t="shared" si="110"/>
        <v>14</v>
      </c>
      <c r="E287" s="346">
        <v>3.5001999999999998E-2</v>
      </c>
      <c r="F287" s="339">
        <f>ROUND(((F286*SUM($C$10:C286))+(E287*C287))/SUM($C$10:C287),5)</f>
        <v>3.2349999999999997E-2</v>
      </c>
      <c r="G287" s="348">
        <v>114.6</v>
      </c>
      <c r="I287" s="335">
        <f t="shared" si="117"/>
        <v>35284</v>
      </c>
      <c r="J287" s="353">
        <v>35286</v>
      </c>
      <c r="K287" s="317">
        <f t="shared" si="111"/>
        <v>2</v>
      </c>
      <c r="M287" s="339">
        <v>3.5069999999999997E-2</v>
      </c>
      <c r="N287" s="339">
        <f>ROUND(((N286*SUM($K$10:K286))+(M287*K287))/SUM($K$10:K287),5)</f>
        <v>3.117E-2</v>
      </c>
      <c r="O287" s="351">
        <v>124</v>
      </c>
      <c r="Q287" s="335">
        <f t="shared" si="118"/>
        <v>36041</v>
      </c>
      <c r="R287" s="345">
        <v>36042</v>
      </c>
      <c r="S287" s="317">
        <f t="shared" si="112"/>
        <v>1</v>
      </c>
      <c r="U287" s="346">
        <v>3.5520000000000003E-2</v>
      </c>
      <c r="V287" s="339">
        <f>ROUND(((V286*SUM($S$10:S286))+(U287*S287))/SUM($S$10:S287),5)</f>
        <v>3.4540000000000001E-2</v>
      </c>
      <c r="W287" s="316">
        <v>113.9</v>
      </c>
      <c r="AH287" s="345"/>
      <c r="AS287" s="346"/>
      <c r="BB287" s="352"/>
      <c r="BC287" s="348"/>
      <c r="BE287" s="335">
        <f t="shared" si="113"/>
        <v>35490</v>
      </c>
      <c r="BF287" s="353">
        <v>35493</v>
      </c>
      <c r="BG287" s="317">
        <f t="shared" si="109"/>
        <v>3</v>
      </c>
      <c r="BH287" s="339">
        <v>3.3399999999999999E-2</v>
      </c>
      <c r="BI287" s="337">
        <f t="shared" si="120"/>
        <v>8235.6200000000008</v>
      </c>
      <c r="BO287" s="335">
        <f t="shared" si="114"/>
        <v>37438</v>
      </c>
      <c r="BP287" s="345">
        <v>37441</v>
      </c>
      <c r="BQ287" s="317">
        <f t="shared" si="106"/>
        <v>3</v>
      </c>
      <c r="BR287" s="347">
        <v>1.23E-2</v>
      </c>
      <c r="BS287" s="337">
        <f t="shared" si="107"/>
        <v>1718.6301370000001</v>
      </c>
      <c r="BX287" s="345"/>
      <c r="CE287" s="345"/>
      <c r="CH287" s="337"/>
      <c r="CL287" s="335">
        <f t="shared" si="115"/>
        <v>38365</v>
      </c>
      <c r="CM287" s="361">
        <v>38372</v>
      </c>
      <c r="CN287" s="317">
        <f t="shared" si="104"/>
        <v>7</v>
      </c>
      <c r="CO287" s="346">
        <v>1.78E-2</v>
      </c>
      <c r="CP287" s="346"/>
      <c r="CQ287" s="346"/>
      <c r="CR287" s="346"/>
      <c r="CS287" s="346"/>
      <c r="CT287" s="346"/>
      <c r="CU287" s="346"/>
      <c r="CV287" s="337">
        <f t="shared" si="121"/>
        <v>28448.06</v>
      </c>
    </row>
    <row r="288" spans="1:101" hidden="1" x14ac:dyDescent="0.25">
      <c r="A288" s="335">
        <f t="shared" si="116"/>
        <v>35971</v>
      </c>
      <c r="B288" s="345">
        <v>35990</v>
      </c>
      <c r="C288" s="317">
        <f t="shared" si="110"/>
        <v>19</v>
      </c>
      <c r="E288" s="346">
        <v>3.5032000000000001E-2</v>
      </c>
      <c r="F288" s="339">
        <f>ROUND(((F287*SUM($C$10:C287))+(E288*C288))/SUM($C$10:C288),5)</f>
        <v>3.2370000000000003E-2</v>
      </c>
      <c r="G288" s="348">
        <v>110.3</v>
      </c>
      <c r="I288" s="335">
        <f t="shared" si="117"/>
        <v>35286</v>
      </c>
      <c r="J288" s="353">
        <v>35290</v>
      </c>
      <c r="K288" s="317">
        <f t="shared" si="111"/>
        <v>4</v>
      </c>
      <c r="M288" s="339">
        <v>3.5580000000000001E-2</v>
      </c>
      <c r="N288" s="339">
        <f>ROUND(((N287*SUM($K$10:K287))+(M288*K288))/SUM($K$10:K288),5)</f>
        <v>3.1179999999999999E-2</v>
      </c>
      <c r="O288" s="351">
        <v>113.6</v>
      </c>
      <c r="Q288" s="335">
        <f t="shared" si="118"/>
        <v>36042</v>
      </c>
      <c r="R288" s="345">
        <v>36047</v>
      </c>
      <c r="S288" s="317">
        <f t="shared" si="112"/>
        <v>5</v>
      </c>
      <c r="U288" s="346">
        <v>3.4750000000000003E-2</v>
      </c>
      <c r="V288" s="339">
        <f>ROUND(((V287*SUM($S$10:S287))+(U288*S288))/SUM($S$10:S288),5)</f>
        <v>3.4540000000000001E-2</v>
      </c>
      <c r="W288" s="348">
        <v>103</v>
      </c>
      <c r="AH288" s="345"/>
      <c r="AS288" s="346"/>
      <c r="BB288" s="352"/>
      <c r="BC288" s="348"/>
      <c r="BE288" s="335">
        <f t="shared" si="113"/>
        <v>35493</v>
      </c>
      <c r="BF288" s="353">
        <v>35500</v>
      </c>
      <c r="BG288" s="317">
        <f t="shared" si="109"/>
        <v>7</v>
      </c>
      <c r="BH288" s="339">
        <v>3.15E-2</v>
      </c>
      <c r="BI288" s="337">
        <f t="shared" si="120"/>
        <v>18123.29</v>
      </c>
      <c r="BO288" s="335">
        <f t="shared" si="114"/>
        <v>37441</v>
      </c>
      <c r="BP288" s="345">
        <v>37448</v>
      </c>
      <c r="BQ288" s="317">
        <f t="shared" si="106"/>
        <v>7</v>
      </c>
      <c r="BR288" s="347">
        <v>1.09E-2</v>
      </c>
      <c r="BS288" s="337">
        <f t="shared" si="107"/>
        <v>3553.6986299999999</v>
      </c>
      <c r="BX288" s="345"/>
      <c r="CE288" s="345"/>
      <c r="CH288" s="337"/>
      <c r="CL288" s="335">
        <f t="shared" si="115"/>
        <v>38372</v>
      </c>
      <c r="CM288" s="361">
        <v>38379</v>
      </c>
      <c r="CN288" s="317">
        <f t="shared" si="104"/>
        <v>7</v>
      </c>
      <c r="CO288" s="346">
        <v>1.8499999999999999E-2</v>
      </c>
      <c r="CP288" s="346"/>
      <c r="CQ288" s="346"/>
      <c r="CR288" s="346"/>
      <c r="CS288" s="346"/>
      <c r="CT288" s="346"/>
      <c r="CU288" s="346"/>
      <c r="CV288" s="337">
        <f t="shared" si="121"/>
        <v>29566.799999999999</v>
      </c>
    </row>
    <row r="289" spans="1:101" hidden="1" x14ac:dyDescent="0.25">
      <c r="A289" s="335">
        <f t="shared" si="116"/>
        <v>35990</v>
      </c>
      <c r="B289" s="345">
        <v>36005</v>
      </c>
      <c r="C289" s="317">
        <f t="shared" si="110"/>
        <v>15</v>
      </c>
      <c r="E289" s="346">
        <v>3.5007999999999997E-2</v>
      </c>
      <c r="F289" s="339">
        <f>ROUND(((F288*SUM($C$10:C288))+(E289*C289))/SUM($C$10:C289),5)</f>
        <v>3.2390000000000002E-2</v>
      </c>
      <c r="G289" s="348">
        <v>111.1</v>
      </c>
      <c r="I289" s="335">
        <f t="shared" si="117"/>
        <v>35290</v>
      </c>
      <c r="J289" s="353">
        <v>35304</v>
      </c>
      <c r="K289" s="317">
        <f t="shared" si="111"/>
        <v>14</v>
      </c>
      <c r="M289" s="339">
        <v>3.5880000000000002E-2</v>
      </c>
      <c r="N289" s="339">
        <f>ROUND(((N288*SUM($K$10:K288))+(M289*K289))/SUM($K$10:K289),5)</f>
        <v>3.1230000000000001E-2</v>
      </c>
      <c r="O289" s="351">
        <v>106.7</v>
      </c>
      <c r="Q289" s="335">
        <f t="shared" si="118"/>
        <v>36047</v>
      </c>
      <c r="R289" s="345">
        <v>36048</v>
      </c>
      <c r="S289" s="317">
        <f t="shared" si="112"/>
        <v>1</v>
      </c>
      <c r="U289" s="346">
        <v>3.4520000000000002E-2</v>
      </c>
      <c r="V289" s="339">
        <f>ROUND(((V288*SUM($S$10:S288))+(U289*S289))/SUM($S$10:S289),5)</f>
        <v>3.4540000000000001E-2</v>
      </c>
      <c r="W289" s="316">
        <v>100.1</v>
      </c>
      <c r="AH289" s="345"/>
      <c r="AS289" s="346"/>
      <c r="BB289" s="352"/>
      <c r="BC289" s="348"/>
      <c r="BE289" s="335">
        <f t="shared" si="113"/>
        <v>35500</v>
      </c>
      <c r="BF289" s="353">
        <v>35507</v>
      </c>
      <c r="BG289" s="317">
        <f t="shared" si="109"/>
        <v>7</v>
      </c>
      <c r="BH289" s="339">
        <v>3.09E-2</v>
      </c>
      <c r="BI289" s="337">
        <f t="shared" si="120"/>
        <v>17778.080000000002</v>
      </c>
      <c r="BO289" s="335">
        <f t="shared" si="114"/>
        <v>37448</v>
      </c>
      <c r="BP289" s="345">
        <v>37455</v>
      </c>
      <c r="BQ289" s="317">
        <f t="shared" si="106"/>
        <v>7</v>
      </c>
      <c r="BR289" s="347">
        <v>1.2200000000000001E-2</v>
      </c>
      <c r="BS289" s="337">
        <f t="shared" si="107"/>
        <v>3977.5342470000001</v>
      </c>
      <c r="BX289" s="345"/>
      <c r="CE289" s="345"/>
      <c r="CH289" s="337"/>
      <c r="CL289" s="335">
        <f t="shared" si="115"/>
        <v>38379</v>
      </c>
      <c r="CM289" s="361">
        <v>38384</v>
      </c>
      <c r="CN289" s="317">
        <f t="shared" si="104"/>
        <v>5</v>
      </c>
      <c r="CO289" s="346">
        <v>1.84E-2</v>
      </c>
      <c r="CP289" s="346"/>
      <c r="CQ289" s="346"/>
      <c r="CR289" s="346"/>
      <c r="CS289" s="346"/>
      <c r="CT289" s="346"/>
      <c r="CU289" s="346"/>
      <c r="CV289" s="337">
        <f t="shared" si="121"/>
        <v>21004.99</v>
      </c>
      <c r="CW289" s="341">
        <f>SUM(CV285:CV289)</f>
        <v>111760.23000000001</v>
      </c>
    </row>
    <row r="290" spans="1:101" hidden="1" x14ac:dyDescent="0.25">
      <c r="A290" s="335">
        <f>B289</f>
        <v>36005</v>
      </c>
      <c r="B290" s="345">
        <v>36006</v>
      </c>
      <c r="C290" s="317">
        <f t="shared" si="110"/>
        <v>1</v>
      </c>
      <c r="E290" s="346">
        <v>3.5039000000000001E-2</v>
      </c>
      <c r="F290" s="339">
        <f>ROUND(((F289*SUM($C$10:C289))+(E290*C290))/SUM($C$10:C290),5)</f>
        <v>3.2390000000000002E-2</v>
      </c>
      <c r="G290" s="348">
        <v>116.2</v>
      </c>
      <c r="I290" s="335">
        <f>J289</f>
        <v>35304</v>
      </c>
      <c r="J290" s="353">
        <v>35314</v>
      </c>
      <c r="K290" s="317">
        <f t="shared" si="111"/>
        <v>10</v>
      </c>
      <c r="M290" s="339">
        <v>3.5889999999999998E-2</v>
      </c>
      <c r="N290" s="339">
        <f>ROUND(((N289*SUM($K$10:K289))+(M290*K290))/SUM($K$10:K290),5)</f>
        <v>3.1260000000000003E-2</v>
      </c>
      <c r="O290" s="351">
        <v>99.1</v>
      </c>
      <c r="Q290" s="335">
        <f>R289</f>
        <v>36048</v>
      </c>
      <c r="R290" s="345">
        <v>36049</v>
      </c>
      <c r="S290" s="317">
        <f t="shared" si="112"/>
        <v>1</v>
      </c>
      <c r="U290" s="346">
        <v>3.4360000000000002E-2</v>
      </c>
      <c r="V290" s="339">
        <f>ROUND(((V289*SUM($S$10:S289))+(U290*S290))/SUM($S$10:S290),5)</f>
        <v>3.4540000000000001E-2</v>
      </c>
      <c r="W290" s="316">
        <v>96.1</v>
      </c>
      <c r="AH290" s="345"/>
      <c r="AS290" s="346"/>
      <c r="BB290" s="352"/>
      <c r="BC290" s="348"/>
      <c r="BE290" s="335">
        <f>BF289</f>
        <v>35507</v>
      </c>
      <c r="BF290" s="353">
        <v>35514</v>
      </c>
      <c r="BG290" s="317">
        <f t="shared" si="109"/>
        <v>7</v>
      </c>
      <c r="BH290" s="339">
        <v>3.2399999999999998E-2</v>
      </c>
      <c r="BI290" s="337">
        <f t="shared" si="120"/>
        <v>18641.099999999999</v>
      </c>
      <c r="BO290" s="335">
        <f>BP289</f>
        <v>37455</v>
      </c>
      <c r="BP290" s="345">
        <v>37462</v>
      </c>
      <c r="BQ290" s="317">
        <f t="shared" si="106"/>
        <v>7</v>
      </c>
      <c r="BR290" s="347">
        <v>1.3299999999999999E-2</v>
      </c>
      <c r="BS290" s="337">
        <f t="shared" si="107"/>
        <v>4336.1643839999997</v>
      </c>
      <c r="BX290" s="345"/>
      <c r="CE290" s="345"/>
      <c r="CH290" s="337"/>
      <c r="CL290" s="335">
        <f>CM289</f>
        <v>38384</v>
      </c>
      <c r="CM290" s="361">
        <v>38386</v>
      </c>
      <c r="CN290" s="317">
        <f t="shared" si="104"/>
        <v>2</v>
      </c>
      <c r="CO290" s="346">
        <v>1.84E-2</v>
      </c>
      <c r="CP290" s="346"/>
      <c r="CQ290" s="346"/>
      <c r="CR290" s="346"/>
      <c r="CS290" s="346"/>
      <c r="CT290" s="346"/>
      <c r="CU290" s="346"/>
      <c r="CV290" s="337">
        <f t="shared" si="121"/>
        <v>8401.99</v>
      </c>
    </row>
    <row r="291" spans="1:101" hidden="1" x14ac:dyDescent="0.25">
      <c r="A291" s="335">
        <f t="shared" si="116"/>
        <v>36006</v>
      </c>
      <c r="B291" s="345">
        <v>36007</v>
      </c>
      <c r="C291" s="317">
        <f t="shared" si="110"/>
        <v>1</v>
      </c>
      <c r="E291" s="346">
        <v>3.4903000000000003E-2</v>
      </c>
      <c r="F291" s="339">
        <f>ROUND(((F290*SUM($C$10:C290))+(E291*C291))/SUM($C$10:C291),5)</f>
        <v>3.2390000000000002E-2</v>
      </c>
      <c r="G291" s="348">
        <v>106.3</v>
      </c>
      <c r="I291" s="335">
        <f t="shared" si="117"/>
        <v>35314</v>
      </c>
      <c r="J291" s="353">
        <v>35318</v>
      </c>
      <c r="K291" s="317">
        <f t="shared" si="111"/>
        <v>4</v>
      </c>
      <c r="M291" s="339">
        <v>3.5900000000000001E-2</v>
      </c>
      <c r="N291" s="339">
        <f>ROUND(((N290*SUM($K$10:K290))+(M291*K291))/SUM($K$10:K291),5)</f>
        <v>3.1269999999999999E-2</v>
      </c>
      <c r="O291" s="351">
        <v>100.3</v>
      </c>
      <c r="Q291" s="335">
        <f t="shared" si="118"/>
        <v>36049</v>
      </c>
      <c r="R291" s="345">
        <v>36074</v>
      </c>
      <c r="S291" s="317">
        <f t="shared" si="112"/>
        <v>25</v>
      </c>
      <c r="U291" s="346">
        <v>3.3660000000000002E-2</v>
      </c>
      <c r="V291" s="339">
        <f>ROUND(((V290*SUM($S$10:S290))+(U291*S291))/SUM($S$10:S291),5)</f>
        <v>3.4529999999999998E-2</v>
      </c>
      <c r="W291" s="316">
        <v>88.3</v>
      </c>
      <c r="AH291" s="345"/>
      <c r="AS291" s="346"/>
      <c r="BB291" s="352"/>
      <c r="BC291" s="348"/>
      <c r="BE291" s="335">
        <f t="shared" si="113"/>
        <v>35514</v>
      </c>
      <c r="BF291" s="353">
        <v>35521</v>
      </c>
      <c r="BG291" s="317">
        <f t="shared" si="109"/>
        <v>7</v>
      </c>
      <c r="BH291" s="339">
        <v>3.4599999999999999E-2</v>
      </c>
      <c r="BI291" s="337">
        <f t="shared" si="120"/>
        <v>19906.849999999999</v>
      </c>
      <c r="BJ291" s="341">
        <f>SUM(BI287:BI291)</f>
        <v>82684.94</v>
      </c>
      <c r="BK291" s="362">
        <v>84483.61</v>
      </c>
      <c r="BL291" s="341">
        <f>BJ291-BK291</f>
        <v>-1798.6699999999983</v>
      </c>
      <c r="BM291" s="341">
        <f>BM286+BL291</f>
        <v>9645.440000000006</v>
      </c>
      <c r="BO291" s="335">
        <f t="shared" si="114"/>
        <v>37462</v>
      </c>
      <c r="BP291" s="345">
        <v>37469</v>
      </c>
      <c r="BQ291" s="317">
        <f t="shared" si="106"/>
        <v>7</v>
      </c>
      <c r="BR291" s="347">
        <v>1.44E-2</v>
      </c>
      <c r="BS291" s="337">
        <f t="shared" si="107"/>
        <v>4694.7945209999998</v>
      </c>
      <c r="BT291" s="341">
        <f>SUM(BS287:BS291)</f>
        <v>18280.821919000002</v>
      </c>
      <c r="BX291" s="345"/>
      <c r="CE291" s="345"/>
      <c r="CH291" s="337"/>
      <c r="CL291" s="335">
        <f t="shared" si="115"/>
        <v>38386</v>
      </c>
      <c r="CM291" s="361">
        <v>38393</v>
      </c>
      <c r="CN291" s="317">
        <f t="shared" si="104"/>
        <v>7</v>
      </c>
      <c r="CO291" s="346">
        <v>1.8200000000000001E-2</v>
      </c>
      <c r="CP291" s="346"/>
      <c r="CQ291" s="346"/>
      <c r="CR291" s="346"/>
      <c r="CS291" s="346"/>
      <c r="CT291" s="346"/>
      <c r="CU291" s="346"/>
      <c r="CV291" s="337">
        <f>ROUND($CR$5*CO291*CN291/365,1)</f>
        <v>29087.3</v>
      </c>
    </row>
    <row r="292" spans="1:101" hidden="1" x14ac:dyDescent="0.25">
      <c r="A292" s="335">
        <f t="shared" si="116"/>
        <v>36007</v>
      </c>
      <c r="B292" s="345">
        <v>36010</v>
      </c>
      <c r="C292" s="317">
        <f t="shared" si="110"/>
        <v>3</v>
      </c>
      <c r="E292" s="346">
        <v>3.4914000000000001E-2</v>
      </c>
      <c r="F292" s="339">
        <f>ROUND(((F291*SUM($C$10:C291))+(E292*C292))/SUM($C$10:C292),5)</f>
        <v>3.2390000000000002E-2</v>
      </c>
      <c r="G292" s="348">
        <v>106.7</v>
      </c>
      <c r="I292" s="335">
        <f t="shared" si="117"/>
        <v>35318</v>
      </c>
      <c r="J292" s="353">
        <v>35321</v>
      </c>
      <c r="K292" s="317">
        <f t="shared" si="111"/>
        <v>3</v>
      </c>
      <c r="M292" s="339">
        <v>3.61E-2</v>
      </c>
      <c r="N292" s="339">
        <f>ROUND(((N291*SUM($K$10:K291))+(M292*K292))/SUM($K$10:K292),5)</f>
        <v>3.1280000000000002E-2</v>
      </c>
      <c r="O292" s="351">
        <v>89.5</v>
      </c>
      <c r="Q292" s="335">
        <f t="shared" si="118"/>
        <v>36074</v>
      </c>
      <c r="R292" s="345">
        <v>36082</v>
      </c>
      <c r="S292" s="317">
        <f t="shared" si="112"/>
        <v>8</v>
      </c>
      <c r="U292" s="346">
        <v>3.3660000000000002E-2</v>
      </c>
      <c r="V292" s="339">
        <f>ROUND(((V291*SUM($S$10:S291))+(U292*S292))/SUM($S$10:S292),5)</f>
        <v>3.4529999999999998E-2</v>
      </c>
      <c r="W292" s="316">
        <v>88.3</v>
      </c>
      <c r="AH292" s="345"/>
      <c r="AS292" s="346"/>
      <c r="BB292" s="352"/>
      <c r="BC292" s="348"/>
      <c r="BE292" s="335">
        <f t="shared" si="113"/>
        <v>35521</v>
      </c>
      <c r="BF292" s="353">
        <v>35528</v>
      </c>
      <c r="BG292" s="317">
        <f t="shared" si="109"/>
        <v>7</v>
      </c>
      <c r="BH292" s="339">
        <v>3.4000000000000002E-2</v>
      </c>
      <c r="BI292" s="337">
        <f t="shared" si="120"/>
        <v>19561.64</v>
      </c>
      <c r="BO292" s="335">
        <f t="shared" si="114"/>
        <v>37469</v>
      </c>
      <c r="BP292" s="345">
        <v>37476</v>
      </c>
      <c r="BQ292" s="317">
        <f t="shared" si="106"/>
        <v>7</v>
      </c>
      <c r="BR292" s="347">
        <v>1.3299999999999999E-2</v>
      </c>
      <c r="BS292" s="337">
        <f t="shared" si="107"/>
        <v>4336.1643839999997</v>
      </c>
      <c r="BX292" s="345"/>
      <c r="CE292" s="345"/>
      <c r="CH292" s="337"/>
      <c r="CL292" s="335">
        <f t="shared" si="115"/>
        <v>38393</v>
      </c>
      <c r="CM292" s="361">
        <v>38400</v>
      </c>
      <c r="CN292" s="317">
        <f t="shared" si="104"/>
        <v>7</v>
      </c>
      <c r="CO292" s="346">
        <v>1.95E-2</v>
      </c>
      <c r="CP292" s="346"/>
      <c r="CQ292" s="346"/>
      <c r="CR292" s="346"/>
      <c r="CS292" s="346"/>
      <c r="CT292" s="346"/>
      <c r="CU292" s="346"/>
      <c r="CV292" s="337">
        <f>ROUND($CR$5*CO292*CN292/365,1)</f>
        <v>31165</v>
      </c>
    </row>
    <row r="293" spans="1:101" hidden="1" x14ac:dyDescent="0.25">
      <c r="A293" s="335">
        <f t="shared" si="116"/>
        <v>36010</v>
      </c>
      <c r="B293" s="345">
        <v>36017</v>
      </c>
      <c r="C293" s="317">
        <f t="shared" si="110"/>
        <v>7</v>
      </c>
      <c r="E293" s="346">
        <v>3.4841999999999998E-2</v>
      </c>
      <c r="F293" s="339">
        <f>ROUND(((F292*SUM($C$10:C292))+(E293*C293))/SUM($C$10:C293),5)</f>
        <v>3.2399999999999998E-2</v>
      </c>
      <c r="G293" s="348">
        <v>113.5</v>
      </c>
      <c r="I293" s="335">
        <f t="shared" si="117"/>
        <v>35321</v>
      </c>
      <c r="J293" s="353">
        <v>35328</v>
      </c>
      <c r="K293" s="317">
        <f t="shared" si="111"/>
        <v>7</v>
      </c>
      <c r="M293" s="339">
        <v>3.6069999999999998E-2</v>
      </c>
      <c r="N293" s="339">
        <f>ROUND(((N292*SUM($K$10:K292))+(M293*K293))/SUM($K$10:K293),5)</f>
        <v>3.1300000000000001E-2</v>
      </c>
      <c r="O293" s="351">
        <v>86.7</v>
      </c>
      <c r="Q293" s="335">
        <f t="shared" si="118"/>
        <v>36082</v>
      </c>
      <c r="R293" s="345">
        <v>36101</v>
      </c>
      <c r="S293" s="317">
        <f t="shared" si="112"/>
        <v>19</v>
      </c>
      <c r="U293" s="346">
        <v>3.356E-2</v>
      </c>
      <c r="V293" s="339">
        <f>ROUND(((V292*SUM($S$10:S292))+(U293*S293))/SUM($S$10:S293),5)</f>
        <v>3.4520000000000002E-2</v>
      </c>
      <c r="W293" s="316">
        <v>88.3</v>
      </c>
      <c r="AH293" s="345"/>
      <c r="AS293" s="346"/>
      <c r="BB293" s="352"/>
      <c r="BC293" s="348"/>
      <c r="BE293" s="335">
        <f t="shared" si="113"/>
        <v>35528</v>
      </c>
      <c r="BF293" s="353">
        <v>35535</v>
      </c>
      <c r="BG293" s="317">
        <f t="shared" si="109"/>
        <v>7</v>
      </c>
      <c r="BH293" s="339">
        <v>3.5000000000000003E-2</v>
      </c>
      <c r="BI293" s="337">
        <f t="shared" si="120"/>
        <v>20136.990000000002</v>
      </c>
      <c r="BO293" s="335">
        <f t="shared" si="114"/>
        <v>37476</v>
      </c>
      <c r="BP293" s="345">
        <v>37483</v>
      </c>
      <c r="BQ293" s="317">
        <f t="shared" si="106"/>
        <v>7</v>
      </c>
      <c r="BR293" s="347">
        <v>1.21E-2</v>
      </c>
      <c r="BS293" s="337">
        <f t="shared" si="107"/>
        <v>3944.9315069999998</v>
      </c>
      <c r="BX293" s="345"/>
      <c r="CE293" s="345"/>
      <c r="CH293" s="337"/>
      <c r="CL293" s="335">
        <f t="shared" si="115"/>
        <v>38400</v>
      </c>
      <c r="CM293" s="361">
        <v>38407</v>
      </c>
      <c r="CN293" s="317">
        <f t="shared" si="104"/>
        <v>7</v>
      </c>
      <c r="CO293" s="346">
        <v>1.9300000000000001E-2</v>
      </c>
      <c r="CP293" s="346"/>
      <c r="CQ293" s="346"/>
      <c r="CR293" s="346"/>
      <c r="CS293" s="346"/>
      <c r="CT293" s="346"/>
      <c r="CU293" s="346"/>
      <c r="CV293" s="337">
        <f>ROUND($CR$5*CO293*CN293/365,2)</f>
        <v>30845.37</v>
      </c>
    </row>
    <row r="294" spans="1:101" hidden="1" x14ac:dyDescent="0.25">
      <c r="A294" s="335">
        <f t="shared" si="116"/>
        <v>36017</v>
      </c>
      <c r="B294" s="345">
        <v>36018</v>
      </c>
      <c r="C294" s="317">
        <f t="shared" si="110"/>
        <v>1</v>
      </c>
      <c r="E294" s="346">
        <v>3.4973999999999998E-2</v>
      </c>
      <c r="F294" s="339">
        <f>ROUND(((F293*SUM($C$10:C293))+(E294*C294))/SUM($C$10:C294),5)</f>
        <v>3.2399999999999998E-2</v>
      </c>
      <c r="G294" s="348">
        <v>102.2</v>
      </c>
      <c r="I294" s="335">
        <f t="shared" si="117"/>
        <v>35328</v>
      </c>
      <c r="J294" s="353">
        <v>35331</v>
      </c>
      <c r="K294" s="317">
        <f t="shared" si="111"/>
        <v>3</v>
      </c>
      <c r="M294" s="339">
        <v>3.6089999999999997E-2</v>
      </c>
      <c r="N294" s="339">
        <f>ROUND(((N293*SUM($K$10:K293))+(M294*K294))/SUM($K$10:K294),5)</f>
        <v>3.1309999999999998E-2</v>
      </c>
      <c r="O294" s="351">
        <v>84</v>
      </c>
      <c r="Q294" s="335">
        <f t="shared" si="118"/>
        <v>36101</v>
      </c>
      <c r="R294" s="345">
        <v>36102</v>
      </c>
      <c r="S294" s="317">
        <f t="shared" si="112"/>
        <v>1</v>
      </c>
      <c r="U294" s="346">
        <v>3.3619999999999997E-2</v>
      </c>
      <c r="V294" s="339">
        <f>ROUND(((V293*SUM($S$10:S293))+(U294*S294))/SUM($S$10:S294),5)</f>
        <v>3.4520000000000002E-2</v>
      </c>
      <c r="W294" s="316">
        <v>85.7</v>
      </c>
      <c r="AH294" s="345"/>
      <c r="AS294" s="346"/>
      <c r="BB294" s="352"/>
      <c r="BC294" s="348"/>
      <c r="BE294" s="335">
        <f t="shared" si="113"/>
        <v>35535</v>
      </c>
      <c r="BF294" s="353">
        <v>35542</v>
      </c>
      <c r="BG294" s="317">
        <f t="shared" si="109"/>
        <v>7</v>
      </c>
      <c r="BH294" s="339">
        <v>3.7699999999999997E-2</v>
      </c>
      <c r="BI294" s="337">
        <f t="shared" si="120"/>
        <v>21690.41</v>
      </c>
      <c r="BO294" s="335">
        <f t="shared" si="114"/>
        <v>37483</v>
      </c>
      <c r="BP294" s="345">
        <v>37490</v>
      </c>
      <c r="BQ294" s="317">
        <f t="shared" si="106"/>
        <v>7</v>
      </c>
      <c r="BR294" s="347">
        <v>1.3100000000000001E-2</v>
      </c>
      <c r="BS294" s="337">
        <f t="shared" si="107"/>
        <v>4270.9589040000001</v>
      </c>
      <c r="BX294" s="345"/>
      <c r="CE294" s="345"/>
      <c r="CH294" s="337"/>
      <c r="CL294" s="335">
        <f t="shared" si="115"/>
        <v>38407</v>
      </c>
      <c r="CM294" s="361">
        <v>38412</v>
      </c>
      <c r="CN294" s="317">
        <f t="shared" si="104"/>
        <v>5</v>
      </c>
      <c r="CO294" s="346">
        <v>1.8599999999999998E-2</v>
      </c>
      <c r="CP294" s="346"/>
      <c r="CQ294" s="346"/>
      <c r="CR294" s="346"/>
      <c r="CS294" s="346"/>
      <c r="CT294" s="346"/>
      <c r="CU294" s="346"/>
      <c r="CV294" s="337">
        <f>ROUND($CR$5*CO294*CN294/365,1)</f>
        <v>21233.3</v>
      </c>
      <c r="CW294" s="341">
        <f>SUM(CV290:CV294)</f>
        <v>120732.96</v>
      </c>
    </row>
    <row r="295" spans="1:101" hidden="1" x14ac:dyDescent="0.25">
      <c r="A295" s="335">
        <f t="shared" si="116"/>
        <v>36018</v>
      </c>
      <c r="B295" s="345">
        <v>36020</v>
      </c>
      <c r="C295" s="317">
        <f t="shared" si="110"/>
        <v>2</v>
      </c>
      <c r="E295" s="346">
        <v>3.4786999999999998E-2</v>
      </c>
      <c r="F295" s="339">
        <f>ROUND(((F294*SUM($C$10:C294))+(E295*C295))/SUM($C$10:C295),5)</f>
        <v>3.2399999999999998E-2</v>
      </c>
      <c r="G295" s="348">
        <v>109</v>
      </c>
      <c r="I295" s="335">
        <f t="shared" si="117"/>
        <v>35331</v>
      </c>
      <c r="J295" s="353">
        <v>35332</v>
      </c>
      <c r="K295" s="317">
        <f t="shared" si="111"/>
        <v>1</v>
      </c>
      <c r="M295" s="339">
        <v>3.6089999999999997E-2</v>
      </c>
      <c r="N295" s="339">
        <f>ROUND(((N294*SUM($K$10:K294))+(M295*K295))/SUM($K$10:K295),5)</f>
        <v>3.1309999999999998E-2</v>
      </c>
      <c r="O295" s="351">
        <v>83.9</v>
      </c>
      <c r="Q295" s="335">
        <f t="shared" si="118"/>
        <v>36102</v>
      </c>
      <c r="R295" s="345">
        <v>36105</v>
      </c>
      <c r="S295" s="317">
        <f t="shared" si="112"/>
        <v>3</v>
      </c>
      <c r="U295" s="346">
        <v>3.3500000000000002E-2</v>
      </c>
      <c r="V295" s="339">
        <f>ROUND(((V294*SUM($S$10:S294))+(U295*S295))/SUM($S$10:S295),5)</f>
        <v>3.4520000000000002E-2</v>
      </c>
      <c r="W295" s="316">
        <v>89.1</v>
      </c>
      <c r="AH295" s="345"/>
      <c r="AS295" s="346"/>
      <c r="BB295" s="352"/>
      <c r="BC295" s="348"/>
      <c r="BE295" s="335">
        <f t="shared" si="113"/>
        <v>35542</v>
      </c>
      <c r="BF295" s="345">
        <v>35549</v>
      </c>
      <c r="BG295" s="317">
        <f t="shared" si="109"/>
        <v>7</v>
      </c>
      <c r="BH295" s="339">
        <v>4.4999999999999998E-2</v>
      </c>
      <c r="BI295" s="337">
        <f t="shared" si="120"/>
        <v>25890.41</v>
      </c>
      <c r="BO295" s="335">
        <f t="shared" si="114"/>
        <v>37490</v>
      </c>
      <c r="BP295" s="345">
        <v>37497</v>
      </c>
      <c r="BQ295" s="317">
        <f t="shared" si="106"/>
        <v>7</v>
      </c>
      <c r="BR295" s="347">
        <v>1.2800000000000001E-2</v>
      </c>
      <c r="BS295" s="337">
        <f t="shared" si="107"/>
        <v>4173.1506849999996</v>
      </c>
      <c r="CE295" s="345"/>
      <c r="CH295" s="337"/>
      <c r="CL295" s="335">
        <f t="shared" si="115"/>
        <v>38412</v>
      </c>
      <c r="CM295" s="361">
        <v>38414</v>
      </c>
      <c r="CN295" s="317">
        <f t="shared" si="104"/>
        <v>2</v>
      </c>
      <c r="CO295" s="346">
        <v>1.8599999999999998E-2</v>
      </c>
      <c r="CP295" s="346"/>
      <c r="CQ295" s="346"/>
      <c r="CR295" s="346"/>
      <c r="CS295" s="346"/>
      <c r="CT295" s="346"/>
      <c r="CU295" s="346"/>
      <c r="CV295" s="337">
        <f>ROUND($CR$5*CO295*CN295/365,1)</f>
        <v>8493.2999999999993</v>
      </c>
    </row>
    <row r="296" spans="1:101" hidden="1" x14ac:dyDescent="0.25">
      <c r="A296" s="335">
        <f t="shared" si="116"/>
        <v>36020</v>
      </c>
      <c r="B296" s="345">
        <v>36021</v>
      </c>
      <c r="C296" s="317">
        <f t="shared" si="110"/>
        <v>1</v>
      </c>
      <c r="E296" s="346">
        <v>3.4658000000000001E-2</v>
      </c>
      <c r="F296" s="339">
        <f>ROUND(((F295*SUM($C$10:C295))+(E296*C296))/SUM($C$10:C296),5)</f>
        <v>3.2399999999999998E-2</v>
      </c>
      <c r="G296" s="348">
        <v>104.1</v>
      </c>
      <c r="I296" s="335">
        <f t="shared" si="117"/>
        <v>35332</v>
      </c>
      <c r="J296" s="353">
        <v>35333</v>
      </c>
      <c r="K296" s="317">
        <f t="shared" si="111"/>
        <v>1</v>
      </c>
      <c r="M296" s="339">
        <v>3.6089999999999997E-2</v>
      </c>
      <c r="N296" s="339">
        <f>ROUND(((N295*SUM($K$10:K295))+(M296*K296))/SUM($K$10:K296),5)</f>
        <v>3.1309999999999998E-2</v>
      </c>
      <c r="O296" s="351">
        <v>83.9</v>
      </c>
      <c r="Q296" s="335">
        <f t="shared" si="118"/>
        <v>36105</v>
      </c>
      <c r="R296" s="345">
        <v>36109</v>
      </c>
      <c r="S296" s="317">
        <f t="shared" si="112"/>
        <v>4</v>
      </c>
      <c r="U296" s="346">
        <v>3.3489999999999999E-2</v>
      </c>
      <c r="V296" s="339">
        <f>ROUND(((V295*SUM($S$10:S295))+(U296*S296))/SUM($S$10:S296),5)</f>
        <v>3.4520000000000002E-2</v>
      </c>
      <c r="W296" s="316">
        <v>89.1</v>
      </c>
      <c r="AH296" s="345"/>
      <c r="AS296" s="346"/>
      <c r="BB296" s="352"/>
      <c r="BC296" s="348"/>
      <c r="BE296" s="335">
        <f t="shared" si="113"/>
        <v>35549</v>
      </c>
      <c r="BF296" s="345">
        <v>35551</v>
      </c>
      <c r="BG296" s="317">
        <f t="shared" si="109"/>
        <v>2</v>
      </c>
      <c r="BH296" s="339">
        <v>4.6699999999999998E-2</v>
      </c>
      <c r="BI296" s="337">
        <f t="shared" si="120"/>
        <v>7676.71</v>
      </c>
      <c r="BJ296" s="341">
        <f>SUM(BI292:BI296)</f>
        <v>94956.160000000018</v>
      </c>
      <c r="BK296" s="363">
        <v>87769.16</v>
      </c>
      <c r="BL296" s="341">
        <f>BJ296-BK296</f>
        <v>7187.0000000000146</v>
      </c>
      <c r="BM296" s="341">
        <f>BM291+BL296</f>
        <v>16832.440000000021</v>
      </c>
      <c r="BO296" s="335">
        <f t="shared" si="114"/>
        <v>37497</v>
      </c>
      <c r="BP296" s="345">
        <v>37500</v>
      </c>
      <c r="BQ296" s="317">
        <f t="shared" si="106"/>
        <v>3</v>
      </c>
      <c r="BR296" s="347">
        <v>1.3599999999999999E-2</v>
      </c>
      <c r="BS296" s="337">
        <f t="shared" si="107"/>
        <v>1900.2739730000001</v>
      </c>
      <c r="BT296" s="341">
        <f>SUM(BS292:BS296)</f>
        <v>18625.479453</v>
      </c>
      <c r="CE296" s="345"/>
      <c r="CH296" s="337"/>
      <c r="CL296" s="335">
        <f t="shared" si="115"/>
        <v>38414</v>
      </c>
      <c r="CM296" s="361">
        <v>38421</v>
      </c>
      <c r="CN296" s="317">
        <f t="shared" ref="CN296:CN368" si="122">CM296-CL296</f>
        <v>7</v>
      </c>
      <c r="CO296" s="346">
        <v>1.7399999999999999E-2</v>
      </c>
      <c r="CP296" s="346"/>
      <c r="CQ296" s="346"/>
      <c r="CR296" s="346"/>
      <c r="CS296" s="346"/>
      <c r="CT296" s="346"/>
      <c r="CU296" s="346"/>
      <c r="CV296" s="337">
        <f>ROUND($CR$5*CO296*CN296/365,2)</f>
        <v>27808.78</v>
      </c>
    </row>
    <row r="297" spans="1:101" hidden="1" x14ac:dyDescent="0.25">
      <c r="A297" s="335">
        <f t="shared" si="116"/>
        <v>36021</v>
      </c>
      <c r="B297" s="345">
        <v>36024</v>
      </c>
      <c r="C297" s="317">
        <f t="shared" si="110"/>
        <v>3</v>
      </c>
      <c r="E297" s="346">
        <v>3.4660000000000003E-2</v>
      </c>
      <c r="F297" s="339">
        <f>ROUND(((F296*SUM($C$10:C296))+(E297*C297))/SUM($C$10:C297),5)</f>
        <v>3.2399999999999998E-2</v>
      </c>
      <c r="G297" s="348">
        <v>104.2</v>
      </c>
      <c r="I297" s="335">
        <f t="shared" si="117"/>
        <v>35333</v>
      </c>
      <c r="J297" s="353">
        <v>35334</v>
      </c>
      <c r="K297" s="317">
        <f t="shared" si="111"/>
        <v>1</v>
      </c>
      <c r="M297" s="339">
        <v>3.6089999999999997E-2</v>
      </c>
      <c r="N297" s="339">
        <f>ROUND(((N296*SUM($K$10:K296))+(M297*K297))/SUM($K$10:K297),5)</f>
        <v>3.1309999999999998E-2</v>
      </c>
      <c r="O297" s="351">
        <v>83.9</v>
      </c>
      <c r="Q297" s="335">
        <f t="shared" si="118"/>
        <v>36109</v>
      </c>
      <c r="R297" s="345">
        <v>36112</v>
      </c>
      <c r="S297" s="317">
        <f t="shared" si="112"/>
        <v>3</v>
      </c>
      <c r="U297" s="346">
        <v>3.3399999999999999E-2</v>
      </c>
      <c r="V297" s="339">
        <f>ROUND(((V296*SUM($S$10:S296))+(U297*S297))/SUM($S$10:S297),5)</f>
        <v>3.4520000000000002E-2</v>
      </c>
      <c r="W297" s="316">
        <v>89.2</v>
      </c>
      <c r="AH297" s="345"/>
      <c r="AS297" s="346"/>
      <c r="BB297" s="352"/>
      <c r="BC297" s="348"/>
      <c r="BE297" s="335">
        <f t="shared" si="113"/>
        <v>35551</v>
      </c>
      <c r="BF297" s="345">
        <v>35556</v>
      </c>
      <c r="BG297" s="317">
        <f t="shared" si="109"/>
        <v>5</v>
      </c>
      <c r="BH297" s="339">
        <v>4.6699999999999998E-2</v>
      </c>
      <c r="BI297" s="337">
        <f t="shared" si="120"/>
        <v>19191.78</v>
      </c>
      <c r="BO297" s="335">
        <f t="shared" si="114"/>
        <v>37500</v>
      </c>
      <c r="BP297" s="345">
        <v>37504</v>
      </c>
      <c r="BQ297" s="317">
        <f t="shared" si="106"/>
        <v>4</v>
      </c>
      <c r="BR297" s="347">
        <v>1.3599999999999999E-2</v>
      </c>
      <c r="BS297" s="337">
        <f t="shared" si="107"/>
        <v>2533.6986299999999</v>
      </c>
      <c r="CE297" s="345"/>
      <c r="CH297" s="337"/>
      <c r="CL297" s="335">
        <f t="shared" si="115"/>
        <v>38421</v>
      </c>
      <c r="CM297" s="361">
        <v>38428</v>
      </c>
      <c r="CN297" s="317">
        <f t="shared" si="122"/>
        <v>7</v>
      </c>
      <c r="CO297" s="346">
        <v>1.7999999999999999E-2</v>
      </c>
      <c r="CP297" s="346"/>
      <c r="CQ297" s="346"/>
      <c r="CR297" s="346"/>
      <c r="CS297" s="346"/>
      <c r="CT297" s="346"/>
      <c r="CU297" s="346"/>
      <c r="CV297" s="337">
        <f>ROUND($CR$5*CO297*CN297/365,2)</f>
        <v>28767.7</v>
      </c>
    </row>
    <row r="298" spans="1:101" hidden="1" x14ac:dyDescent="0.25">
      <c r="A298" s="335">
        <f t="shared" si="116"/>
        <v>36024</v>
      </c>
      <c r="B298" s="345">
        <v>36025</v>
      </c>
      <c r="C298" s="317">
        <f t="shared" si="110"/>
        <v>1</v>
      </c>
      <c r="E298" s="347">
        <v>3.4841999999999998E-2</v>
      </c>
      <c r="F298" s="339">
        <f>ROUND(((F297*SUM($C$10:C297))+(E298*C298))/SUM($C$10:C298),5)</f>
        <v>3.2399999999999998E-2</v>
      </c>
      <c r="G298" s="348">
        <v>90.23</v>
      </c>
      <c r="I298" s="335">
        <f t="shared" si="117"/>
        <v>35334</v>
      </c>
      <c r="J298" s="353">
        <v>35335</v>
      </c>
      <c r="K298" s="317">
        <f t="shared" si="111"/>
        <v>1</v>
      </c>
      <c r="M298" s="339">
        <v>3.61E-2</v>
      </c>
      <c r="N298" s="339">
        <f>ROUND(((N297*SUM($K$10:K297))+(M298*K298))/SUM($K$10:K298),5)</f>
        <v>3.1309999999999998E-2</v>
      </c>
      <c r="O298" s="351">
        <v>84.2</v>
      </c>
      <c r="Q298" s="335">
        <f t="shared" si="118"/>
        <v>36112</v>
      </c>
      <c r="R298" s="345">
        <v>36131</v>
      </c>
      <c r="S298" s="317">
        <f t="shared" si="112"/>
        <v>19</v>
      </c>
      <c r="U298" s="346">
        <v>3.3119999999999997E-2</v>
      </c>
      <c r="V298" s="339">
        <f>ROUND(((V297*SUM($S$10:S297))+(U298*S298))/SUM($S$10:S298),5)</f>
        <v>3.4509999999999999E-2</v>
      </c>
      <c r="W298" s="348">
        <v>92</v>
      </c>
      <c r="AS298" s="346"/>
      <c r="BB298" s="352"/>
      <c r="BC298" s="348"/>
      <c r="BE298" s="335">
        <f t="shared" si="113"/>
        <v>35556</v>
      </c>
      <c r="BF298" s="345">
        <v>35563</v>
      </c>
      <c r="BG298" s="317">
        <f t="shared" si="109"/>
        <v>7</v>
      </c>
      <c r="BH298" s="339">
        <v>4.1300000000000003E-2</v>
      </c>
      <c r="BI298" s="337">
        <f t="shared" si="120"/>
        <v>23761.64</v>
      </c>
      <c r="BO298" s="335">
        <f t="shared" si="114"/>
        <v>37504</v>
      </c>
      <c r="BP298" s="345">
        <v>37511</v>
      </c>
      <c r="BQ298" s="317">
        <f t="shared" si="106"/>
        <v>7</v>
      </c>
      <c r="BR298" s="347">
        <v>1.29E-2</v>
      </c>
      <c r="BS298" s="337">
        <f t="shared" si="107"/>
        <v>4205.7534249999999</v>
      </c>
      <c r="CE298" s="345"/>
      <c r="CH298" s="337"/>
      <c r="CL298" s="335">
        <f t="shared" si="115"/>
        <v>38428</v>
      </c>
      <c r="CM298" s="361">
        <v>38435</v>
      </c>
      <c r="CN298" s="317">
        <f t="shared" si="122"/>
        <v>7</v>
      </c>
      <c r="CO298" s="346">
        <v>1.9800000000000002E-2</v>
      </c>
      <c r="CP298" s="346"/>
      <c r="CQ298" s="346"/>
      <c r="CR298" s="346"/>
      <c r="CS298" s="346"/>
      <c r="CT298" s="346"/>
      <c r="CU298" s="346"/>
      <c r="CV298" s="337">
        <f>ROUND($CR$5*CO298*CN298/365,2)</f>
        <v>31644.47</v>
      </c>
    </row>
    <row r="299" spans="1:101" hidden="1" x14ac:dyDescent="0.25">
      <c r="A299" s="335">
        <f t="shared" si="116"/>
        <v>36025</v>
      </c>
      <c r="B299" s="345">
        <v>36032</v>
      </c>
      <c r="C299" s="317">
        <f t="shared" si="110"/>
        <v>7</v>
      </c>
      <c r="E299" s="347">
        <v>3.4828999999999999E-2</v>
      </c>
      <c r="F299" s="339">
        <f>ROUND(((F298*SUM($C$10:C298))+(E299*C299))/SUM($C$10:C299),5)</f>
        <v>3.2410000000000001E-2</v>
      </c>
      <c r="G299" s="348">
        <v>91.52</v>
      </c>
      <c r="I299" s="335">
        <f t="shared" si="117"/>
        <v>35335</v>
      </c>
      <c r="J299" s="353">
        <v>35339</v>
      </c>
      <c r="K299" s="317">
        <f t="shared" si="111"/>
        <v>4</v>
      </c>
      <c r="M299" s="339">
        <v>3.6179999999999997E-2</v>
      </c>
      <c r="N299" s="339">
        <f>ROUND(((N298*SUM($K$10:K298))+(M299*K299))/SUM($K$10:K299),5)</f>
        <v>3.1320000000000001E-2</v>
      </c>
      <c r="O299" s="351">
        <v>82.3</v>
      </c>
      <c r="Q299" s="335">
        <f t="shared" si="118"/>
        <v>36131</v>
      </c>
      <c r="R299" s="345">
        <v>36133</v>
      </c>
      <c r="S299" s="317">
        <f t="shared" si="112"/>
        <v>2</v>
      </c>
      <c r="U299" s="346">
        <v>3.2500000000000001E-2</v>
      </c>
      <c r="V299" s="339">
        <f>ROUND(((V298*SUM($S$10:S298))+(U299*S299))/SUM($S$10:S299),5)</f>
        <v>3.4509999999999999E-2</v>
      </c>
      <c r="W299" s="316">
        <v>90.2</v>
      </c>
      <c r="AS299" s="346"/>
      <c r="BB299" s="352"/>
      <c r="BC299" s="348"/>
      <c r="BE299" s="335">
        <f t="shared" si="113"/>
        <v>35563</v>
      </c>
      <c r="BF299" s="345">
        <v>35570</v>
      </c>
      <c r="BG299" s="317">
        <f t="shared" si="109"/>
        <v>7</v>
      </c>
      <c r="BH299" s="339">
        <v>4.2500000000000003E-2</v>
      </c>
      <c r="BI299" s="337">
        <f t="shared" si="120"/>
        <v>24452.05</v>
      </c>
      <c r="BO299" s="335">
        <f t="shared" si="114"/>
        <v>37511</v>
      </c>
      <c r="BP299" s="345">
        <v>37518</v>
      </c>
      <c r="BQ299" s="317">
        <f t="shared" si="106"/>
        <v>7</v>
      </c>
      <c r="BR299" s="347">
        <v>1.46E-2</v>
      </c>
      <c r="BS299" s="337">
        <f t="shared" si="107"/>
        <v>4760</v>
      </c>
      <c r="CE299" s="345"/>
      <c r="CH299" s="337"/>
      <c r="CL299" s="335">
        <f t="shared" si="115"/>
        <v>38435</v>
      </c>
      <c r="CM299" s="361">
        <v>38442</v>
      </c>
      <c r="CN299" s="317">
        <f t="shared" si="122"/>
        <v>7</v>
      </c>
      <c r="CO299" s="346">
        <v>2.12E-2</v>
      </c>
      <c r="CP299" s="346"/>
      <c r="CQ299" s="346"/>
      <c r="CR299" s="346"/>
      <c r="CS299" s="346"/>
      <c r="CT299" s="346"/>
      <c r="CU299" s="346"/>
      <c r="CV299" s="337">
        <f>ROUND($CR$5*CO299*CN299/365,1)</f>
        <v>33882</v>
      </c>
    </row>
    <row r="300" spans="1:101" hidden="1" x14ac:dyDescent="0.25">
      <c r="A300" s="335">
        <f t="shared" si="116"/>
        <v>36032</v>
      </c>
      <c r="B300" s="345">
        <v>36046</v>
      </c>
      <c r="C300" s="317">
        <f t="shared" si="110"/>
        <v>14</v>
      </c>
      <c r="E300" s="347">
        <v>3.4689999999999999E-2</v>
      </c>
      <c r="F300" s="339">
        <f>ROUND(((F299*SUM($C$10:C299))+(E300*C300))/SUM($C$10:C300),5)</f>
        <v>3.2419999999999997E-2</v>
      </c>
      <c r="G300" s="348">
        <v>80.7</v>
      </c>
      <c r="I300" s="335">
        <f t="shared" si="117"/>
        <v>35339</v>
      </c>
      <c r="J300" s="353">
        <v>35340</v>
      </c>
      <c r="K300" s="317">
        <f t="shared" si="111"/>
        <v>1</v>
      </c>
      <c r="M300" s="339">
        <v>3.6319999999999998E-2</v>
      </c>
      <c r="N300" s="339">
        <f>ROUND(((N299*SUM($K$10:K299))+(M300*K300))/SUM($K$10:K300),5)</f>
        <v>3.1320000000000001E-2</v>
      </c>
      <c r="O300" s="351">
        <v>79.7</v>
      </c>
      <c r="Q300" s="335">
        <f t="shared" si="118"/>
        <v>36133</v>
      </c>
      <c r="R300" s="345">
        <v>36139</v>
      </c>
      <c r="S300" s="317">
        <f t="shared" si="112"/>
        <v>6</v>
      </c>
      <c r="U300" s="346">
        <v>3.2399999999999998E-2</v>
      </c>
      <c r="V300" s="339">
        <f>ROUND(((V299*SUM($S$10:S299))+(U300*S300))/SUM($S$10:S300),5)</f>
        <v>3.4500000000000003E-2</v>
      </c>
      <c r="W300" s="316">
        <v>85.9</v>
      </c>
      <c r="AS300" s="346"/>
      <c r="BB300" s="352"/>
      <c r="BC300" s="348"/>
      <c r="BE300" s="335">
        <f t="shared" si="113"/>
        <v>35570</v>
      </c>
      <c r="BF300" s="345">
        <v>35577</v>
      </c>
      <c r="BG300" s="317">
        <f t="shared" si="109"/>
        <v>7</v>
      </c>
      <c r="BH300" s="339">
        <v>3.9600000000000003E-2</v>
      </c>
      <c r="BI300" s="337">
        <f t="shared" si="120"/>
        <v>22783.56</v>
      </c>
      <c r="BO300" s="335">
        <f t="shared" si="114"/>
        <v>37518</v>
      </c>
      <c r="BP300" s="345">
        <v>37525</v>
      </c>
      <c r="BQ300" s="317">
        <f t="shared" si="106"/>
        <v>7</v>
      </c>
      <c r="BR300" s="347">
        <v>1.54E-2</v>
      </c>
      <c r="BS300" s="337">
        <f t="shared" si="107"/>
        <v>5020.8219179999996</v>
      </c>
      <c r="CE300" s="345"/>
      <c r="CH300" s="337"/>
      <c r="CL300" s="335">
        <f t="shared" si="115"/>
        <v>38442</v>
      </c>
      <c r="CM300" s="361">
        <v>38443</v>
      </c>
      <c r="CN300" s="317">
        <f t="shared" si="122"/>
        <v>1</v>
      </c>
      <c r="CO300" s="346">
        <v>2.2800000000000001E-2</v>
      </c>
      <c r="CP300" s="346"/>
      <c r="CQ300" s="346"/>
      <c r="CR300" s="346"/>
      <c r="CS300" s="346"/>
      <c r="CT300" s="346"/>
      <c r="CU300" s="346"/>
      <c r="CV300" s="337">
        <f>ROUND($CR$5*CO300*CN300/365,2)</f>
        <v>5205.58</v>
      </c>
      <c r="CW300" s="341">
        <f>SUM(CV295:CV300)</f>
        <v>135801.82999999999</v>
      </c>
    </row>
    <row r="301" spans="1:101" hidden="1" x14ac:dyDescent="0.25">
      <c r="A301" s="335">
        <f t="shared" si="116"/>
        <v>36046</v>
      </c>
      <c r="B301" s="345">
        <v>36047</v>
      </c>
      <c r="C301" s="317">
        <f t="shared" si="110"/>
        <v>1</v>
      </c>
      <c r="E301" s="347">
        <v>3.4660000000000003E-2</v>
      </c>
      <c r="F301" s="339">
        <f>ROUND(((F300*SUM($C$10:C300))+(E301*C301))/SUM($C$10:C301),5)</f>
        <v>3.2419999999999997E-2</v>
      </c>
      <c r="G301" s="348">
        <v>85.2</v>
      </c>
      <c r="I301" s="335">
        <f t="shared" si="117"/>
        <v>35340</v>
      </c>
      <c r="J301" s="353">
        <v>35341</v>
      </c>
      <c r="K301" s="317">
        <f t="shared" si="111"/>
        <v>1</v>
      </c>
      <c r="M301" s="339">
        <v>3.6290000000000003E-2</v>
      </c>
      <c r="N301" s="339">
        <f>ROUND(((N300*SUM($K$10:K300))+(M301*K301))/SUM($K$10:K301),5)</f>
        <v>3.1320000000000001E-2</v>
      </c>
      <c r="O301" s="351">
        <v>80</v>
      </c>
      <c r="Q301" s="335">
        <f t="shared" si="118"/>
        <v>36139</v>
      </c>
      <c r="R301" s="345">
        <v>36143</v>
      </c>
      <c r="S301" s="317">
        <f t="shared" si="112"/>
        <v>4</v>
      </c>
      <c r="U301" s="346">
        <v>3.2250000000000001E-2</v>
      </c>
      <c r="V301" s="339">
        <f>ROUND(((V300*SUM($S$10:S300))+(U301*S301))/SUM($S$10:S301),5)</f>
        <v>3.4500000000000003E-2</v>
      </c>
      <c r="W301" s="348">
        <v>92</v>
      </c>
      <c r="AS301" s="346"/>
      <c r="BB301" s="352"/>
      <c r="BC301" s="348"/>
      <c r="BE301" s="335">
        <f t="shared" si="113"/>
        <v>35577</v>
      </c>
      <c r="BF301" s="345">
        <v>35582</v>
      </c>
      <c r="BG301" s="317">
        <f t="shared" si="109"/>
        <v>5</v>
      </c>
      <c r="BH301" s="339">
        <v>3.95E-2</v>
      </c>
      <c r="BI301" s="337">
        <f t="shared" si="120"/>
        <v>16232.88</v>
      </c>
      <c r="BJ301" s="341">
        <f>SUM(BI297:BI301)</f>
        <v>106421.91</v>
      </c>
      <c r="BK301" s="364">
        <v>93641.1</v>
      </c>
      <c r="BL301" s="341">
        <f>BJ301-BK301</f>
        <v>12780.809999999998</v>
      </c>
      <c r="BM301" s="341">
        <f>BM296+BL301</f>
        <v>29613.250000000018</v>
      </c>
      <c r="BO301" s="335">
        <f t="shared" si="114"/>
        <v>37525</v>
      </c>
      <c r="BP301" s="345">
        <v>37530</v>
      </c>
      <c r="BQ301" s="317">
        <f t="shared" si="106"/>
        <v>5</v>
      </c>
      <c r="BR301" s="347">
        <v>1.6799999999999999E-2</v>
      </c>
      <c r="BS301" s="337">
        <f t="shared" si="107"/>
        <v>3912.328767</v>
      </c>
      <c r="BT301" s="341">
        <f>SUM(BS297:BS301)</f>
        <v>20432.602739999998</v>
      </c>
      <c r="CE301" s="345"/>
      <c r="CH301" s="337"/>
      <c r="CL301" s="335">
        <f t="shared" si="115"/>
        <v>38443</v>
      </c>
      <c r="CM301" s="361">
        <v>38449</v>
      </c>
      <c r="CN301" s="317">
        <f t="shared" si="122"/>
        <v>6</v>
      </c>
      <c r="CO301" s="346">
        <v>2.2800000000000001E-2</v>
      </c>
      <c r="CP301" s="346"/>
      <c r="CQ301" s="346"/>
      <c r="CR301" s="346"/>
      <c r="CS301" s="346"/>
      <c r="CT301" s="346"/>
      <c r="CU301" s="346"/>
      <c r="CV301" s="337">
        <f>ROUND($CR$5*CO301*CN301/365,1)</f>
        <v>31233.5</v>
      </c>
    </row>
    <row r="302" spans="1:101" hidden="1" x14ac:dyDescent="0.25">
      <c r="A302" s="335">
        <f t="shared" si="116"/>
        <v>36047</v>
      </c>
      <c r="B302" s="345">
        <v>36048</v>
      </c>
      <c r="C302" s="317">
        <f t="shared" si="110"/>
        <v>1</v>
      </c>
      <c r="E302" s="346">
        <v>3.4520000000000002E-2</v>
      </c>
      <c r="F302" s="339">
        <f>ROUND(((F301*SUM($C$10:C301))+(E302*C302))/SUM($C$10:C302),5)</f>
        <v>3.2419999999999997E-2</v>
      </c>
      <c r="G302" s="348">
        <v>79.400000000000006</v>
      </c>
      <c r="I302" s="335">
        <f t="shared" si="117"/>
        <v>35341</v>
      </c>
      <c r="J302" s="353">
        <v>35345</v>
      </c>
      <c r="K302" s="317">
        <f t="shared" si="111"/>
        <v>4</v>
      </c>
      <c r="M302" s="339">
        <v>3.6290000000000003E-2</v>
      </c>
      <c r="N302" s="339">
        <f>ROUND(((N301*SUM($K$10:K301))+(M302*K302))/SUM($K$10:K302),5)</f>
        <v>3.1329999999999997E-2</v>
      </c>
      <c r="O302" s="351">
        <v>84.4</v>
      </c>
      <c r="Q302" s="335">
        <f t="shared" si="118"/>
        <v>36143</v>
      </c>
      <c r="R302" s="345">
        <v>36146</v>
      </c>
      <c r="S302" s="317">
        <f t="shared" si="112"/>
        <v>3</v>
      </c>
      <c r="U302" s="346">
        <v>3.1620000000000002E-2</v>
      </c>
      <c r="V302" s="339">
        <f>ROUND(((V301*SUM($S$10:S301))+(U302*S302))/SUM($S$10:S302),5)</f>
        <v>3.4500000000000003E-2</v>
      </c>
      <c r="W302" s="316">
        <v>77.900000000000006</v>
      </c>
      <c r="AS302" s="346"/>
      <c r="BB302" s="352"/>
      <c r="BC302" s="348"/>
      <c r="BE302" s="335">
        <f t="shared" si="113"/>
        <v>35582</v>
      </c>
      <c r="BF302" s="345">
        <v>35584</v>
      </c>
      <c r="BG302" s="317">
        <f t="shared" si="109"/>
        <v>2</v>
      </c>
      <c r="BH302" s="339">
        <v>3.95E-2</v>
      </c>
      <c r="BI302" s="337">
        <f t="shared" si="120"/>
        <v>6493.15</v>
      </c>
      <c r="BK302" s="364"/>
      <c r="BO302" s="335">
        <f t="shared" si="114"/>
        <v>37530</v>
      </c>
      <c r="BP302" s="345">
        <v>37532</v>
      </c>
      <c r="BQ302" s="317">
        <f t="shared" si="106"/>
        <v>2</v>
      </c>
      <c r="BR302" s="346">
        <v>1.6799999999999999E-2</v>
      </c>
      <c r="BS302" s="337">
        <f t="shared" si="107"/>
        <v>1564.931507</v>
      </c>
      <c r="CE302" s="345"/>
      <c r="CH302" s="337"/>
      <c r="CL302" s="335">
        <f t="shared" si="115"/>
        <v>38449</v>
      </c>
      <c r="CM302" s="361">
        <v>38456</v>
      </c>
      <c r="CN302" s="317">
        <f t="shared" si="122"/>
        <v>7</v>
      </c>
      <c r="CO302" s="346">
        <v>2.1600000000000001E-2</v>
      </c>
      <c r="CP302" s="346"/>
      <c r="CQ302" s="346"/>
      <c r="CR302" s="346"/>
      <c r="CS302" s="346"/>
      <c r="CT302" s="346"/>
      <c r="CU302" s="346"/>
      <c r="CV302" s="337">
        <f>ROUND($CR$5*CO302*CN302/365,1)</f>
        <v>34521.199999999997</v>
      </c>
    </row>
    <row r="303" spans="1:101" hidden="1" x14ac:dyDescent="0.25">
      <c r="A303" s="335">
        <f t="shared" si="116"/>
        <v>36048</v>
      </c>
      <c r="B303" s="345">
        <v>36049</v>
      </c>
      <c r="C303" s="317">
        <f t="shared" si="110"/>
        <v>1</v>
      </c>
      <c r="E303" s="346">
        <v>3.4279999999999998E-2</v>
      </c>
      <c r="F303" s="339">
        <f>ROUND(((F302*SUM($C$10:C302))+(E303*C303))/SUM($C$10:C303),5)</f>
        <v>3.2419999999999997E-2</v>
      </c>
      <c r="G303" s="348">
        <v>83.9</v>
      </c>
      <c r="I303" s="335">
        <f t="shared" si="117"/>
        <v>35345</v>
      </c>
      <c r="J303" s="353">
        <v>35347</v>
      </c>
      <c r="K303" s="317">
        <f t="shared" si="111"/>
        <v>2</v>
      </c>
      <c r="M303" s="339">
        <v>3.6299999999999999E-2</v>
      </c>
      <c r="N303" s="339">
        <f>ROUND(((N302*SUM($K$10:K302))+(M303*K303))/SUM($K$10:K303),5)</f>
        <v>3.134E-2</v>
      </c>
      <c r="O303" s="351">
        <v>91.6</v>
      </c>
      <c r="Q303" s="335">
        <f t="shared" si="118"/>
        <v>36146</v>
      </c>
      <c r="R303" s="345">
        <v>36147</v>
      </c>
      <c r="S303" s="317">
        <f t="shared" si="112"/>
        <v>1</v>
      </c>
      <c r="U303" s="346">
        <v>3.0620000000000001E-2</v>
      </c>
      <c r="V303" s="339">
        <f>ROUND(((V302*SUM($S$10:S302))+(U303*S303))/SUM($S$10:S303),5)</f>
        <v>3.4500000000000003E-2</v>
      </c>
      <c r="W303" s="316">
        <v>57.9</v>
      </c>
      <c r="AS303" s="346"/>
      <c r="BB303" s="352"/>
      <c r="BC303" s="348"/>
      <c r="BE303" s="335">
        <f t="shared" si="113"/>
        <v>35584</v>
      </c>
      <c r="BF303" s="345">
        <v>35591</v>
      </c>
      <c r="BG303" s="317">
        <f t="shared" si="109"/>
        <v>7</v>
      </c>
      <c r="BH303" s="339">
        <v>3.3599999999999998E-2</v>
      </c>
      <c r="BI303" s="337">
        <f t="shared" si="120"/>
        <v>19331.509999999998</v>
      </c>
      <c r="BK303" s="364"/>
      <c r="BO303" s="335">
        <f t="shared" si="114"/>
        <v>37532</v>
      </c>
      <c r="BP303" s="345">
        <v>37539</v>
      </c>
      <c r="BQ303" s="317">
        <f t="shared" si="106"/>
        <v>7</v>
      </c>
      <c r="BR303" s="346">
        <v>1.5699999999999999E-2</v>
      </c>
      <c r="BS303" s="337">
        <f t="shared" si="107"/>
        <v>5118.6301370000001</v>
      </c>
      <c r="CE303" s="345"/>
      <c r="CH303" s="337"/>
      <c r="CL303" s="335">
        <f t="shared" si="115"/>
        <v>38456</v>
      </c>
      <c r="CM303" s="361">
        <v>38463</v>
      </c>
      <c r="CN303" s="317">
        <f t="shared" si="122"/>
        <v>7</v>
      </c>
      <c r="CO303" s="346">
        <v>2.4E-2</v>
      </c>
      <c r="CP303" s="346"/>
      <c r="CQ303" s="346"/>
      <c r="CR303" s="346"/>
      <c r="CS303" s="346"/>
      <c r="CT303" s="346"/>
      <c r="CU303" s="346"/>
      <c r="CV303" s="337">
        <f>ROUND($CR$5*CO303*CN303/365,1)</f>
        <v>38356.9</v>
      </c>
    </row>
    <row r="304" spans="1:101" hidden="1" x14ac:dyDescent="0.25">
      <c r="A304" s="335">
        <f t="shared" si="116"/>
        <v>36049</v>
      </c>
      <c r="B304" s="345">
        <v>36052</v>
      </c>
      <c r="C304" s="317">
        <f t="shared" si="110"/>
        <v>3</v>
      </c>
      <c r="E304" s="346">
        <v>3.4119999999999998E-2</v>
      </c>
      <c r="F304" s="339">
        <f>ROUND(((F303*SUM($C$10:C303))+(E304*C304))/SUM($C$10:C304),5)</f>
        <v>3.2419999999999997E-2</v>
      </c>
      <c r="G304" s="348">
        <v>97.3</v>
      </c>
      <c r="I304" s="335">
        <f t="shared" si="117"/>
        <v>35347</v>
      </c>
      <c r="J304" s="353">
        <v>35348</v>
      </c>
      <c r="K304" s="317">
        <f t="shared" si="111"/>
        <v>1</v>
      </c>
      <c r="M304" s="339">
        <v>3.628E-2</v>
      </c>
      <c r="N304" s="339">
        <f>ROUND(((N303*SUM($K$10:K303))+(M304*K304))/SUM($K$10:K304),5)</f>
        <v>3.134E-2</v>
      </c>
      <c r="O304" s="351">
        <v>97.2</v>
      </c>
      <c r="Q304" s="335">
        <f t="shared" si="118"/>
        <v>36147</v>
      </c>
      <c r="R304" s="345">
        <v>36150</v>
      </c>
      <c r="S304" s="317">
        <f t="shared" si="112"/>
        <v>3</v>
      </c>
      <c r="U304" s="346">
        <v>3.0700000000000002E-2</v>
      </c>
      <c r="V304" s="339">
        <f>ROUND(((V303*SUM($S$10:S303))+(U304*S304))/SUM($S$10:S304),5)</f>
        <v>3.449E-2</v>
      </c>
      <c r="W304" s="316">
        <v>62.2</v>
      </c>
      <c r="AS304" s="346"/>
      <c r="BB304" s="352"/>
      <c r="BC304" s="348"/>
      <c r="BE304" s="335">
        <f t="shared" si="113"/>
        <v>35591</v>
      </c>
      <c r="BF304" s="345">
        <v>35598</v>
      </c>
      <c r="BG304" s="317">
        <f t="shared" si="109"/>
        <v>7</v>
      </c>
      <c r="BH304" s="339">
        <v>3.85E-2</v>
      </c>
      <c r="BI304" s="337">
        <f t="shared" si="120"/>
        <v>22150.68</v>
      </c>
      <c r="BK304" s="364"/>
      <c r="BO304" s="335">
        <f t="shared" si="114"/>
        <v>37539</v>
      </c>
      <c r="BP304" s="345">
        <v>37546</v>
      </c>
      <c r="BQ304" s="317">
        <f t="shared" si="106"/>
        <v>7</v>
      </c>
      <c r="BR304" s="346">
        <v>1.4999999999999999E-2</v>
      </c>
      <c r="BS304" s="337">
        <f t="shared" si="107"/>
        <v>4890.4109589999998</v>
      </c>
      <c r="CE304" s="345"/>
      <c r="CH304" s="337"/>
      <c r="CL304" s="335">
        <f t="shared" si="115"/>
        <v>38463</v>
      </c>
      <c r="CM304" s="361">
        <v>38470</v>
      </c>
      <c r="CN304" s="317">
        <f t="shared" si="122"/>
        <v>7</v>
      </c>
      <c r="CO304" s="346">
        <v>2.9399999999999999E-2</v>
      </c>
      <c r="CP304" s="346"/>
      <c r="CQ304" s="346"/>
      <c r="CR304" s="346"/>
      <c r="CS304" s="346"/>
      <c r="CT304" s="346"/>
      <c r="CU304" s="346"/>
      <c r="CV304" s="337">
        <f>ROUND($CR$5*CO304*CN304/365,1)</f>
        <v>46987.199999999997</v>
      </c>
    </row>
    <row r="305" spans="1:101" hidden="1" x14ac:dyDescent="0.25">
      <c r="A305" s="335">
        <f t="shared" si="116"/>
        <v>36052</v>
      </c>
      <c r="B305" s="345">
        <v>36053</v>
      </c>
      <c r="C305" s="317">
        <f t="shared" si="110"/>
        <v>1</v>
      </c>
      <c r="E305" s="346">
        <v>3.4110000000000001E-2</v>
      </c>
      <c r="F305" s="339">
        <f>ROUND(((F304*SUM($C$10:C304))+(E305*C305))/SUM($C$10:C305),5)</f>
        <v>3.2419999999999997E-2</v>
      </c>
      <c r="G305" s="348">
        <v>97.1</v>
      </c>
      <c r="I305" s="335">
        <f t="shared" si="117"/>
        <v>35348</v>
      </c>
      <c r="J305" s="353">
        <v>35349</v>
      </c>
      <c r="K305" s="317">
        <f t="shared" si="111"/>
        <v>1</v>
      </c>
      <c r="M305" s="339">
        <v>3.628E-2</v>
      </c>
      <c r="N305" s="339">
        <f>ROUND(((N304*SUM($K$10:K304))+(M305*K305))/SUM($K$10:K305),5)</f>
        <v>3.134E-2</v>
      </c>
      <c r="O305" s="351">
        <v>97.2</v>
      </c>
      <c r="Q305" s="335">
        <f t="shared" si="118"/>
        <v>36150</v>
      </c>
      <c r="R305" s="345">
        <v>36151</v>
      </c>
      <c r="S305" s="317">
        <f t="shared" si="112"/>
        <v>1</v>
      </c>
      <c r="U305" s="346">
        <v>3.0700000000000002E-2</v>
      </c>
      <c r="V305" s="339">
        <f>ROUND(((V304*SUM($S$10:S304))+(U305*S305))/SUM($S$10:S305),5)</f>
        <v>3.449E-2</v>
      </c>
      <c r="W305" s="316">
        <v>62.1</v>
      </c>
      <c r="AS305" s="346"/>
      <c r="BB305" s="352"/>
      <c r="BC305" s="348"/>
      <c r="BE305" s="335">
        <f t="shared" si="113"/>
        <v>35598</v>
      </c>
      <c r="BF305" s="345">
        <v>35605</v>
      </c>
      <c r="BG305" s="317">
        <f t="shared" si="109"/>
        <v>7</v>
      </c>
      <c r="BH305" s="339">
        <v>4.1700000000000001E-2</v>
      </c>
      <c r="BI305" s="337">
        <f t="shared" si="120"/>
        <v>23991.78</v>
      </c>
      <c r="BK305" s="364"/>
      <c r="BO305" s="335">
        <f t="shared" si="114"/>
        <v>37546</v>
      </c>
      <c r="BP305" s="345">
        <v>37553</v>
      </c>
      <c r="BQ305" s="317">
        <f t="shared" si="106"/>
        <v>7</v>
      </c>
      <c r="BR305" s="346">
        <v>1.7600000000000001E-2</v>
      </c>
      <c r="BS305" s="337">
        <f t="shared" si="107"/>
        <v>5738.0821919999998</v>
      </c>
      <c r="CE305" s="345"/>
      <c r="CH305" s="337"/>
      <c r="CL305" s="335">
        <f t="shared" si="115"/>
        <v>38470</v>
      </c>
      <c r="CM305" s="361">
        <v>38473</v>
      </c>
      <c r="CN305" s="317">
        <f t="shared" si="122"/>
        <v>3</v>
      </c>
      <c r="CO305" s="346">
        <v>2.9899999999999999E-2</v>
      </c>
      <c r="CP305" s="346"/>
      <c r="CQ305" s="346"/>
      <c r="CR305" s="346"/>
      <c r="CS305" s="346"/>
      <c r="CT305" s="346"/>
      <c r="CU305" s="346"/>
      <c r="CV305" s="337">
        <f>ROUND($CR$5*CO305*CN305/365,2)</f>
        <v>20479.86</v>
      </c>
      <c r="CW305" s="341">
        <f>SUM(CV301:CV305)</f>
        <v>171578.65999999997</v>
      </c>
    </row>
    <row r="306" spans="1:101" hidden="1" x14ac:dyDescent="0.25">
      <c r="A306" s="335">
        <f t="shared" si="116"/>
        <v>36053</v>
      </c>
      <c r="B306" s="345">
        <v>36054</v>
      </c>
      <c r="C306" s="317">
        <f t="shared" si="110"/>
        <v>1</v>
      </c>
      <c r="E306" s="346">
        <v>3.4110000000000001E-2</v>
      </c>
      <c r="F306" s="339">
        <f>ROUND(((F305*SUM($C$10:C305))+(E306*C306))/SUM($C$10:C306),5)</f>
        <v>3.2419999999999997E-2</v>
      </c>
      <c r="G306" s="348">
        <v>97.1</v>
      </c>
      <c r="I306" s="335">
        <f t="shared" si="117"/>
        <v>35349</v>
      </c>
      <c r="J306" s="353">
        <v>35353</v>
      </c>
      <c r="K306" s="317">
        <f t="shared" si="111"/>
        <v>4</v>
      </c>
      <c r="M306" s="339">
        <v>3.628E-2</v>
      </c>
      <c r="N306" s="339">
        <f>ROUND(((N305*SUM($K$10:K305))+(M306*K306))/SUM($K$10:K306),5)</f>
        <v>3.1350000000000003E-2</v>
      </c>
      <c r="O306" s="351">
        <v>97.3</v>
      </c>
      <c r="Q306" s="335">
        <f t="shared" si="118"/>
        <v>36151</v>
      </c>
      <c r="R306" s="345">
        <v>36164</v>
      </c>
      <c r="S306" s="317">
        <f t="shared" si="112"/>
        <v>13</v>
      </c>
      <c r="U306" s="346">
        <v>3.0640000000000001E-2</v>
      </c>
      <c r="V306" s="339">
        <f>ROUND(((V305*SUM($S$10:S305))+(U306*S306))/SUM($S$10:S306),5)</f>
        <v>3.4459999999999998E-2</v>
      </c>
      <c r="W306" s="316">
        <v>67.2</v>
      </c>
      <c r="AS306" s="346"/>
      <c r="BB306" s="352"/>
      <c r="BC306" s="348"/>
      <c r="BE306" s="335">
        <f t="shared" si="113"/>
        <v>35605</v>
      </c>
      <c r="BF306" s="345">
        <v>35612</v>
      </c>
      <c r="BG306" s="317">
        <f t="shared" si="109"/>
        <v>7</v>
      </c>
      <c r="BH306" s="339">
        <v>4.1300000000000003E-2</v>
      </c>
      <c r="BI306" s="337">
        <f t="shared" si="120"/>
        <v>23761.64</v>
      </c>
      <c r="BJ306" s="341">
        <f>SUM(BI302:BI306)</f>
        <v>95728.76</v>
      </c>
      <c r="BK306" s="364">
        <v>91369.3</v>
      </c>
      <c r="BL306" s="341">
        <f>BJ306-BK306</f>
        <v>4359.4599999999919</v>
      </c>
      <c r="BM306" s="341">
        <f>BM301+BL306</f>
        <v>33972.710000000006</v>
      </c>
      <c r="BO306" s="335">
        <f t="shared" si="114"/>
        <v>37553</v>
      </c>
      <c r="BP306" s="345">
        <v>37560</v>
      </c>
      <c r="BQ306" s="317">
        <f t="shared" si="106"/>
        <v>7</v>
      </c>
      <c r="BR306" s="346">
        <v>1.83E-2</v>
      </c>
      <c r="BS306" s="337">
        <f t="shared" si="107"/>
        <v>5966.3013700000001</v>
      </c>
      <c r="CE306" s="345"/>
      <c r="CH306" s="337"/>
      <c r="CL306" s="335">
        <f t="shared" si="115"/>
        <v>38473</v>
      </c>
      <c r="CM306" s="361">
        <v>38475</v>
      </c>
      <c r="CN306" s="317">
        <f t="shared" si="122"/>
        <v>2</v>
      </c>
      <c r="CO306" s="346">
        <v>2.9899999999999999E-2</v>
      </c>
      <c r="CP306" s="346"/>
      <c r="CQ306" s="346"/>
      <c r="CR306" s="346"/>
      <c r="CS306" s="346"/>
      <c r="CT306" s="346"/>
      <c r="CU306" s="346"/>
      <c r="CV306" s="337">
        <f t="shared" ref="CV306:CV319" si="123">ROUND($CR$5*CO306*CN306/365,1)</f>
        <v>13653.2</v>
      </c>
      <c r="CW306" s="350" t="s">
        <v>35</v>
      </c>
    </row>
    <row r="307" spans="1:101" hidden="1" x14ac:dyDescent="0.25">
      <c r="A307" s="335">
        <f t="shared" si="116"/>
        <v>36054</v>
      </c>
      <c r="B307" s="345">
        <v>36074</v>
      </c>
      <c r="C307" s="317">
        <f t="shared" si="110"/>
        <v>20</v>
      </c>
      <c r="E307" s="346">
        <v>3.4169999999999999E-2</v>
      </c>
      <c r="F307" s="339">
        <f>ROUND(((F306*SUM($C$10:C306))+(E307*C307))/SUM($C$10:C307),5)</f>
        <v>3.2439999999999997E-2</v>
      </c>
      <c r="G307" s="348">
        <v>97.5</v>
      </c>
      <c r="I307" s="335">
        <f t="shared" si="117"/>
        <v>35353</v>
      </c>
      <c r="J307" s="353">
        <v>35356</v>
      </c>
      <c r="K307" s="317">
        <f t="shared" si="111"/>
        <v>3</v>
      </c>
      <c r="M307" s="339">
        <v>3.6290000000000003E-2</v>
      </c>
      <c r="N307" s="339">
        <f>ROUND(((N306*SUM($K$10:K306))+(M307*K307))/SUM($K$10:K307),5)</f>
        <v>3.1359999999999999E-2</v>
      </c>
      <c r="O307" s="351">
        <v>98.6</v>
      </c>
      <c r="Q307" s="335">
        <f t="shared" si="118"/>
        <v>36164</v>
      </c>
      <c r="R307" s="345">
        <v>36165</v>
      </c>
      <c r="S307" s="317">
        <f t="shared" si="112"/>
        <v>1</v>
      </c>
      <c r="U307" s="346">
        <v>3.0640000000000001E-2</v>
      </c>
      <c r="V307" s="339">
        <f>ROUND(((V306*SUM($S$10:S306))+(U307*S307))/SUM($S$10:S307),5)</f>
        <v>3.4459999999999998E-2</v>
      </c>
      <c r="W307" s="348">
        <v>67</v>
      </c>
      <c r="AS307" s="346"/>
      <c r="BB307" s="352"/>
      <c r="BC307" s="348"/>
      <c r="BE307" s="335">
        <f t="shared" si="113"/>
        <v>35612</v>
      </c>
      <c r="BF307" s="345">
        <v>35619</v>
      </c>
      <c r="BG307" s="317">
        <f t="shared" si="109"/>
        <v>7</v>
      </c>
      <c r="BH307" s="339">
        <v>3.7600000000000001E-2</v>
      </c>
      <c r="BI307" s="337">
        <f t="shared" si="120"/>
        <v>21632.880000000001</v>
      </c>
      <c r="BK307" s="364"/>
      <c r="BO307" s="335">
        <f t="shared" si="114"/>
        <v>37560</v>
      </c>
      <c r="BP307" s="345">
        <v>37561</v>
      </c>
      <c r="BQ307" s="317">
        <f t="shared" si="106"/>
        <v>1</v>
      </c>
      <c r="BR307" s="346">
        <v>1.8499999999999999E-2</v>
      </c>
      <c r="BS307" s="337">
        <f t="shared" si="107"/>
        <v>861.64383599999996</v>
      </c>
      <c r="BT307" s="341">
        <f>SUM(BS302:BS307)</f>
        <v>24140.000001</v>
      </c>
      <c r="CE307" s="345"/>
      <c r="CH307" s="337"/>
      <c r="CL307" s="335">
        <f t="shared" si="115"/>
        <v>38475</v>
      </c>
      <c r="CM307" s="361">
        <v>38477</v>
      </c>
      <c r="CN307" s="317">
        <f t="shared" si="122"/>
        <v>2</v>
      </c>
      <c r="CO307" s="346">
        <v>2.9899999999999999E-2</v>
      </c>
      <c r="CP307" s="346"/>
      <c r="CQ307" s="346"/>
      <c r="CR307" s="346"/>
      <c r="CS307" s="346"/>
      <c r="CT307" s="346"/>
      <c r="CU307" s="346"/>
      <c r="CV307" s="337">
        <f t="shared" si="123"/>
        <v>13653.2</v>
      </c>
      <c r="CW307" s="350" t="s">
        <v>35</v>
      </c>
    </row>
    <row r="308" spans="1:101" hidden="1" x14ac:dyDescent="0.25">
      <c r="A308" s="335">
        <f t="shared" si="116"/>
        <v>36074</v>
      </c>
      <c r="B308" s="345">
        <v>36081</v>
      </c>
      <c r="C308" s="317">
        <f t="shared" si="110"/>
        <v>7</v>
      </c>
      <c r="E308" s="346">
        <v>3.4110000000000001E-2</v>
      </c>
      <c r="F308" s="339">
        <f>ROUND(((F307*SUM($C$10:C307))+(E308*C308))/SUM($C$10:C308),5)</f>
        <v>3.245E-2</v>
      </c>
      <c r="G308" s="348">
        <v>99</v>
      </c>
      <c r="I308" s="335">
        <f t="shared" si="117"/>
        <v>35356</v>
      </c>
      <c r="J308" s="353">
        <v>35370</v>
      </c>
      <c r="K308" s="317">
        <f t="shared" si="111"/>
        <v>14</v>
      </c>
      <c r="M308" s="339">
        <v>3.6299999999999999E-2</v>
      </c>
      <c r="N308" s="339">
        <f>ROUND(((N307*SUM($K$10:K307))+(M308*K308))/SUM($K$10:K308),5)</f>
        <v>3.141E-2</v>
      </c>
      <c r="O308" s="351">
        <v>97.8</v>
      </c>
      <c r="Q308" s="335">
        <f t="shared" si="118"/>
        <v>36165</v>
      </c>
      <c r="R308" s="345">
        <v>36172</v>
      </c>
      <c r="S308" s="317">
        <f t="shared" si="112"/>
        <v>7</v>
      </c>
      <c r="U308" s="346">
        <v>3.0329999999999999E-2</v>
      </c>
      <c r="V308" s="339">
        <f>ROUND(((V307*SUM($S$10:S307))+(U308*S308))/SUM($S$10:S308),5)</f>
        <v>3.4450000000000001E-2</v>
      </c>
      <c r="W308" s="316">
        <v>76.8</v>
      </c>
      <c r="AS308" s="346"/>
      <c r="BB308" s="352"/>
      <c r="BC308" s="348"/>
      <c r="BE308" s="335">
        <f t="shared" si="113"/>
        <v>35619</v>
      </c>
      <c r="BF308" s="345">
        <v>35626</v>
      </c>
      <c r="BG308" s="317">
        <f t="shared" si="109"/>
        <v>7</v>
      </c>
      <c r="BH308" s="346">
        <v>3.3399999999999999E-2</v>
      </c>
      <c r="BI308" s="337">
        <f t="shared" si="120"/>
        <v>19216.439999999999</v>
      </c>
      <c r="BK308" s="364"/>
      <c r="BO308" s="335">
        <f t="shared" si="114"/>
        <v>37561</v>
      </c>
      <c r="BP308" s="345">
        <v>37567</v>
      </c>
      <c r="BQ308" s="317">
        <f t="shared" si="106"/>
        <v>6</v>
      </c>
      <c r="BR308" s="347">
        <v>1.8499999999999999E-2</v>
      </c>
      <c r="BS308" s="337">
        <f t="shared" si="107"/>
        <v>5169.8630139999996</v>
      </c>
      <c r="CE308" s="345"/>
      <c r="CH308" s="337"/>
      <c r="CL308" s="335">
        <f t="shared" si="115"/>
        <v>38477</v>
      </c>
      <c r="CM308" s="361">
        <v>38484</v>
      </c>
      <c r="CN308" s="317">
        <f t="shared" si="122"/>
        <v>7</v>
      </c>
      <c r="CO308" s="346">
        <v>2.93E-2</v>
      </c>
      <c r="CP308" s="346"/>
      <c r="CQ308" s="346"/>
      <c r="CR308" s="346"/>
      <c r="CS308" s="346"/>
      <c r="CT308" s="346"/>
      <c r="CU308" s="346"/>
      <c r="CV308" s="337">
        <f t="shared" si="123"/>
        <v>46827.4</v>
      </c>
    </row>
    <row r="309" spans="1:101" hidden="1" x14ac:dyDescent="0.25">
      <c r="A309" s="335">
        <f t="shared" si="116"/>
        <v>36081</v>
      </c>
      <c r="B309" s="345">
        <v>36103</v>
      </c>
      <c r="C309" s="317">
        <f t="shared" si="110"/>
        <v>22</v>
      </c>
      <c r="E309" s="346">
        <v>3.3890000000000003E-2</v>
      </c>
      <c r="F309" s="339">
        <f>ROUND(((F308*SUM($C$10:C308))+(E309*C309))/SUM($C$10:C309),5)</f>
        <v>3.2460000000000003E-2</v>
      </c>
      <c r="G309" s="348">
        <v>98.1</v>
      </c>
      <c r="I309" s="335">
        <f t="shared" si="117"/>
        <v>35370</v>
      </c>
      <c r="J309" s="353">
        <v>35377</v>
      </c>
      <c r="K309" s="317">
        <f t="shared" si="111"/>
        <v>7</v>
      </c>
      <c r="M309" s="339">
        <v>3.6319999999999998E-2</v>
      </c>
      <c r="N309" s="339">
        <f>ROUND(((N308*SUM($K$10:K308))+(M309*K309))/SUM($K$10:K309),5)</f>
        <v>3.143E-2</v>
      </c>
      <c r="O309" s="351">
        <v>87.9</v>
      </c>
      <c r="Q309" s="335">
        <f t="shared" si="118"/>
        <v>36172</v>
      </c>
      <c r="R309" s="345">
        <v>36179</v>
      </c>
      <c r="S309" s="317">
        <f t="shared" si="112"/>
        <v>7</v>
      </c>
      <c r="U309" s="346">
        <v>3.014E-2</v>
      </c>
      <c r="V309" s="339">
        <f>ROUND(((V308*SUM($S$10:S308))+(U309*S309))/SUM($S$10:S309),5)</f>
        <v>3.4430000000000002E-2</v>
      </c>
      <c r="W309" s="316">
        <v>83.4</v>
      </c>
      <c r="AS309" s="346"/>
      <c r="BB309" s="352"/>
      <c r="BC309" s="348"/>
      <c r="BE309" s="335">
        <f t="shared" si="113"/>
        <v>35626</v>
      </c>
      <c r="BF309" s="345">
        <v>35633</v>
      </c>
      <c r="BG309" s="317">
        <f t="shared" si="109"/>
        <v>7</v>
      </c>
      <c r="BH309" s="346">
        <v>3.6999999999999998E-2</v>
      </c>
      <c r="BI309" s="337">
        <f t="shared" si="120"/>
        <v>21287.67</v>
      </c>
      <c r="BK309" s="364"/>
      <c r="BO309" s="335">
        <f t="shared" si="114"/>
        <v>37567</v>
      </c>
      <c r="BP309" s="345">
        <v>37574</v>
      </c>
      <c r="BQ309" s="317">
        <f t="shared" si="106"/>
        <v>7</v>
      </c>
      <c r="BR309" s="347">
        <v>1.7100000000000001E-2</v>
      </c>
      <c r="BS309" s="337">
        <f t="shared" si="107"/>
        <v>5575.0684929999998</v>
      </c>
      <c r="CE309" s="345"/>
      <c r="CH309" s="337"/>
      <c r="CL309" s="335">
        <f t="shared" si="115"/>
        <v>38484</v>
      </c>
      <c r="CM309" s="361">
        <v>38491</v>
      </c>
      <c r="CN309" s="317">
        <f t="shared" si="122"/>
        <v>7</v>
      </c>
      <c r="CO309" s="346">
        <v>0.03</v>
      </c>
      <c r="CP309" s="346"/>
      <c r="CQ309" s="346"/>
      <c r="CR309" s="346"/>
      <c r="CS309" s="346"/>
      <c r="CT309" s="346"/>
      <c r="CU309" s="346"/>
      <c r="CV309" s="337">
        <f t="shared" si="123"/>
        <v>47946.2</v>
      </c>
    </row>
    <row r="310" spans="1:101" hidden="1" x14ac:dyDescent="0.25">
      <c r="A310" s="335">
        <f t="shared" si="116"/>
        <v>36103</v>
      </c>
      <c r="B310" s="345">
        <v>36108</v>
      </c>
      <c r="C310" s="317">
        <f t="shared" si="110"/>
        <v>5</v>
      </c>
      <c r="E310" s="346">
        <v>3.3649999999999999E-2</v>
      </c>
      <c r="F310" s="339">
        <f>ROUND(((F309*SUM($C$10:C309))+(E310*C310))/SUM($C$10:C310),5)</f>
        <v>3.2460000000000003E-2</v>
      </c>
      <c r="G310" s="348">
        <v>102.5</v>
      </c>
      <c r="I310" s="335">
        <f t="shared" si="117"/>
        <v>35377</v>
      </c>
      <c r="J310" s="353">
        <v>35388</v>
      </c>
      <c r="K310" s="317">
        <f t="shared" si="111"/>
        <v>11</v>
      </c>
      <c r="M310" s="339">
        <v>3.6229999999999998E-2</v>
      </c>
      <c r="N310" s="339">
        <f>ROUND(((N309*SUM($K$10:K309))+(M310*K310))/SUM($K$10:K310),5)</f>
        <v>3.1460000000000002E-2</v>
      </c>
      <c r="O310" s="351">
        <v>99.7</v>
      </c>
      <c r="Q310" s="335">
        <f t="shared" si="118"/>
        <v>36179</v>
      </c>
      <c r="R310" s="345">
        <v>36181</v>
      </c>
      <c r="S310" s="317">
        <f t="shared" si="112"/>
        <v>2</v>
      </c>
      <c r="U310" s="346">
        <v>2.997E-2</v>
      </c>
      <c r="V310" s="339">
        <f>ROUND(((V309*SUM($S$10:S309))+(U310*S310))/SUM($S$10:S310),5)</f>
        <v>3.4430000000000002E-2</v>
      </c>
      <c r="W310" s="316">
        <v>82.5</v>
      </c>
      <c r="AS310" s="346"/>
      <c r="BB310" s="352"/>
      <c r="BC310" s="348"/>
      <c r="BE310" s="335">
        <f t="shared" si="113"/>
        <v>35633</v>
      </c>
      <c r="BF310" s="345">
        <v>35640</v>
      </c>
      <c r="BG310" s="317">
        <f t="shared" si="109"/>
        <v>7</v>
      </c>
      <c r="BH310" s="346">
        <v>3.6799999999999999E-2</v>
      </c>
      <c r="BI310" s="337">
        <f t="shared" si="120"/>
        <v>21172.6</v>
      </c>
      <c r="BK310" s="364"/>
      <c r="BO310" s="335">
        <f t="shared" si="114"/>
        <v>37574</v>
      </c>
      <c r="BP310" s="345">
        <v>37581</v>
      </c>
      <c r="BQ310" s="317">
        <f t="shared" si="106"/>
        <v>7</v>
      </c>
      <c r="BR310" s="347">
        <v>1.38E-2</v>
      </c>
      <c r="BS310" s="337">
        <f t="shared" si="107"/>
        <v>4499.1780820000004</v>
      </c>
      <c r="CE310" s="345"/>
      <c r="CH310" s="337"/>
      <c r="CL310" s="335">
        <f t="shared" si="115"/>
        <v>38491</v>
      </c>
      <c r="CM310" s="361">
        <v>38498</v>
      </c>
      <c r="CN310" s="317">
        <f t="shared" si="122"/>
        <v>7</v>
      </c>
      <c r="CO310" s="346">
        <v>2.98E-2</v>
      </c>
      <c r="CP310" s="346"/>
      <c r="CQ310" s="346"/>
      <c r="CR310" s="346"/>
      <c r="CS310" s="346"/>
      <c r="CT310" s="346"/>
      <c r="CU310" s="346"/>
      <c r="CV310" s="337">
        <f t="shared" si="123"/>
        <v>47626.5</v>
      </c>
    </row>
    <row r="311" spans="1:101" hidden="1" x14ac:dyDescent="0.25">
      <c r="A311" s="335">
        <f>B310</f>
        <v>36108</v>
      </c>
      <c r="B311" s="345">
        <v>36117</v>
      </c>
      <c r="C311" s="317">
        <f t="shared" si="110"/>
        <v>9</v>
      </c>
      <c r="E311" s="346">
        <v>3.3579999999999999E-2</v>
      </c>
      <c r="F311" s="339">
        <f>ROUND(((F310*SUM($C$10:C310))+(E311*C311))/SUM($C$10:C311),5)</f>
        <v>3.2460000000000003E-2</v>
      </c>
      <c r="G311" s="348">
        <v>104.5</v>
      </c>
      <c r="I311" s="335">
        <f>J310</f>
        <v>35388</v>
      </c>
      <c r="J311" s="353">
        <v>35389</v>
      </c>
      <c r="K311" s="317">
        <f t="shared" si="111"/>
        <v>1</v>
      </c>
      <c r="M311" s="339">
        <v>3.6220000000000002E-2</v>
      </c>
      <c r="N311" s="339">
        <f>ROUND(((N310*SUM($K$10:K310))+(M311*K311))/SUM($K$10:K311),5)</f>
        <v>3.1460000000000002E-2</v>
      </c>
      <c r="O311" s="351">
        <v>96.9</v>
      </c>
      <c r="Q311" s="335">
        <f>R310</f>
        <v>36181</v>
      </c>
      <c r="R311" s="345">
        <v>36182</v>
      </c>
      <c r="S311" s="317">
        <f t="shared" si="112"/>
        <v>1</v>
      </c>
      <c r="U311" s="346">
        <v>2.9940000000000001E-2</v>
      </c>
      <c r="V311" s="339">
        <f>ROUND(((V310*SUM($S$10:S310))+(U311*S311))/SUM($S$10:S311),5)</f>
        <v>3.4430000000000002E-2</v>
      </c>
      <c r="W311" s="316">
        <v>79.099999999999994</v>
      </c>
      <c r="AS311" s="346"/>
      <c r="BB311" s="352"/>
      <c r="BC311" s="348"/>
      <c r="BE311" s="335">
        <f>BF310</f>
        <v>35640</v>
      </c>
      <c r="BF311" s="345">
        <v>35643</v>
      </c>
      <c r="BG311" s="317">
        <f t="shared" si="109"/>
        <v>3</v>
      </c>
      <c r="BH311" s="346">
        <v>3.6799999999999999E-2</v>
      </c>
      <c r="BI311" s="337">
        <f t="shared" si="120"/>
        <v>9073.9699999999993</v>
      </c>
      <c r="BJ311" s="341">
        <f>SUM(BI307:BI311)</f>
        <v>92383.56</v>
      </c>
      <c r="BK311" s="364">
        <v>94804.24</v>
      </c>
      <c r="BL311" s="341">
        <f>BJ311-BK311</f>
        <v>-2420.6800000000076</v>
      </c>
      <c r="BM311" s="341">
        <f>BM306+BL311</f>
        <v>31552.03</v>
      </c>
      <c r="BO311" s="335">
        <f>BP310</f>
        <v>37581</v>
      </c>
      <c r="BP311" s="345">
        <v>37589</v>
      </c>
      <c r="BQ311" s="317">
        <f t="shared" si="106"/>
        <v>8</v>
      </c>
      <c r="BR311" s="347">
        <v>1.2699999999999999E-2</v>
      </c>
      <c r="BS311" s="337">
        <f t="shared" si="107"/>
        <v>4732.054795</v>
      </c>
      <c r="CE311" s="345"/>
      <c r="CH311" s="337"/>
      <c r="CL311" s="335">
        <f t="shared" si="115"/>
        <v>38498</v>
      </c>
      <c r="CM311" s="361">
        <v>38504</v>
      </c>
      <c r="CN311" s="317">
        <f t="shared" si="122"/>
        <v>6</v>
      </c>
      <c r="CO311" s="346">
        <v>2.9600000000000001E-2</v>
      </c>
      <c r="CP311" s="346"/>
      <c r="CQ311" s="346"/>
      <c r="CR311" s="346"/>
      <c r="CS311" s="346"/>
      <c r="CT311" s="346"/>
      <c r="CU311" s="346"/>
      <c r="CV311" s="337">
        <f t="shared" si="123"/>
        <v>40548.800000000003</v>
      </c>
      <c r="CW311" s="341">
        <f>SUM(CV306:CV311)</f>
        <v>210255.3</v>
      </c>
    </row>
    <row r="312" spans="1:101" hidden="1" x14ac:dyDescent="0.25">
      <c r="A312" s="335"/>
      <c r="B312" s="345"/>
      <c r="C312" s="317"/>
      <c r="E312" s="346"/>
      <c r="F312" s="339"/>
      <c r="G312" s="348"/>
      <c r="I312" s="335"/>
      <c r="J312" s="353"/>
      <c r="K312" s="317"/>
      <c r="M312" s="339"/>
      <c r="N312" s="339"/>
      <c r="O312" s="351"/>
      <c r="Q312" s="335"/>
      <c r="R312" s="345"/>
      <c r="S312" s="317"/>
      <c r="U312" s="346"/>
      <c r="V312" s="339"/>
      <c r="AS312" s="346"/>
      <c r="BB312" s="352"/>
      <c r="BC312" s="348"/>
      <c r="BE312" s="335"/>
      <c r="BF312" s="345"/>
      <c r="BG312" s="317"/>
      <c r="BH312" s="346"/>
      <c r="BI312" s="337"/>
      <c r="BJ312" s="341"/>
      <c r="BK312" s="364"/>
      <c r="BL312" s="341"/>
      <c r="BM312" s="341"/>
      <c r="BO312" s="335"/>
      <c r="BP312" s="345"/>
      <c r="BQ312" s="317"/>
      <c r="BR312" s="347"/>
      <c r="BS312" s="337"/>
      <c r="CE312" s="345"/>
      <c r="CH312" s="337"/>
      <c r="CL312" s="335">
        <f t="shared" si="115"/>
        <v>38504</v>
      </c>
      <c r="CM312" s="361">
        <v>38505</v>
      </c>
      <c r="CN312" s="317">
        <f t="shared" si="122"/>
        <v>1</v>
      </c>
      <c r="CO312" s="346">
        <v>2.9600000000000001E-2</v>
      </c>
      <c r="CP312" s="346"/>
      <c r="CQ312" s="346"/>
      <c r="CR312" s="346"/>
      <c r="CS312" s="346"/>
      <c r="CT312" s="346"/>
      <c r="CU312" s="346"/>
      <c r="CV312" s="337">
        <f t="shared" si="123"/>
        <v>6758.1</v>
      </c>
      <c r="CW312" s="341"/>
    </row>
    <row r="313" spans="1:101" hidden="1" x14ac:dyDescent="0.25">
      <c r="A313" s="335"/>
      <c r="B313" s="345"/>
      <c r="C313" s="317"/>
      <c r="E313" s="346"/>
      <c r="F313" s="339"/>
      <c r="G313" s="348"/>
      <c r="I313" s="335"/>
      <c r="J313" s="353"/>
      <c r="K313" s="317"/>
      <c r="M313" s="339"/>
      <c r="N313" s="339"/>
      <c r="O313" s="351"/>
      <c r="Q313" s="335"/>
      <c r="R313" s="345"/>
      <c r="S313" s="317"/>
      <c r="U313" s="346"/>
      <c r="V313" s="339"/>
      <c r="AS313" s="346"/>
      <c r="BB313" s="352"/>
      <c r="BC313" s="348"/>
      <c r="BE313" s="335"/>
      <c r="BF313" s="345"/>
      <c r="BG313" s="317"/>
      <c r="BH313" s="346"/>
      <c r="BI313" s="337"/>
      <c r="BJ313" s="341"/>
      <c r="BK313" s="364"/>
      <c r="BL313" s="341"/>
      <c r="BM313" s="341"/>
      <c r="BO313" s="335"/>
      <c r="BP313" s="345"/>
      <c r="BQ313" s="317"/>
      <c r="BR313" s="347"/>
      <c r="BS313" s="337"/>
      <c r="CE313" s="345"/>
      <c r="CH313" s="337"/>
      <c r="CL313" s="335">
        <f t="shared" si="115"/>
        <v>38505</v>
      </c>
      <c r="CM313" s="361">
        <v>38512</v>
      </c>
      <c r="CN313" s="317">
        <f t="shared" si="122"/>
        <v>7</v>
      </c>
      <c r="CO313" s="346">
        <v>2.63E-2</v>
      </c>
      <c r="CP313" s="346"/>
      <c r="CQ313" s="346"/>
      <c r="CR313" s="346"/>
      <c r="CS313" s="346"/>
      <c r="CT313" s="346"/>
      <c r="CU313" s="346"/>
      <c r="CV313" s="337">
        <f t="shared" si="123"/>
        <v>42032.800000000003</v>
      </c>
      <c r="CW313" s="341"/>
    </row>
    <row r="314" spans="1:101" hidden="1" x14ac:dyDescent="0.25">
      <c r="A314" s="335"/>
      <c r="B314" s="345"/>
      <c r="C314" s="317"/>
      <c r="E314" s="346"/>
      <c r="F314" s="339"/>
      <c r="G314" s="348"/>
      <c r="I314" s="335"/>
      <c r="J314" s="353"/>
      <c r="K314" s="317"/>
      <c r="M314" s="339"/>
      <c r="N314" s="339"/>
      <c r="O314" s="351"/>
      <c r="Q314" s="335"/>
      <c r="R314" s="345"/>
      <c r="S314" s="317"/>
      <c r="U314" s="346"/>
      <c r="V314" s="339"/>
      <c r="AS314" s="346"/>
      <c r="BB314" s="352"/>
      <c r="BC314" s="348"/>
      <c r="BE314" s="335"/>
      <c r="BF314" s="345"/>
      <c r="BG314" s="317"/>
      <c r="BH314" s="346"/>
      <c r="BI314" s="337"/>
      <c r="BJ314" s="341"/>
      <c r="BK314" s="364"/>
      <c r="BL314" s="341"/>
      <c r="BM314" s="341"/>
      <c r="BO314" s="335"/>
      <c r="BP314" s="345"/>
      <c r="BQ314" s="317"/>
      <c r="BR314" s="347"/>
      <c r="BS314" s="337"/>
      <c r="CE314" s="345"/>
      <c r="CH314" s="337"/>
      <c r="CL314" s="335">
        <f t="shared" si="115"/>
        <v>38512</v>
      </c>
      <c r="CM314" s="361">
        <v>38519</v>
      </c>
      <c r="CN314" s="317">
        <f t="shared" si="122"/>
        <v>7</v>
      </c>
      <c r="CO314" s="346">
        <v>2.0899999999999998E-2</v>
      </c>
      <c r="CP314" s="346"/>
      <c r="CQ314" s="346"/>
      <c r="CR314" s="346"/>
      <c r="CS314" s="346"/>
      <c r="CT314" s="346"/>
      <c r="CU314" s="346"/>
      <c r="CV314" s="337">
        <f t="shared" si="123"/>
        <v>33402.5</v>
      </c>
      <c r="CW314" s="341"/>
    </row>
    <row r="315" spans="1:101" hidden="1" x14ac:dyDescent="0.25">
      <c r="A315" s="335"/>
      <c r="B315" s="345"/>
      <c r="C315" s="317"/>
      <c r="E315" s="346"/>
      <c r="F315" s="339"/>
      <c r="G315" s="348"/>
      <c r="I315" s="335"/>
      <c r="J315" s="353"/>
      <c r="K315" s="317"/>
      <c r="M315" s="339"/>
      <c r="N315" s="339"/>
      <c r="O315" s="351"/>
      <c r="Q315" s="335"/>
      <c r="R315" s="345"/>
      <c r="S315" s="317"/>
      <c r="U315" s="346"/>
      <c r="V315" s="339"/>
      <c r="AS315" s="346"/>
      <c r="BB315" s="352"/>
      <c r="BC315" s="348"/>
      <c r="BE315" s="335"/>
      <c r="BF315" s="345"/>
      <c r="BG315" s="317"/>
      <c r="BH315" s="346"/>
      <c r="BI315" s="337"/>
      <c r="BJ315" s="341"/>
      <c r="BK315" s="364"/>
      <c r="BL315" s="341"/>
      <c r="BM315" s="341"/>
      <c r="BO315" s="335"/>
      <c r="BP315" s="345"/>
      <c r="BQ315" s="317"/>
      <c r="BR315" s="347"/>
      <c r="BS315" s="337"/>
      <c r="CE315" s="345"/>
      <c r="CH315" s="337"/>
      <c r="CL315" s="335">
        <f t="shared" si="115"/>
        <v>38519</v>
      </c>
      <c r="CM315" s="361">
        <v>38526</v>
      </c>
      <c r="CN315" s="317">
        <f t="shared" si="122"/>
        <v>7</v>
      </c>
      <c r="CO315" s="346">
        <v>2.41E-2</v>
      </c>
      <c r="CP315" s="346"/>
      <c r="CQ315" s="346"/>
      <c r="CR315" s="346"/>
      <c r="CS315" s="346"/>
      <c r="CT315" s="346"/>
      <c r="CU315" s="346"/>
      <c r="CV315" s="337">
        <f t="shared" si="123"/>
        <v>38516.800000000003</v>
      </c>
      <c r="CW315" s="341"/>
    </row>
    <row r="316" spans="1:101" hidden="1" x14ac:dyDescent="0.25">
      <c r="A316" s="335"/>
      <c r="B316" s="345"/>
      <c r="C316" s="317"/>
      <c r="E316" s="346"/>
      <c r="F316" s="339"/>
      <c r="G316" s="348"/>
      <c r="I316" s="335"/>
      <c r="J316" s="353"/>
      <c r="K316" s="317"/>
      <c r="M316" s="339"/>
      <c r="N316" s="339"/>
      <c r="O316" s="351"/>
      <c r="Q316" s="335"/>
      <c r="R316" s="345"/>
      <c r="S316" s="317"/>
      <c r="U316" s="346"/>
      <c r="V316" s="339"/>
      <c r="AS316" s="346"/>
      <c r="BB316" s="352"/>
      <c r="BC316" s="348"/>
      <c r="BE316" s="335"/>
      <c r="BF316" s="345"/>
      <c r="BG316" s="317"/>
      <c r="BH316" s="346"/>
      <c r="BI316" s="337"/>
      <c r="BJ316" s="341"/>
      <c r="BK316" s="364"/>
      <c r="BL316" s="341"/>
      <c r="BM316" s="341"/>
      <c r="BO316" s="335"/>
      <c r="BP316" s="345"/>
      <c r="BQ316" s="317"/>
      <c r="BR316" s="347"/>
      <c r="BS316" s="337"/>
      <c r="CE316" s="345"/>
      <c r="CH316" s="337"/>
      <c r="CL316" s="335">
        <f t="shared" si="115"/>
        <v>38526</v>
      </c>
      <c r="CM316" s="361">
        <v>38533</v>
      </c>
      <c r="CN316" s="317">
        <f t="shared" si="122"/>
        <v>7</v>
      </c>
      <c r="CO316" s="346">
        <v>2.5399999999999999E-2</v>
      </c>
      <c r="CP316" s="346"/>
      <c r="CQ316" s="346"/>
      <c r="CR316" s="346"/>
      <c r="CS316" s="346"/>
      <c r="CT316" s="346"/>
      <c r="CU316" s="346"/>
      <c r="CV316" s="337">
        <f t="shared" si="123"/>
        <v>40594.400000000001</v>
      </c>
      <c r="CW316" s="341"/>
    </row>
    <row r="317" spans="1:101" hidden="1" x14ac:dyDescent="0.25">
      <c r="A317" s="335"/>
      <c r="B317" s="345"/>
      <c r="C317" s="317"/>
      <c r="E317" s="346"/>
      <c r="F317" s="339"/>
      <c r="G317" s="348"/>
      <c r="I317" s="335"/>
      <c r="J317" s="353"/>
      <c r="K317" s="317"/>
      <c r="M317" s="339"/>
      <c r="N317" s="339"/>
      <c r="O317" s="351"/>
      <c r="Q317" s="335"/>
      <c r="R317" s="345"/>
      <c r="S317" s="317"/>
      <c r="U317" s="346"/>
      <c r="V317" s="339"/>
      <c r="AS317" s="346"/>
      <c r="BB317" s="352"/>
      <c r="BC317" s="348"/>
      <c r="BE317" s="335"/>
      <c r="BF317" s="345"/>
      <c r="BG317" s="317"/>
      <c r="BH317" s="346"/>
      <c r="BI317" s="337"/>
      <c r="BJ317" s="341"/>
      <c r="BK317" s="364"/>
      <c r="BL317" s="341"/>
      <c r="BM317" s="341"/>
      <c r="BO317" s="335"/>
      <c r="BP317" s="345"/>
      <c r="BQ317" s="317"/>
      <c r="BR317" s="347"/>
      <c r="BS317" s="337"/>
      <c r="CE317" s="345"/>
      <c r="CH317" s="337"/>
      <c r="CL317" s="335">
        <f t="shared" si="115"/>
        <v>38533</v>
      </c>
      <c r="CM317" s="361">
        <v>38534</v>
      </c>
      <c r="CN317" s="317">
        <f t="shared" si="122"/>
        <v>1</v>
      </c>
      <c r="CO317" s="346">
        <v>2.2800000000000001E-2</v>
      </c>
      <c r="CP317" s="346"/>
      <c r="CQ317" s="346"/>
      <c r="CR317" s="346"/>
      <c r="CS317" s="346"/>
      <c r="CT317" s="346"/>
      <c r="CU317" s="346"/>
      <c r="CV317" s="337">
        <f t="shared" si="123"/>
        <v>5205.6000000000004</v>
      </c>
      <c r="CW317" s="341">
        <f>SUM(CV312:CV317)</f>
        <v>166510.20000000001</v>
      </c>
    </row>
    <row r="318" spans="1:101" hidden="1" x14ac:dyDescent="0.25">
      <c r="A318" s="335">
        <f>B311</f>
        <v>36117</v>
      </c>
      <c r="B318" s="345">
        <v>36118</v>
      </c>
      <c r="C318" s="317">
        <f t="shared" si="110"/>
        <v>1</v>
      </c>
      <c r="E318" s="346">
        <v>3.3189999999999997E-2</v>
      </c>
      <c r="F318" s="339">
        <f>ROUND(((F311*SUM($C$10:C311))+(E318*C318))/SUM($C$10:C318),5)</f>
        <v>3.2460000000000003E-2</v>
      </c>
      <c r="G318" s="348">
        <v>102</v>
      </c>
      <c r="I318" s="335">
        <f>J311</f>
        <v>35389</v>
      </c>
      <c r="J318" s="353">
        <v>35391</v>
      </c>
      <c r="K318" s="317">
        <f t="shared" si="111"/>
        <v>2</v>
      </c>
      <c r="M318" s="339">
        <v>3.6170000000000001E-2</v>
      </c>
      <c r="N318" s="339">
        <f>ROUND(((N311*SUM($K$10:K311))+(M318*K318))/SUM($K$10:K318),5)</f>
        <v>3.1469999999999998E-2</v>
      </c>
      <c r="O318" s="351">
        <v>96.5</v>
      </c>
      <c r="Q318" s="335">
        <f>R311</f>
        <v>36182</v>
      </c>
      <c r="R318" s="345">
        <v>36196</v>
      </c>
      <c r="S318" s="317">
        <f t="shared" si="112"/>
        <v>14</v>
      </c>
      <c r="U318" s="346">
        <v>2.9690000000000001E-2</v>
      </c>
      <c r="V318" s="339">
        <f>ROUND(((V311*SUM($S$10:S311))+(U318*S318))/SUM($S$10:S318),5)</f>
        <v>3.44E-2</v>
      </c>
      <c r="W318" s="348">
        <v>100</v>
      </c>
      <c r="AS318" s="346"/>
      <c r="BB318" s="352"/>
      <c r="BC318" s="348"/>
      <c r="BE318" s="335">
        <f>BF311</f>
        <v>35643</v>
      </c>
      <c r="BF318" s="345">
        <v>35647</v>
      </c>
      <c r="BG318" s="317">
        <f t="shared" si="109"/>
        <v>4</v>
      </c>
      <c r="BH318" s="346">
        <v>3.6799999999999999E-2</v>
      </c>
      <c r="BI318" s="337">
        <f t="shared" si="120"/>
        <v>12098.63</v>
      </c>
      <c r="BK318" s="364"/>
      <c r="BO318" s="335">
        <f>BP311</f>
        <v>37589</v>
      </c>
      <c r="BP318" s="345">
        <v>37591</v>
      </c>
      <c r="BQ318" s="317">
        <f t="shared" si="106"/>
        <v>2</v>
      </c>
      <c r="BR318" s="347">
        <v>1.1599999999999999E-2</v>
      </c>
      <c r="BS318" s="337">
        <f t="shared" si="107"/>
        <v>1080.547945</v>
      </c>
      <c r="BT318" s="341">
        <f>SUM(BS308:BS318)</f>
        <v>21056.712328999998</v>
      </c>
      <c r="CE318" s="345"/>
      <c r="CH318" s="337"/>
      <c r="CL318" s="335">
        <f t="shared" si="115"/>
        <v>38534</v>
      </c>
      <c r="CM318" s="361">
        <v>38540</v>
      </c>
      <c r="CN318" s="317">
        <f t="shared" si="122"/>
        <v>6</v>
      </c>
      <c r="CO318" s="346">
        <v>2.2800000000000001E-2</v>
      </c>
      <c r="CP318" s="346"/>
      <c r="CQ318" s="346"/>
      <c r="CR318" s="346"/>
      <c r="CS318" s="346"/>
      <c r="CT318" s="346"/>
      <c r="CU318" s="346"/>
      <c r="CV318" s="337">
        <f t="shared" si="123"/>
        <v>31233.5</v>
      </c>
    </row>
    <row r="319" spans="1:101" hidden="1" x14ac:dyDescent="0.25">
      <c r="A319" s="335">
        <f t="shared" si="116"/>
        <v>36118</v>
      </c>
      <c r="B319" s="345">
        <v>36136</v>
      </c>
      <c r="C319" s="317">
        <f t="shared" si="110"/>
        <v>18</v>
      </c>
      <c r="E319" s="346">
        <v>3.2919999999999998E-2</v>
      </c>
      <c r="F319" s="339">
        <f>ROUND(((F318*SUM($C$10:C318))+(E319*C319))/SUM($C$10:C319),5)</f>
        <v>3.2460000000000003E-2</v>
      </c>
      <c r="G319" s="348">
        <v>99.3</v>
      </c>
      <c r="I319" s="335">
        <f t="shared" si="117"/>
        <v>35391</v>
      </c>
      <c r="J319" s="353">
        <v>35394</v>
      </c>
      <c r="K319" s="317">
        <f t="shared" si="111"/>
        <v>3</v>
      </c>
      <c r="M319" s="339">
        <v>3.6220000000000002E-2</v>
      </c>
      <c r="N319" s="339">
        <f>ROUND(((N318*SUM($K$10:K318))+(M319*K319))/SUM($K$10:K319),5)</f>
        <v>3.1480000000000001E-2</v>
      </c>
      <c r="O319" s="351">
        <v>90.9</v>
      </c>
      <c r="Q319" s="335">
        <f t="shared" si="118"/>
        <v>36196</v>
      </c>
      <c r="R319" s="345">
        <v>36213</v>
      </c>
      <c r="S319" s="317">
        <f t="shared" si="112"/>
        <v>17</v>
      </c>
      <c r="U319" s="346">
        <v>2.911E-2</v>
      </c>
      <c r="V319" s="339">
        <f>ROUND(((V318*SUM($S$10:S318))+(U319*S319))/SUM($S$10:S319),5)</f>
        <v>3.4360000000000002E-2</v>
      </c>
      <c r="W319" s="316">
        <v>95.2</v>
      </c>
      <c r="AS319" s="346"/>
      <c r="BB319" s="352"/>
      <c r="BC319" s="348"/>
      <c r="BE319" s="335">
        <f t="shared" si="113"/>
        <v>35647</v>
      </c>
      <c r="BF319" s="345">
        <v>35654</v>
      </c>
      <c r="BG319" s="317">
        <f t="shared" si="109"/>
        <v>7</v>
      </c>
      <c r="BH319" s="346">
        <v>3.5000000000000003E-2</v>
      </c>
      <c r="BI319" s="337">
        <f t="shared" si="120"/>
        <v>20136.990000000002</v>
      </c>
      <c r="BK319" s="364"/>
      <c r="BO319" s="335">
        <f t="shared" si="114"/>
        <v>37591</v>
      </c>
      <c r="BP319" s="345">
        <v>37595</v>
      </c>
      <c r="BQ319" s="317">
        <f t="shared" si="106"/>
        <v>4</v>
      </c>
      <c r="BR319" s="347">
        <v>1.1599999999999999E-2</v>
      </c>
      <c r="BS319" s="337">
        <f t="shared" si="107"/>
        <v>2161.0958900000001</v>
      </c>
      <c r="CE319" s="345"/>
      <c r="CH319" s="337"/>
      <c r="CL319" s="335">
        <f t="shared" si="115"/>
        <v>38540</v>
      </c>
      <c r="CM319" s="361">
        <v>38547</v>
      </c>
      <c r="CN319" s="317">
        <f t="shared" si="122"/>
        <v>7</v>
      </c>
      <c r="CO319" s="346">
        <v>1.9699999999999999E-2</v>
      </c>
      <c r="CP319" s="346"/>
      <c r="CQ319" s="346"/>
      <c r="CR319" s="346"/>
      <c r="CS319" s="346"/>
      <c r="CT319" s="346"/>
      <c r="CU319" s="346"/>
      <c r="CV319" s="337">
        <f t="shared" si="123"/>
        <v>31484.6</v>
      </c>
    </row>
    <row r="320" spans="1:101" hidden="1" x14ac:dyDescent="0.25">
      <c r="A320" s="335">
        <f t="shared" si="116"/>
        <v>36136</v>
      </c>
      <c r="B320" s="345">
        <v>36137</v>
      </c>
      <c r="C320" s="317">
        <f t="shared" si="110"/>
        <v>1</v>
      </c>
      <c r="E320" s="346">
        <v>3.2629999999999999E-2</v>
      </c>
      <c r="F320" s="339">
        <f>ROUND(((F319*SUM($C$10:C319))+(E320*C320))/SUM($C$10:C320),5)</f>
        <v>3.2460000000000003E-2</v>
      </c>
      <c r="G320" s="348">
        <v>101.4</v>
      </c>
      <c r="I320" s="335">
        <f t="shared" si="117"/>
        <v>35394</v>
      </c>
      <c r="J320" s="353">
        <v>35401</v>
      </c>
      <c r="K320" s="317">
        <f t="shared" si="111"/>
        <v>7</v>
      </c>
      <c r="M320" s="339">
        <v>3.6209999999999999E-2</v>
      </c>
      <c r="N320" s="339">
        <f>ROUND(((N319*SUM($K$10:K319))+(M320*K320))/SUM($K$10:K320),5)</f>
        <v>3.15E-2</v>
      </c>
      <c r="O320" s="351">
        <v>91.3</v>
      </c>
      <c r="Q320" s="335">
        <f t="shared" si="118"/>
        <v>36213</v>
      </c>
      <c r="R320" s="345">
        <v>36216</v>
      </c>
      <c r="S320" s="317">
        <f t="shared" si="112"/>
        <v>3</v>
      </c>
      <c r="U320" s="346">
        <v>2.86E-2</v>
      </c>
      <c r="V320" s="339">
        <f>ROUND(((V319*SUM($S$10:S319))+(U320*S320))/SUM($S$10:S320),5)</f>
        <v>3.4349999999999999E-2</v>
      </c>
      <c r="W320" s="316">
        <v>96.4</v>
      </c>
      <c r="AS320" s="346"/>
      <c r="BB320" s="352"/>
      <c r="BC320" s="348"/>
      <c r="BE320" s="335">
        <f t="shared" si="113"/>
        <v>35654</v>
      </c>
      <c r="BF320" s="345">
        <v>35661</v>
      </c>
      <c r="BG320" s="317">
        <f t="shared" si="109"/>
        <v>7</v>
      </c>
      <c r="BH320" s="346">
        <v>3.4299999999999997E-2</v>
      </c>
      <c r="BI320" s="337">
        <f t="shared" si="120"/>
        <v>19734.25</v>
      </c>
      <c r="BK320" s="364"/>
      <c r="BO320" s="335">
        <f t="shared" si="114"/>
        <v>37595</v>
      </c>
      <c r="BP320" s="345">
        <v>37602</v>
      </c>
      <c r="BQ320" s="317">
        <f t="shared" si="106"/>
        <v>7</v>
      </c>
      <c r="BR320" s="347">
        <v>1.04E-2</v>
      </c>
      <c r="BS320" s="337">
        <f t="shared" si="107"/>
        <v>3390.6849320000001</v>
      </c>
      <c r="CE320" s="345"/>
      <c r="CH320" s="337"/>
      <c r="CL320" s="335">
        <f t="shared" si="115"/>
        <v>38547</v>
      </c>
      <c r="CM320" s="361">
        <v>38554</v>
      </c>
      <c r="CN320" s="317">
        <f t="shared" si="122"/>
        <v>7</v>
      </c>
      <c r="CO320" s="346">
        <v>2.3199999999999998E-2</v>
      </c>
      <c r="CP320" s="346"/>
      <c r="CQ320" s="346"/>
      <c r="CR320" s="346"/>
      <c r="CS320" s="346"/>
      <c r="CT320" s="346"/>
      <c r="CU320" s="346"/>
      <c r="CV320" s="337">
        <f>ROUND($CR$5*CO320*CN320/365,2)</f>
        <v>37078.370000000003</v>
      </c>
    </row>
    <row r="321" spans="1:101" hidden="1" x14ac:dyDescent="0.25">
      <c r="A321" s="335">
        <f t="shared" si="116"/>
        <v>36137</v>
      </c>
      <c r="B321" s="345">
        <v>36138</v>
      </c>
      <c r="C321" s="317">
        <f t="shared" si="110"/>
        <v>1</v>
      </c>
      <c r="E321" s="346">
        <v>3.2079999999999997E-2</v>
      </c>
      <c r="F321" s="339">
        <f>ROUND(((F320*SUM($C$10:C320))+(E321*C321))/SUM($C$10:C321),5)</f>
        <v>3.2460000000000003E-2</v>
      </c>
      <c r="G321" s="348">
        <v>98</v>
      </c>
      <c r="I321" s="335">
        <f t="shared" si="117"/>
        <v>35401</v>
      </c>
      <c r="J321" s="353">
        <v>35403</v>
      </c>
      <c r="K321" s="317">
        <f t="shared" si="111"/>
        <v>2</v>
      </c>
      <c r="M321" s="339">
        <v>3.6179999999999997E-2</v>
      </c>
      <c r="N321" s="339">
        <f>ROUND(((N320*SUM($K$10:K320))+(M321*K321))/SUM($K$10:K321),5)</f>
        <v>3.1510000000000003E-2</v>
      </c>
      <c r="O321" s="351">
        <v>95.2</v>
      </c>
      <c r="Q321" s="335">
        <f t="shared" si="118"/>
        <v>36216</v>
      </c>
      <c r="R321" s="345">
        <v>36220</v>
      </c>
      <c r="S321" s="317">
        <f t="shared" si="112"/>
        <v>4</v>
      </c>
      <c r="U321" s="346">
        <v>2.8750000000000001E-2</v>
      </c>
      <c r="V321" s="339">
        <f>ROUND(((V320*SUM($S$10:S320))+(U321*S321))/SUM($S$10:S321),5)</f>
        <v>3.4340000000000002E-2</v>
      </c>
      <c r="W321" s="316">
        <v>94.3</v>
      </c>
      <c r="AS321" s="346"/>
      <c r="BB321" s="352"/>
      <c r="BC321" s="348"/>
      <c r="BE321" s="335">
        <f t="shared" si="113"/>
        <v>35661</v>
      </c>
      <c r="BF321" s="345">
        <v>35668</v>
      </c>
      <c r="BG321" s="317">
        <f t="shared" si="109"/>
        <v>7</v>
      </c>
      <c r="BH321" s="346">
        <v>3.4200000000000001E-2</v>
      </c>
      <c r="BI321" s="337">
        <f t="shared" si="120"/>
        <v>19676.71</v>
      </c>
      <c r="BK321" s="364"/>
      <c r="BO321" s="335">
        <f t="shared" si="114"/>
        <v>37602</v>
      </c>
      <c r="BP321" s="345">
        <v>37609</v>
      </c>
      <c r="BQ321" s="317">
        <f t="shared" si="106"/>
        <v>7</v>
      </c>
      <c r="BR321" s="347">
        <v>1.01E-2</v>
      </c>
      <c r="BS321" s="337">
        <f t="shared" si="107"/>
        <v>3292.8767120000002</v>
      </c>
      <c r="CE321" s="345"/>
      <c r="CH321" s="337"/>
      <c r="CL321" s="335">
        <f t="shared" si="115"/>
        <v>38554</v>
      </c>
      <c r="CM321" s="361">
        <v>38561</v>
      </c>
      <c r="CN321" s="317">
        <f t="shared" si="122"/>
        <v>7</v>
      </c>
      <c r="CO321" s="346">
        <v>2.4E-2</v>
      </c>
      <c r="CP321" s="346"/>
      <c r="CQ321" s="346"/>
      <c r="CR321" s="346"/>
      <c r="CS321" s="346"/>
      <c r="CT321" s="346"/>
      <c r="CU321" s="346"/>
      <c r="CV321" s="337">
        <f>ROUND($CR$5*CO321*CN321/365,2)</f>
        <v>38356.93</v>
      </c>
    </row>
    <row r="322" spans="1:101" hidden="1" x14ac:dyDescent="0.25">
      <c r="A322" s="335">
        <f t="shared" si="116"/>
        <v>36138</v>
      </c>
      <c r="B322" s="345">
        <v>36145</v>
      </c>
      <c r="C322" s="317">
        <f t="shared" si="110"/>
        <v>7</v>
      </c>
      <c r="E322" s="346">
        <v>3.1899999999999998E-2</v>
      </c>
      <c r="F322" s="339">
        <f>ROUND(((F321*SUM($C$10:C321))+(E322*C322))/SUM($C$10:C322),5)</f>
        <v>3.2460000000000003E-2</v>
      </c>
      <c r="G322" s="348">
        <v>102.4</v>
      </c>
      <c r="I322" s="335">
        <f t="shared" si="117"/>
        <v>35403</v>
      </c>
      <c r="J322" s="353">
        <v>35404</v>
      </c>
      <c r="K322" s="317">
        <f t="shared" si="111"/>
        <v>1</v>
      </c>
      <c r="M322" s="339">
        <v>3.6089999999999997E-2</v>
      </c>
      <c r="N322" s="339">
        <f>ROUND(((N321*SUM($K$10:K321))+(M322*K322))/SUM($K$10:K322),5)</f>
        <v>3.1510000000000003E-2</v>
      </c>
      <c r="O322" s="351">
        <v>96.8</v>
      </c>
      <c r="Q322" s="335">
        <f t="shared" si="118"/>
        <v>36220</v>
      </c>
      <c r="R322" s="345">
        <v>36241</v>
      </c>
      <c r="S322" s="317">
        <f t="shared" si="112"/>
        <v>21</v>
      </c>
      <c r="U322" s="346">
        <v>2.8709999999999999E-2</v>
      </c>
      <c r="V322" s="339">
        <f>ROUND(((V321*SUM($S$10:S321))+(U322*S322))/SUM($S$10:S322),5)</f>
        <v>3.4279999999999998E-2</v>
      </c>
      <c r="W322" s="316">
        <v>96.5</v>
      </c>
      <c r="AS322" s="346"/>
      <c r="BB322" s="352"/>
      <c r="BC322" s="348"/>
      <c r="BE322" s="335">
        <f t="shared" si="113"/>
        <v>35668</v>
      </c>
      <c r="BF322" s="345">
        <v>35674</v>
      </c>
      <c r="BG322" s="317">
        <f t="shared" si="109"/>
        <v>6</v>
      </c>
      <c r="BH322" s="346">
        <v>3.4000000000000002E-2</v>
      </c>
      <c r="BI322" s="337">
        <f t="shared" si="120"/>
        <v>16767.12</v>
      </c>
      <c r="BJ322" s="341">
        <f>SUM(BI318:BI322)</f>
        <v>88413.7</v>
      </c>
      <c r="BK322" s="364">
        <v>94447.64</v>
      </c>
      <c r="BL322" s="341">
        <f>BJ322-BK322</f>
        <v>-6033.9400000000023</v>
      </c>
      <c r="BM322" s="341">
        <f>BM311+BL322</f>
        <v>25518.089999999997</v>
      </c>
      <c r="BO322" s="335">
        <f t="shared" si="114"/>
        <v>37609</v>
      </c>
      <c r="BP322" s="345">
        <v>37616</v>
      </c>
      <c r="BQ322" s="317">
        <f t="shared" si="106"/>
        <v>7</v>
      </c>
      <c r="BR322" s="347">
        <v>1.18E-2</v>
      </c>
      <c r="BS322" s="337">
        <f t="shared" si="107"/>
        <v>3847.1232879999998</v>
      </c>
      <c r="CE322" s="345"/>
      <c r="CH322" s="337"/>
      <c r="CL322" s="335">
        <f t="shared" si="115"/>
        <v>38561</v>
      </c>
      <c r="CM322" s="361">
        <v>38565</v>
      </c>
      <c r="CN322" s="317">
        <f t="shared" si="122"/>
        <v>4</v>
      </c>
      <c r="CO322" s="346">
        <v>2.3300000000000001E-2</v>
      </c>
      <c r="CP322" s="346"/>
      <c r="CQ322" s="346"/>
      <c r="CR322" s="346"/>
      <c r="CS322" s="346"/>
      <c r="CT322" s="346"/>
      <c r="CU322" s="346"/>
      <c r="CV322" s="337">
        <f>ROUND($CR$5*CO322*CN322/365,2)</f>
        <v>21278.959999999999</v>
      </c>
      <c r="CW322" s="341">
        <f>SUM(CV318:CV322)</f>
        <v>159432.35999999999</v>
      </c>
    </row>
    <row r="323" spans="1:101" hidden="1" x14ac:dyDescent="0.25">
      <c r="A323" s="335">
        <f t="shared" si="116"/>
        <v>36145</v>
      </c>
      <c r="B323" s="345">
        <v>36172</v>
      </c>
      <c r="C323" s="317">
        <f t="shared" si="110"/>
        <v>27</v>
      </c>
      <c r="E323" s="346">
        <v>3.125E-2</v>
      </c>
      <c r="F323" s="339">
        <f>ROUND(((F322*SUM($C$10:C322))+(E323*C323))/SUM($C$10:C323),5)</f>
        <v>3.245E-2</v>
      </c>
      <c r="G323" s="348">
        <v>94.5</v>
      </c>
      <c r="I323" s="335">
        <f t="shared" si="117"/>
        <v>35404</v>
      </c>
      <c r="J323" s="353">
        <v>35405</v>
      </c>
      <c r="K323" s="317">
        <f t="shared" si="111"/>
        <v>1</v>
      </c>
      <c r="M323" s="339">
        <v>3.5920000000000001E-2</v>
      </c>
      <c r="N323" s="339">
        <f>ROUND(((N322*SUM($K$10:K322))+(M323*K323))/SUM($K$10:K323),5)</f>
        <v>3.1510000000000003E-2</v>
      </c>
      <c r="O323" s="351">
        <v>100.4</v>
      </c>
      <c r="Q323" s="335">
        <f t="shared" si="118"/>
        <v>36241</v>
      </c>
      <c r="R323" s="345">
        <v>36251</v>
      </c>
      <c r="S323" s="317">
        <f t="shared" si="112"/>
        <v>10</v>
      </c>
      <c r="U323" s="346">
        <v>2.9159999999999998E-2</v>
      </c>
      <c r="V323" s="339">
        <f>ROUND(((V322*SUM($S$10:S322))+(U323*S323))/SUM($S$10:S323),5)</f>
        <v>3.4250000000000003E-2</v>
      </c>
      <c r="W323" s="316">
        <v>110.9</v>
      </c>
      <c r="AS323" s="346"/>
      <c r="BB323" s="352"/>
      <c r="BC323" s="348"/>
      <c r="BE323" s="335">
        <f t="shared" si="113"/>
        <v>35674</v>
      </c>
      <c r="BF323" s="345">
        <v>35675</v>
      </c>
      <c r="BG323" s="317">
        <f t="shared" si="109"/>
        <v>1</v>
      </c>
      <c r="BH323" s="346">
        <v>3.4000000000000002E-2</v>
      </c>
      <c r="BI323" s="337">
        <f t="shared" si="120"/>
        <v>2794.52</v>
      </c>
      <c r="BK323" s="364"/>
      <c r="BO323" s="335">
        <f t="shared" si="114"/>
        <v>37616</v>
      </c>
      <c r="BP323" s="345">
        <v>37622</v>
      </c>
      <c r="BQ323" s="317">
        <f t="shared" si="106"/>
        <v>6</v>
      </c>
      <c r="BR323" s="347">
        <v>1.52E-2</v>
      </c>
      <c r="BS323" s="337">
        <f t="shared" si="107"/>
        <v>4247.671233</v>
      </c>
      <c r="BT323" s="341">
        <f>SUM(BS319:BS323)</f>
        <v>16939.452055000002</v>
      </c>
      <c r="CE323" s="345"/>
      <c r="CH323" s="337"/>
      <c r="CL323" s="335">
        <f t="shared" si="115"/>
        <v>38565</v>
      </c>
      <c r="CM323" s="361">
        <v>38568</v>
      </c>
      <c r="CN323" s="317">
        <f t="shared" si="122"/>
        <v>3</v>
      </c>
      <c r="CO323" s="346">
        <v>2.3300000000000001E-2</v>
      </c>
      <c r="CP323" s="346"/>
      <c r="CQ323" s="346"/>
      <c r="CR323" s="346"/>
      <c r="CS323" s="346"/>
      <c r="CT323" s="346"/>
      <c r="CU323" s="346"/>
      <c r="CV323" s="337">
        <f>ROUND($CR$5*CO323*CN323/365,1)</f>
        <v>15959.2</v>
      </c>
    </row>
    <row r="324" spans="1:101" hidden="1" x14ac:dyDescent="0.25">
      <c r="A324" s="335">
        <f t="shared" si="116"/>
        <v>36172</v>
      </c>
      <c r="B324" s="345">
        <v>36187</v>
      </c>
      <c r="C324" s="317">
        <f t="shared" si="110"/>
        <v>15</v>
      </c>
      <c r="E324" s="346">
        <v>3.1189999999999999E-2</v>
      </c>
      <c r="F324" s="339">
        <f>ROUND(((F323*SUM($C$10:C323))+(E324*C324))/SUM($C$10:C324),5)</f>
        <v>3.2439999999999997E-2</v>
      </c>
      <c r="G324" s="348">
        <v>93.9</v>
      </c>
      <c r="I324" s="335">
        <f t="shared" si="117"/>
        <v>35405</v>
      </c>
      <c r="J324" s="353">
        <v>35409</v>
      </c>
      <c r="K324" s="317">
        <f t="shared" si="111"/>
        <v>4</v>
      </c>
      <c r="M324" s="339">
        <v>3.5929999999999997E-2</v>
      </c>
      <c r="N324" s="339">
        <f>ROUND(((N323*SUM($K$10:K323))+(M324*K324))/SUM($K$10:K324),5)</f>
        <v>3.1519999999999999E-2</v>
      </c>
      <c r="O324" s="351">
        <v>99.8</v>
      </c>
      <c r="Q324" s="335">
        <f t="shared" si="118"/>
        <v>36251</v>
      </c>
      <c r="R324" s="345">
        <v>36257</v>
      </c>
      <c r="S324" s="317">
        <f t="shared" si="112"/>
        <v>6</v>
      </c>
      <c r="U324" s="346">
        <v>2.9219999999999999E-2</v>
      </c>
      <c r="V324" s="339">
        <f>ROUND(((V323*SUM($S$10:S323))+(U324*S324))/SUM($S$10:S324),5)</f>
        <v>3.424E-2</v>
      </c>
      <c r="W324" s="316">
        <v>109.6</v>
      </c>
      <c r="AS324" s="346"/>
      <c r="BB324" s="352"/>
      <c r="BC324" s="348"/>
      <c r="BE324" s="335">
        <f t="shared" si="113"/>
        <v>35675</v>
      </c>
      <c r="BF324" s="345">
        <v>35682</v>
      </c>
      <c r="BG324" s="317">
        <f t="shared" si="109"/>
        <v>7</v>
      </c>
      <c r="BH324" s="346">
        <v>3.32E-2</v>
      </c>
      <c r="BI324" s="337">
        <f>ROUND($BI$5*BH324*BG324/365,2)</f>
        <v>19101.37</v>
      </c>
      <c r="BK324" s="364"/>
      <c r="BO324" s="335">
        <f t="shared" si="114"/>
        <v>37622</v>
      </c>
      <c r="BP324" s="345">
        <v>37623</v>
      </c>
      <c r="BQ324" s="317">
        <f t="shared" si="106"/>
        <v>1</v>
      </c>
      <c r="BR324" s="347">
        <v>1.52E-2</v>
      </c>
      <c r="BS324" s="337">
        <f t="shared" si="107"/>
        <v>707.94520499999999</v>
      </c>
      <c r="CE324" s="345"/>
      <c r="CH324" s="337"/>
      <c r="CL324" s="335">
        <f t="shared" si="115"/>
        <v>38568</v>
      </c>
      <c r="CM324" s="361">
        <v>38575</v>
      </c>
      <c r="CN324" s="317">
        <f t="shared" si="122"/>
        <v>7</v>
      </c>
      <c r="CO324" s="346">
        <v>2.0799999999999999E-2</v>
      </c>
      <c r="CP324" s="346"/>
      <c r="CQ324" s="346"/>
      <c r="CR324" s="346"/>
      <c r="CS324" s="346"/>
      <c r="CT324" s="346"/>
      <c r="CU324" s="346"/>
      <c r="CV324" s="337">
        <f>ROUND($CR$5*CO324*CN324/365,2)</f>
        <v>33242.67</v>
      </c>
    </row>
    <row r="325" spans="1:101" hidden="1" x14ac:dyDescent="0.25">
      <c r="A325" s="335">
        <f t="shared" si="116"/>
        <v>36187</v>
      </c>
      <c r="B325" s="345">
        <v>36189</v>
      </c>
      <c r="C325" s="317">
        <f t="shared" si="110"/>
        <v>2</v>
      </c>
      <c r="E325" s="346">
        <v>3.0470000000000001E-2</v>
      </c>
      <c r="F325" s="339">
        <f>ROUND(((F324*SUM($C$10:C324))+(E325*C325))/SUM($C$10:C325),5)</f>
        <v>3.2439999999999997E-2</v>
      </c>
      <c r="G325" s="348">
        <v>94.1</v>
      </c>
      <c r="I325" s="335">
        <f t="shared" si="117"/>
        <v>35409</v>
      </c>
      <c r="J325" s="353">
        <v>35412</v>
      </c>
      <c r="K325" s="317">
        <f t="shared" si="111"/>
        <v>3</v>
      </c>
      <c r="M325" s="339">
        <v>3.5929999999999997E-2</v>
      </c>
      <c r="N325" s="339">
        <f>ROUND(((N324*SUM($K$10:K324))+(M325*K325))/SUM($K$10:K325),5)</f>
        <v>3.1530000000000002E-2</v>
      </c>
      <c r="O325" s="351">
        <v>98.6</v>
      </c>
      <c r="Q325" s="335">
        <f t="shared" si="118"/>
        <v>36257</v>
      </c>
      <c r="R325" s="345">
        <v>36258</v>
      </c>
      <c r="S325" s="317">
        <f t="shared" si="112"/>
        <v>1</v>
      </c>
      <c r="U325" s="346">
        <v>2.9170000000000001E-2</v>
      </c>
      <c r="V325" s="339">
        <f>ROUND(((V324*SUM($S$10:S324))+(U325*S325))/SUM($S$10:S325),5)</f>
        <v>3.424E-2</v>
      </c>
      <c r="W325" s="316">
        <v>103.3</v>
      </c>
      <c r="AS325" s="346"/>
      <c r="BB325" s="352"/>
      <c r="BC325" s="348"/>
      <c r="BE325" s="335">
        <f t="shared" si="113"/>
        <v>35682</v>
      </c>
      <c r="BF325" s="345">
        <v>35689</v>
      </c>
      <c r="BG325" s="317">
        <f t="shared" si="109"/>
        <v>7</v>
      </c>
      <c r="BH325" s="346">
        <v>3.5999999999999997E-2</v>
      </c>
      <c r="BI325" s="337">
        <f>ROUND($BI$5*BH325*BG325/365,2)</f>
        <v>20712.330000000002</v>
      </c>
      <c r="BK325" s="364"/>
      <c r="BO325" s="335">
        <f t="shared" si="114"/>
        <v>37623</v>
      </c>
      <c r="BP325" s="345">
        <v>37630</v>
      </c>
      <c r="BQ325" s="317">
        <f t="shared" si="106"/>
        <v>7</v>
      </c>
      <c r="BR325" s="347">
        <v>1.09E-2</v>
      </c>
      <c r="BS325" s="337">
        <f t="shared" si="107"/>
        <v>3553.6986299999999</v>
      </c>
      <c r="CE325" s="345"/>
      <c r="CH325" s="337"/>
      <c r="CL325" s="335">
        <f t="shared" si="115"/>
        <v>38575</v>
      </c>
      <c r="CM325" s="361">
        <v>38582</v>
      </c>
      <c r="CN325" s="317">
        <f t="shared" si="122"/>
        <v>7</v>
      </c>
      <c r="CO325" s="346">
        <v>2.6100000000000002E-2</v>
      </c>
      <c r="CP325" s="346"/>
      <c r="CQ325" s="346"/>
      <c r="CR325" s="346"/>
      <c r="CS325" s="346"/>
      <c r="CT325" s="346"/>
      <c r="CU325" s="346"/>
      <c r="CV325" s="337">
        <f>ROUND($CR$5*CO325*CN325/365,1)</f>
        <v>41713.199999999997</v>
      </c>
    </row>
    <row r="326" spans="1:101" hidden="1" x14ac:dyDescent="0.25">
      <c r="A326" s="335">
        <f t="shared" si="116"/>
        <v>36189</v>
      </c>
      <c r="B326" s="345">
        <v>36195</v>
      </c>
      <c r="C326" s="317">
        <f t="shared" si="110"/>
        <v>6</v>
      </c>
      <c r="E326" s="346">
        <v>3.0169999999999999E-2</v>
      </c>
      <c r="F326" s="339">
        <f>ROUND(((F325*SUM($C$10:C325))+(E326*C326))/SUM($C$10:C326),5)</f>
        <v>3.243E-2</v>
      </c>
      <c r="G326" s="348">
        <v>100.7</v>
      </c>
      <c r="I326" s="335">
        <f t="shared" si="117"/>
        <v>35412</v>
      </c>
      <c r="J326" s="353">
        <v>35432</v>
      </c>
      <c r="K326" s="317">
        <f t="shared" si="111"/>
        <v>20</v>
      </c>
      <c r="M326" s="339">
        <v>3.5349999999999999E-2</v>
      </c>
      <c r="N326" s="339">
        <f>ROUND(((N325*SUM($K$10:K325))+(M326*K326))/SUM($K$10:K326),5)</f>
        <v>3.1579999999999997E-2</v>
      </c>
      <c r="O326" s="351">
        <v>101.1</v>
      </c>
      <c r="Q326" s="335">
        <f t="shared" si="118"/>
        <v>36258</v>
      </c>
      <c r="R326" s="345">
        <v>36259</v>
      </c>
      <c r="S326" s="317">
        <f t="shared" si="112"/>
        <v>1</v>
      </c>
      <c r="U326" s="346">
        <v>2.9180000000000001E-2</v>
      </c>
      <c r="V326" s="339">
        <f>ROUND(((V325*SUM($S$10:S325))+(U326*S326))/SUM($S$10:S326),5)</f>
        <v>3.424E-2</v>
      </c>
      <c r="W326" s="316">
        <v>103.6</v>
      </c>
      <c r="AS326" s="346"/>
      <c r="BB326" s="352"/>
      <c r="BE326" s="335">
        <f t="shared" si="113"/>
        <v>35689</v>
      </c>
      <c r="BF326" s="345">
        <v>35696</v>
      </c>
      <c r="BG326" s="317">
        <f t="shared" si="109"/>
        <v>7</v>
      </c>
      <c r="BH326" s="346">
        <v>3.7699999999999997E-2</v>
      </c>
      <c r="BI326" s="337">
        <f>ROUND($BI$5*BH326*BG326/365,2)</f>
        <v>21690.41</v>
      </c>
      <c r="BK326" s="364"/>
      <c r="BO326" s="335">
        <f t="shared" si="114"/>
        <v>37630</v>
      </c>
      <c r="BP326" s="345">
        <v>37637</v>
      </c>
      <c r="BQ326" s="317">
        <f t="shared" si="106"/>
        <v>7</v>
      </c>
      <c r="BR326" s="347">
        <v>9.4999999999999998E-3</v>
      </c>
      <c r="BS326" s="337">
        <f t="shared" si="107"/>
        <v>3097.2602740000002</v>
      </c>
      <c r="CE326" s="345"/>
      <c r="CH326" s="337"/>
      <c r="CL326" s="335">
        <f t="shared" si="115"/>
        <v>38582</v>
      </c>
      <c r="CM326" s="361">
        <v>38589</v>
      </c>
      <c r="CN326" s="317">
        <f t="shared" si="122"/>
        <v>7</v>
      </c>
      <c r="CO326" s="346">
        <v>2.5499999999999998E-2</v>
      </c>
      <c r="CP326" s="346"/>
      <c r="CQ326" s="346"/>
      <c r="CR326" s="346"/>
      <c r="CS326" s="346"/>
      <c r="CT326" s="346"/>
      <c r="CU326" s="346"/>
      <c r="CV326" s="337">
        <f>ROUND($CR$5*CO326*CN326/365,1)</f>
        <v>40754.199999999997</v>
      </c>
    </row>
    <row r="327" spans="1:101" hidden="1" x14ac:dyDescent="0.25">
      <c r="A327" s="335">
        <f t="shared" si="116"/>
        <v>36195</v>
      </c>
      <c r="B327" s="345">
        <v>36200</v>
      </c>
      <c r="C327" s="317">
        <f t="shared" si="110"/>
        <v>5</v>
      </c>
      <c r="E327" s="346">
        <v>2.9610000000000001E-2</v>
      </c>
      <c r="F327" s="339">
        <f>ROUND(((F326*SUM($C$10:C326))+(E327*C327))/SUM($C$10:C327),5)</f>
        <v>3.2419999999999997E-2</v>
      </c>
      <c r="G327" s="348">
        <v>103.9</v>
      </c>
      <c r="I327" s="335">
        <f t="shared" si="117"/>
        <v>35432</v>
      </c>
      <c r="J327" s="353">
        <v>35433</v>
      </c>
      <c r="K327" s="317">
        <f t="shared" si="111"/>
        <v>1</v>
      </c>
      <c r="M327" s="339">
        <v>3.526E-2</v>
      </c>
      <c r="N327" s="339">
        <f>ROUND(((N326*SUM($K$10:K326))+(M327*K327))/SUM($K$10:K327),5)</f>
        <v>3.1579999999999997E-2</v>
      </c>
      <c r="O327" s="351">
        <v>101.5</v>
      </c>
      <c r="Q327" s="335">
        <f t="shared" si="118"/>
        <v>36259</v>
      </c>
      <c r="R327" s="345">
        <v>36262</v>
      </c>
      <c r="S327" s="317">
        <f t="shared" si="112"/>
        <v>3</v>
      </c>
      <c r="U327" s="346">
        <v>2.9239999999999999E-2</v>
      </c>
      <c r="V327" s="339">
        <f>ROUND(((V326*SUM($S$10:S326))+(U327*S327))/SUM($S$10:S327),5)</f>
        <v>3.4229999999999997E-2</v>
      </c>
      <c r="W327" s="316">
        <v>108.5</v>
      </c>
      <c r="AS327" s="346"/>
      <c r="BB327" s="352"/>
      <c r="BE327" s="335">
        <f t="shared" si="113"/>
        <v>35696</v>
      </c>
      <c r="BF327" s="345">
        <v>35697</v>
      </c>
      <c r="BG327" s="317">
        <f t="shared" si="109"/>
        <v>1</v>
      </c>
      <c r="BH327" s="346">
        <v>4.0500000000000001E-2</v>
      </c>
      <c r="BI327" s="337">
        <f>ROUND($BI$5*BH327*BG327/365,2)</f>
        <v>3328.77</v>
      </c>
      <c r="BK327" s="364"/>
      <c r="BO327" s="335">
        <f t="shared" si="114"/>
        <v>37637</v>
      </c>
      <c r="BP327" s="345">
        <v>37644</v>
      </c>
      <c r="BQ327" s="317">
        <f t="shared" si="106"/>
        <v>7</v>
      </c>
      <c r="BR327" s="347">
        <v>9.5999999999999992E-3</v>
      </c>
      <c r="BS327" s="337">
        <f t="shared" si="107"/>
        <v>3129.863014</v>
      </c>
      <c r="CE327" s="345"/>
      <c r="CH327" s="337"/>
      <c r="CL327" s="335">
        <f t="shared" si="115"/>
        <v>38589</v>
      </c>
      <c r="CM327" s="361">
        <v>38596</v>
      </c>
      <c r="CN327" s="317">
        <f t="shared" si="122"/>
        <v>7</v>
      </c>
      <c r="CO327" s="346">
        <v>2.4899999999999999E-2</v>
      </c>
      <c r="CP327" s="346"/>
      <c r="CQ327" s="346"/>
      <c r="CR327" s="346"/>
      <c r="CS327" s="346"/>
      <c r="CT327" s="346"/>
      <c r="CU327" s="346"/>
      <c r="CV327" s="337">
        <f>ROUND($CR$5*CO327*CN327/365,1)</f>
        <v>39795.300000000003</v>
      </c>
      <c r="CW327" s="341">
        <f>SUM(CV323:CV327)</f>
        <v>171464.57</v>
      </c>
    </row>
    <row r="328" spans="1:101" hidden="1" x14ac:dyDescent="0.25">
      <c r="A328" s="335">
        <f t="shared" si="116"/>
        <v>36200</v>
      </c>
      <c r="B328" s="345">
        <v>36209</v>
      </c>
      <c r="C328" s="317">
        <f t="shared" si="110"/>
        <v>9</v>
      </c>
      <c r="E328" s="346">
        <v>2.946E-2</v>
      </c>
      <c r="F328" s="339">
        <f>ROUND(((F327*SUM($C$10:C327))+(E328*C328))/SUM($C$10:C328),5)</f>
        <v>3.2410000000000001E-2</v>
      </c>
      <c r="G328" s="348">
        <v>103.5</v>
      </c>
      <c r="I328" s="335">
        <f t="shared" si="117"/>
        <v>35433</v>
      </c>
      <c r="J328" s="353">
        <v>35436</v>
      </c>
      <c r="K328" s="317">
        <f t="shared" si="111"/>
        <v>3</v>
      </c>
      <c r="M328" s="339">
        <v>3.526E-2</v>
      </c>
      <c r="N328" s="339">
        <f>ROUND(((N327*SUM($K$10:K327))+(M328*K328))/SUM($K$10:K328),5)</f>
        <v>3.159E-2</v>
      </c>
      <c r="O328" s="351">
        <v>101.2</v>
      </c>
      <c r="Q328" s="335">
        <f t="shared" si="118"/>
        <v>36262</v>
      </c>
      <c r="R328" s="345">
        <v>36287</v>
      </c>
      <c r="S328" s="317">
        <f t="shared" si="112"/>
        <v>25</v>
      </c>
      <c r="U328" s="346">
        <v>2.929E-2</v>
      </c>
      <c r="V328" s="339">
        <f>ROUND(((V327*SUM($S$10:S327))+(U328*S328))/SUM($S$10:S328),5)</f>
        <v>3.4169999999999999E-2</v>
      </c>
      <c r="W328" s="316">
        <v>110.4</v>
      </c>
      <c r="AS328" s="346"/>
      <c r="BB328" s="352"/>
      <c r="BE328" s="335">
        <f t="shared" si="113"/>
        <v>35697</v>
      </c>
      <c r="BF328" s="345">
        <v>35703</v>
      </c>
      <c r="BG328" s="317">
        <f t="shared" si="109"/>
        <v>6</v>
      </c>
      <c r="BH328" s="346">
        <v>4.0500000000000001E-2</v>
      </c>
      <c r="BI328" s="337">
        <f>ROUND($BI$5*BH328*BG328/365,2)/2</f>
        <v>9986.2999999999993</v>
      </c>
      <c r="BJ328" s="341" t="s">
        <v>35</v>
      </c>
      <c r="BK328" s="364" t="s">
        <v>35</v>
      </c>
      <c r="BL328" s="341" t="s">
        <v>35</v>
      </c>
      <c r="BM328" s="341" t="s">
        <v>35</v>
      </c>
      <c r="BO328" s="335">
        <f t="shared" si="114"/>
        <v>37644</v>
      </c>
      <c r="BP328" s="345">
        <v>37651</v>
      </c>
      <c r="BQ328" s="317">
        <f t="shared" si="106"/>
        <v>7</v>
      </c>
      <c r="BR328" s="347">
        <v>1.0800000000000001E-2</v>
      </c>
      <c r="BS328" s="337">
        <f t="shared" ref="BS328:BS387" si="124">ROUND($BS$5*BR328*BQ328/365,6)</f>
        <v>3521.0958900000001</v>
      </c>
      <c r="CE328" s="345"/>
      <c r="CH328" s="337"/>
      <c r="CL328" s="335">
        <f t="shared" si="115"/>
        <v>38596</v>
      </c>
      <c r="CM328" s="361">
        <v>38603</v>
      </c>
      <c r="CN328" s="317">
        <f t="shared" si="122"/>
        <v>7</v>
      </c>
      <c r="CO328" s="346">
        <v>2.3599999999999999E-2</v>
      </c>
      <c r="CP328" s="346"/>
      <c r="CQ328" s="346"/>
      <c r="CR328" s="346"/>
      <c r="CS328" s="346"/>
      <c r="CT328" s="346"/>
      <c r="CU328" s="346"/>
      <c r="CV328" s="337">
        <f>ROUND($CR$5*CO328*CN328/365,0)</f>
        <v>37718</v>
      </c>
    </row>
    <row r="329" spans="1:101" hidden="1" x14ac:dyDescent="0.25">
      <c r="A329" s="335">
        <f t="shared" si="116"/>
        <v>36209</v>
      </c>
      <c r="B329" s="345">
        <v>36227</v>
      </c>
      <c r="C329" s="317">
        <f t="shared" si="110"/>
        <v>18</v>
      </c>
      <c r="E329" s="346">
        <v>2.9149999999999999E-2</v>
      </c>
      <c r="F329" s="339">
        <f>ROUND(((F328*SUM($C$10:C328))+(E329*C329))/SUM($C$10:C329),5)</f>
        <v>3.2390000000000002E-2</v>
      </c>
      <c r="G329" s="348">
        <v>122.6</v>
      </c>
      <c r="I329" s="335">
        <f t="shared" si="117"/>
        <v>35436</v>
      </c>
      <c r="J329" s="353">
        <v>35437</v>
      </c>
      <c r="K329" s="317">
        <f t="shared" si="111"/>
        <v>1</v>
      </c>
      <c r="M329" s="339">
        <v>3.526E-2</v>
      </c>
      <c r="N329" s="339">
        <f>ROUND(((N328*SUM($K$10:K328))+(M329*K329))/SUM($K$10:K329),5)</f>
        <v>3.159E-2</v>
      </c>
      <c r="O329" s="351">
        <v>100.7</v>
      </c>
      <c r="Q329" s="335">
        <f t="shared" si="118"/>
        <v>36287</v>
      </c>
      <c r="R329" s="345">
        <v>36293</v>
      </c>
      <c r="S329" s="317">
        <f t="shared" si="112"/>
        <v>6</v>
      </c>
      <c r="U329" s="346">
        <v>2.963E-2</v>
      </c>
      <c r="V329" s="339">
        <f>ROUND(((V328*SUM($S$10:S328))+(U329*S329))/SUM($S$10:S329),5)</f>
        <v>3.4160000000000003E-2</v>
      </c>
      <c r="W329" s="316">
        <v>89.6</v>
      </c>
      <c r="BB329" s="352"/>
      <c r="BE329" s="335">
        <f t="shared" si="113"/>
        <v>35703</v>
      </c>
      <c r="BF329" s="345">
        <v>35704</v>
      </c>
      <c r="BG329" s="317">
        <f t="shared" ref="BG329:BG392" si="125">BF329-BE329</f>
        <v>1</v>
      </c>
      <c r="BH329" s="346">
        <v>3.7699999999999997E-2</v>
      </c>
      <c r="BI329" s="337">
        <f t="shared" ref="BI329:BI392" si="126">ROUND($BI$5*BH329*BG329/365,2)/2</f>
        <v>1549.3150000000001</v>
      </c>
      <c r="BJ329" s="341">
        <f>SUM(BI323:BI329)</f>
        <v>79163.015000000014</v>
      </c>
      <c r="BK329" s="364">
        <v>80544.539999999994</v>
      </c>
      <c r="BL329" s="341">
        <f>BJ329-BK329</f>
        <v>-1381.5249999999796</v>
      </c>
      <c r="BM329" s="341">
        <f>BM322+BL329</f>
        <v>24136.565000000017</v>
      </c>
      <c r="BO329" s="335">
        <f t="shared" si="114"/>
        <v>37651</v>
      </c>
      <c r="BP329" s="345">
        <v>37653</v>
      </c>
      <c r="BQ329" s="317">
        <f t="shared" si="106"/>
        <v>2</v>
      </c>
      <c r="BR329" s="347">
        <v>1.1299999999999999E-2</v>
      </c>
      <c r="BS329" s="337">
        <f t="shared" si="124"/>
        <v>1052.60274</v>
      </c>
      <c r="BT329" s="341">
        <f>SUM(BS324:BS329)</f>
        <v>15062.465753</v>
      </c>
      <c r="CE329" s="345"/>
      <c r="CH329" s="337"/>
      <c r="CL329" s="335">
        <f t="shared" si="115"/>
        <v>38603</v>
      </c>
      <c r="CM329" s="361">
        <v>38610</v>
      </c>
      <c r="CN329" s="317">
        <f t="shared" si="122"/>
        <v>7</v>
      </c>
      <c r="CO329" s="346">
        <v>2.4299999999999999E-2</v>
      </c>
      <c r="CP329" s="346"/>
      <c r="CQ329" s="346"/>
      <c r="CR329" s="346"/>
      <c r="CS329" s="346"/>
      <c r="CT329" s="346"/>
      <c r="CU329" s="346"/>
      <c r="CV329" s="337">
        <f>ROUND($CR$5*CO329*CN329/365,1)</f>
        <v>38836.400000000001</v>
      </c>
    </row>
    <row r="330" spans="1:101" hidden="1" x14ac:dyDescent="0.25">
      <c r="A330" s="335">
        <f t="shared" si="116"/>
        <v>36227</v>
      </c>
      <c r="B330" s="345">
        <v>36229</v>
      </c>
      <c r="C330" s="317">
        <f t="shared" ref="C330:C393" si="127">B330-A330</f>
        <v>2</v>
      </c>
      <c r="E330" s="346">
        <v>2.913E-2</v>
      </c>
      <c r="F330" s="339">
        <f>ROUND(((F329*SUM($C$10:C329))+(E330*C330))/SUM($C$10:C330),5)</f>
        <v>3.2390000000000002E-2</v>
      </c>
      <c r="G330" s="348">
        <v>126</v>
      </c>
      <c r="I330" s="335">
        <f t="shared" si="117"/>
        <v>35437</v>
      </c>
      <c r="J330" s="353">
        <v>35438</v>
      </c>
      <c r="K330" s="317">
        <f t="shared" ref="K330:K393" si="128">J330-I330</f>
        <v>1</v>
      </c>
      <c r="M330" s="339">
        <v>3.526E-2</v>
      </c>
      <c r="N330" s="339">
        <f>ROUND(((N329*SUM($K$10:K329))+(M330*K330))/SUM($K$10:K330),5)</f>
        <v>3.159E-2</v>
      </c>
      <c r="O330" s="351">
        <v>100.7</v>
      </c>
      <c r="Q330" s="335">
        <f t="shared" si="118"/>
        <v>36293</v>
      </c>
      <c r="R330" s="345">
        <v>36300</v>
      </c>
      <c r="S330" s="317">
        <f t="shared" ref="S330:S393" si="129">R330-Q330</f>
        <v>7</v>
      </c>
      <c r="U330" s="346">
        <v>2.9929999999999998E-2</v>
      </c>
      <c r="V330" s="339">
        <f>ROUND(((V329*SUM($S$10:S329))+(U330*S330))/SUM($S$10:S330),5)</f>
        <v>3.415E-2</v>
      </c>
      <c r="W330" s="348">
        <v>86</v>
      </c>
      <c r="BB330" s="352"/>
      <c r="BE330" s="335">
        <f t="shared" si="113"/>
        <v>35704</v>
      </c>
      <c r="BF330" s="345">
        <v>35710</v>
      </c>
      <c r="BG330" s="317">
        <f t="shared" si="125"/>
        <v>6</v>
      </c>
      <c r="BH330" s="346">
        <v>3.7699999999999997E-2</v>
      </c>
      <c r="BI330" s="337">
        <f t="shared" si="126"/>
        <v>9295.89</v>
      </c>
      <c r="BK330" s="364"/>
      <c r="BO330" s="335">
        <f t="shared" si="114"/>
        <v>37653</v>
      </c>
      <c r="BP330" s="345">
        <v>37658</v>
      </c>
      <c r="BQ330" s="317">
        <f t="shared" si="106"/>
        <v>5</v>
      </c>
      <c r="BR330" s="347">
        <v>1.1299999999999999E-2</v>
      </c>
      <c r="BS330" s="337">
        <f t="shared" si="124"/>
        <v>2631.5068489999999</v>
      </c>
      <c r="CE330" s="345"/>
      <c r="CH330" s="337"/>
      <c r="CL330" s="335">
        <f t="shared" ref="CL330:CL393" si="130">CM329</f>
        <v>38610</v>
      </c>
      <c r="CM330" s="361">
        <v>38617</v>
      </c>
      <c r="CN330" s="317">
        <f t="shared" si="122"/>
        <v>7</v>
      </c>
      <c r="CO330" s="346">
        <v>2.5600000000000001E-2</v>
      </c>
      <c r="CP330" s="346"/>
      <c r="CQ330" s="346"/>
      <c r="CR330" s="346"/>
      <c r="CS330" s="346"/>
      <c r="CT330" s="346"/>
      <c r="CU330" s="346"/>
      <c r="CV330" s="337">
        <f>ROUND($CR$5*CO330*CN330/365,1)</f>
        <v>40914.1</v>
      </c>
    </row>
    <row r="331" spans="1:101" hidden="1" x14ac:dyDescent="0.25">
      <c r="A331" s="335">
        <f t="shared" si="116"/>
        <v>36229</v>
      </c>
      <c r="B331" s="345">
        <v>36230</v>
      </c>
      <c r="C331" s="317">
        <f t="shared" si="127"/>
        <v>1</v>
      </c>
      <c r="E331" s="346">
        <v>2.8809999999999999E-2</v>
      </c>
      <c r="F331" s="339">
        <f>ROUND(((F330*SUM($C$10:C330))+(E331*C331))/SUM($C$10:C331),5)</f>
        <v>3.2390000000000002E-2</v>
      </c>
      <c r="G331" s="348">
        <v>121.9</v>
      </c>
      <c r="I331" s="335">
        <f t="shared" si="117"/>
        <v>35438</v>
      </c>
      <c r="J331" s="353">
        <v>35439</v>
      </c>
      <c r="K331" s="317">
        <f t="shared" si="128"/>
        <v>1</v>
      </c>
      <c r="M331" s="339">
        <v>3.5220000000000001E-2</v>
      </c>
      <c r="N331" s="339">
        <f>ROUND(((N330*SUM($K$10:K330))+(M331*K331))/SUM($K$10:K331),5)</f>
        <v>3.159E-2</v>
      </c>
      <c r="O331" s="351">
        <v>100.3</v>
      </c>
      <c r="Q331" s="335">
        <f t="shared" si="118"/>
        <v>36300</v>
      </c>
      <c r="R331" s="345">
        <v>36312</v>
      </c>
      <c r="S331" s="317">
        <f t="shared" si="129"/>
        <v>12</v>
      </c>
      <c r="U331" s="346">
        <v>3.0630000000000001E-2</v>
      </c>
      <c r="V331" s="339">
        <f>ROUND(((V330*SUM($S$10:S330))+(U331*S331))/SUM($S$10:S331),5)</f>
        <v>3.4130000000000001E-2</v>
      </c>
      <c r="W331" s="316">
        <v>105.6</v>
      </c>
      <c r="BB331" s="352"/>
      <c r="BE331" s="335">
        <f t="shared" si="113"/>
        <v>35710</v>
      </c>
      <c r="BF331" s="345">
        <v>35717</v>
      </c>
      <c r="BG331" s="317">
        <f t="shared" si="125"/>
        <v>7</v>
      </c>
      <c r="BH331" s="346">
        <v>3.6299999999999999E-2</v>
      </c>
      <c r="BI331" s="337">
        <f t="shared" si="126"/>
        <v>10442.465</v>
      </c>
      <c r="BK331" s="364"/>
      <c r="BO331" s="335">
        <f t="shared" si="114"/>
        <v>37658</v>
      </c>
      <c r="BP331" s="345">
        <v>37665</v>
      </c>
      <c r="BQ331" s="317">
        <f t="shared" si="106"/>
        <v>7</v>
      </c>
      <c r="BR331" s="347">
        <v>1.0200000000000001E-2</v>
      </c>
      <c r="BS331" s="337">
        <f t="shared" si="124"/>
        <v>3325.479452</v>
      </c>
      <c r="CE331" s="345"/>
      <c r="CH331" s="337"/>
      <c r="CL331" s="335">
        <f t="shared" si="130"/>
        <v>38617</v>
      </c>
      <c r="CM331" s="361">
        <v>38624</v>
      </c>
      <c r="CN331" s="317">
        <f t="shared" si="122"/>
        <v>7</v>
      </c>
      <c r="CO331" s="346">
        <v>2.6599999999999999E-2</v>
      </c>
      <c r="CP331" s="346"/>
      <c r="CQ331" s="346"/>
      <c r="CR331" s="346"/>
      <c r="CS331" s="346"/>
      <c r="CT331" s="346"/>
      <c r="CU331" s="346"/>
      <c r="CV331" s="337">
        <f>ROUND($CR$5*CO331*CN331/365,0)</f>
        <v>42512</v>
      </c>
    </row>
    <row r="332" spans="1:101" hidden="1" x14ac:dyDescent="0.25">
      <c r="A332" s="335">
        <f t="shared" si="116"/>
        <v>36230</v>
      </c>
      <c r="B332" s="345">
        <v>36258</v>
      </c>
      <c r="C332" s="317">
        <f t="shared" si="127"/>
        <v>28</v>
      </c>
      <c r="E332" s="346">
        <v>2.8750000000000001E-2</v>
      </c>
      <c r="F332" s="339">
        <f>ROUND(((F331*SUM($C$10:C331))+(E332*C332))/SUM($C$10:C332),5)</f>
        <v>3.2349999999999997E-2</v>
      </c>
      <c r="G332" s="348">
        <v>117.8</v>
      </c>
      <c r="I332" s="335">
        <f t="shared" si="117"/>
        <v>35439</v>
      </c>
      <c r="J332" s="353">
        <v>35440</v>
      </c>
      <c r="K332" s="317">
        <f t="shared" si="128"/>
        <v>1</v>
      </c>
      <c r="M332" s="339">
        <v>3.5220000000000001E-2</v>
      </c>
      <c r="N332" s="339">
        <f>ROUND(((N331*SUM($K$10:K331))+(M332*K332))/SUM($K$10:K332),5)</f>
        <v>3.159E-2</v>
      </c>
      <c r="O332" s="351">
        <v>100.5</v>
      </c>
      <c r="Q332" s="335">
        <f t="shared" si="118"/>
        <v>36312</v>
      </c>
      <c r="R332" s="345">
        <v>36313</v>
      </c>
      <c r="S332" s="317">
        <f t="shared" si="129"/>
        <v>1</v>
      </c>
      <c r="U332" s="346">
        <v>3.0929999999999999E-2</v>
      </c>
      <c r="V332" s="339">
        <f>ROUND(((V331*SUM($S$10:S331))+(U332*S332))/SUM($S$10:S332),5)</f>
        <v>3.4130000000000001E-2</v>
      </c>
      <c r="W332" s="316">
        <v>110.7</v>
      </c>
      <c r="BB332" s="352"/>
      <c r="BE332" s="335">
        <f t="shared" si="113"/>
        <v>35717</v>
      </c>
      <c r="BF332" s="345">
        <v>35724</v>
      </c>
      <c r="BG332" s="317">
        <f t="shared" si="125"/>
        <v>7</v>
      </c>
      <c r="BH332" s="346">
        <v>3.6299999999999999E-2</v>
      </c>
      <c r="BI332" s="337">
        <f t="shared" si="126"/>
        <v>10442.465</v>
      </c>
      <c r="BK332" s="364"/>
      <c r="BO332" s="335">
        <f t="shared" si="114"/>
        <v>37665</v>
      </c>
      <c r="BP332" s="345">
        <v>37672</v>
      </c>
      <c r="BQ332" s="317">
        <f t="shared" si="106"/>
        <v>7</v>
      </c>
      <c r="BR332" s="347">
        <v>1.0800000000000001E-2</v>
      </c>
      <c r="BS332" s="337">
        <f t="shared" si="124"/>
        <v>3521.0958900000001</v>
      </c>
      <c r="CE332" s="345"/>
      <c r="CH332" s="337"/>
      <c r="CL332" s="335">
        <f t="shared" si="130"/>
        <v>38624</v>
      </c>
      <c r="CM332" s="361">
        <v>38628</v>
      </c>
      <c r="CN332" s="317">
        <f t="shared" si="122"/>
        <v>4</v>
      </c>
      <c r="CO332" s="346">
        <v>2.75E-2</v>
      </c>
      <c r="CP332" s="346"/>
      <c r="CQ332" s="346"/>
      <c r="CR332" s="346"/>
      <c r="CS332" s="346"/>
      <c r="CT332" s="346"/>
      <c r="CU332" s="346"/>
      <c r="CV332" s="337">
        <f>ROUND($CR$5*CO332*CN332/365,1)</f>
        <v>25114.7</v>
      </c>
      <c r="CW332" s="341">
        <f>SUM(CV328:CV332)</f>
        <v>185095.2</v>
      </c>
    </row>
    <row r="333" spans="1:101" hidden="1" x14ac:dyDescent="0.25">
      <c r="A333" s="335">
        <f t="shared" si="116"/>
        <v>36258</v>
      </c>
      <c r="B333" s="345">
        <v>36291</v>
      </c>
      <c r="C333" s="317">
        <f t="shared" si="127"/>
        <v>33</v>
      </c>
      <c r="E333" s="346">
        <v>2.8819999999999998E-2</v>
      </c>
      <c r="F333" s="339">
        <f>ROUND(((F332*SUM($C$10:C332))+(E333*C333))/SUM($C$10:C333),5)</f>
        <v>3.2300000000000002E-2</v>
      </c>
      <c r="G333" s="348">
        <v>118</v>
      </c>
      <c r="I333" s="335">
        <f t="shared" si="117"/>
        <v>35440</v>
      </c>
      <c r="J333" s="353">
        <v>35444</v>
      </c>
      <c r="K333" s="317">
        <f t="shared" si="128"/>
        <v>4</v>
      </c>
      <c r="M333" s="339">
        <v>3.5130000000000002E-2</v>
      </c>
      <c r="N333" s="339">
        <f>ROUND(((N332*SUM($K$10:K332))+(M333*K333))/SUM($K$10:K333),5)</f>
        <v>3.1600000000000003E-2</v>
      </c>
      <c r="O333" s="351">
        <v>99.1</v>
      </c>
      <c r="Q333" s="335">
        <f t="shared" si="118"/>
        <v>36313</v>
      </c>
      <c r="R333" s="345">
        <v>36319</v>
      </c>
      <c r="S333" s="317">
        <f t="shared" si="129"/>
        <v>6</v>
      </c>
      <c r="U333" s="346">
        <v>3.108E-2</v>
      </c>
      <c r="V333" s="339">
        <f>ROUND(((V332*SUM($S$10:S332))+(U333*S333))/SUM($S$10:S333),5)</f>
        <v>3.4119999999999998E-2</v>
      </c>
      <c r="W333" s="316">
        <v>104.1</v>
      </c>
      <c r="BB333" s="352"/>
      <c r="BE333" s="335">
        <f t="shared" si="113"/>
        <v>35724</v>
      </c>
      <c r="BF333" s="345">
        <v>35731</v>
      </c>
      <c r="BG333" s="317">
        <f t="shared" si="125"/>
        <v>7</v>
      </c>
      <c r="BH333" s="346">
        <v>3.6999999999999998E-2</v>
      </c>
      <c r="BI333" s="337">
        <f t="shared" si="126"/>
        <v>10643.834999999999</v>
      </c>
      <c r="BK333" s="364"/>
      <c r="BO333" s="335">
        <f t="shared" si="114"/>
        <v>37672</v>
      </c>
      <c r="BP333" s="345">
        <v>37679</v>
      </c>
      <c r="BQ333" s="317">
        <f t="shared" si="106"/>
        <v>7</v>
      </c>
      <c r="BR333" s="347">
        <v>1.0999999999999999E-2</v>
      </c>
      <c r="BS333" s="337">
        <f t="shared" si="124"/>
        <v>3586.3013700000001</v>
      </c>
      <c r="CE333" s="345"/>
      <c r="CH333" s="337"/>
      <c r="CL333" s="335">
        <f t="shared" si="130"/>
        <v>38628</v>
      </c>
      <c r="CM333" s="361">
        <v>38631</v>
      </c>
      <c r="CN333" s="317">
        <f t="shared" si="122"/>
        <v>3</v>
      </c>
      <c r="CO333" s="346">
        <v>2.75E-2</v>
      </c>
      <c r="CP333" s="346"/>
      <c r="CQ333" s="346"/>
      <c r="CR333" s="346"/>
      <c r="CS333" s="346"/>
      <c r="CT333" s="346"/>
      <c r="CU333" s="346"/>
      <c r="CV333" s="337">
        <f>ROUND($CR$5*CO333*CN333/365,2)</f>
        <v>18835.990000000002</v>
      </c>
    </row>
    <row r="334" spans="1:101" hidden="1" x14ac:dyDescent="0.25">
      <c r="A334" s="335">
        <f t="shared" si="116"/>
        <v>36291</v>
      </c>
      <c r="B334" s="345">
        <v>36293</v>
      </c>
      <c r="C334" s="317">
        <f t="shared" si="127"/>
        <v>2</v>
      </c>
      <c r="E334" s="346">
        <v>2.9159999999999998E-2</v>
      </c>
      <c r="F334" s="339">
        <f>ROUND(((F333*SUM($C$10:C333))+(E334*C334))/SUM($C$10:C334),5)</f>
        <v>3.2300000000000002E-2</v>
      </c>
      <c r="G334" s="348">
        <v>121.7</v>
      </c>
      <c r="I334" s="335">
        <f t="shared" si="117"/>
        <v>35444</v>
      </c>
      <c r="J334" s="353">
        <v>35447</v>
      </c>
      <c r="K334" s="317">
        <f t="shared" si="128"/>
        <v>3</v>
      </c>
      <c r="M334" s="339">
        <v>3.4889999999999997E-2</v>
      </c>
      <c r="N334" s="339">
        <f>ROUND(((N333*SUM($K$10:K333))+(M334*K334))/SUM($K$10:K334),5)</f>
        <v>3.1609999999999999E-2</v>
      </c>
      <c r="O334" s="351">
        <v>95.1</v>
      </c>
      <c r="Q334" s="335">
        <f t="shared" si="118"/>
        <v>36319</v>
      </c>
      <c r="R334" s="345">
        <v>36320</v>
      </c>
      <c r="S334" s="317">
        <f t="shared" si="129"/>
        <v>1</v>
      </c>
      <c r="U334" s="346">
        <v>3.117E-2</v>
      </c>
      <c r="V334" s="339">
        <f>ROUND(((V333*SUM($S$10:S333))+(U334*S334))/SUM($S$10:S334),5)</f>
        <v>3.4119999999999998E-2</v>
      </c>
      <c r="W334" s="316">
        <v>98.2</v>
      </c>
      <c r="BB334" s="352"/>
      <c r="BE334" s="335">
        <f t="shared" si="113"/>
        <v>35731</v>
      </c>
      <c r="BF334" s="345">
        <v>35735</v>
      </c>
      <c r="BG334" s="317">
        <f t="shared" si="125"/>
        <v>4</v>
      </c>
      <c r="BH334" s="346">
        <v>3.6799999999999999E-2</v>
      </c>
      <c r="BI334" s="337">
        <f t="shared" si="126"/>
        <v>6049.3149999999996</v>
      </c>
      <c r="BJ334" s="341">
        <f>SUM(BI330:BI334)</f>
        <v>46873.97</v>
      </c>
      <c r="BK334" s="364">
        <v>47189.35</v>
      </c>
      <c r="BL334" s="341">
        <f>BJ334-BK334</f>
        <v>-315.37999999999738</v>
      </c>
      <c r="BM334" s="341">
        <f>BM329+BL334</f>
        <v>23821.185000000019</v>
      </c>
      <c r="BO334" s="335">
        <f t="shared" si="114"/>
        <v>37679</v>
      </c>
      <c r="BP334" s="345">
        <v>37681</v>
      </c>
      <c r="BQ334" s="317">
        <f t="shared" si="106"/>
        <v>2</v>
      </c>
      <c r="BR334" s="347">
        <v>1.0800000000000001E-2</v>
      </c>
      <c r="BS334" s="337">
        <f t="shared" si="124"/>
        <v>1006.027397</v>
      </c>
      <c r="BT334" s="341">
        <f>SUM(BS330:BS334)</f>
        <v>14070.410957999999</v>
      </c>
      <c r="CE334" s="345"/>
      <c r="CH334" s="337"/>
      <c r="CL334" s="335">
        <f t="shared" si="130"/>
        <v>38631</v>
      </c>
      <c r="CM334" s="361">
        <v>38638</v>
      </c>
      <c r="CN334" s="317">
        <f t="shared" si="122"/>
        <v>7</v>
      </c>
      <c r="CO334" s="346">
        <v>2.6599999999999999E-2</v>
      </c>
      <c r="CP334" s="346"/>
      <c r="CQ334" s="346"/>
      <c r="CR334" s="346"/>
      <c r="CS334" s="346"/>
      <c r="CT334" s="346"/>
      <c r="CU334" s="346"/>
      <c r="CV334" s="337">
        <f>ROUND($CR$5*CO334*CN334/365,2)</f>
        <v>42512.27</v>
      </c>
    </row>
    <row r="335" spans="1:101" hidden="1" x14ac:dyDescent="0.25">
      <c r="A335" s="335">
        <f t="shared" si="116"/>
        <v>36293</v>
      </c>
      <c r="B335" s="345">
        <v>36326</v>
      </c>
      <c r="C335" s="317">
        <f t="shared" si="127"/>
        <v>33</v>
      </c>
      <c r="E335" s="346">
        <v>2.963E-2</v>
      </c>
      <c r="F335" s="339">
        <f>ROUND(((F334*SUM($C$10:C334))+(E335*C335))/SUM($C$10:C335),5)</f>
        <v>3.2259999999999997E-2</v>
      </c>
      <c r="G335" s="348">
        <v>122.6</v>
      </c>
      <c r="I335" s="335">
        <f t="shared" si="117"/>
        <v>35447</v>
      </c>
      <c r="J335" s="353">
        <v>35459</v>
      </c>
      <c r="K335" s="317">
        <f t="shared" si="128"/>
        <v>12</v>
      </c>
      <c r="M335" s="339">
        <v>3.4889999999999997E-2</v>
      </c>
      <c r="N335" s="339">
        <f>ROUND(((N334*SUM($K$10:K334))+(M335*K335))/SUM($K$10:K335),5)</f>
        <v>3.1629999999999998E-2</v>
      </c>
      <c r="O335" s="351">
        <v>98.5</v>
      </c>
      <c r="Q335" s="335">
        <f t="shared" si="118"/>
        <v>36320</v>
      </c>
      <c r="R335" s="345">
        <v>36321</v>
      </c>
      <c r="S335" s="317">
        <f t="shared" si="129"/>
        <v>1</v>
      </c>
      <c r="U335" s="346">
        <v>3.117E-2</v>
      </c>
      <c r="V335" s="339">
        <f>ROUND(((V334*SUM($S$10:S334))+(U335*S335))/SUM($S$10:S335),5)</f>
        <v>3.4119999999999998E-2</v>
      </c>
      <c r="W335" s="316">
        <v>98.2</v>
      </c>
      <c r="BB335" s="352"/>
      <c r="BE335" s="335">
        <f t="shared" si="113"/>
        <v>35735</v>
      </c>
      <c r="BF335" s="345">
        <v>35738</v>
      </c>
      <c r="BG335" s="317">
        <f t="shared" si="125"/>
        <v>3</v>
      </c>
      <c r="BH335" s="346">
        <v>3.6799999999999999E-2</v>
      </c>
      <c r="BI335" s="337">
        <f t="shared" si="126"/>
        <v>4536.9849999999997</v>
      </c>
      <c r="BK335" s="364"/>
      <c r="BO335" s="335">
        <f t="shared" si="114"/>
        <v>37681</v>
      </c>
      <c r="BP335" s="345">
        <v>37686</v>
      </c>
      <c r="BQ335" s="317">
        <f t="shared" si="106"/>
        <v>5</v>
      </c>
      <c r="BR335" s="347">
        <v>1.0800000000000001E-2</v>
      </c>
      <c r="BS335" s="337">
        <f t="shared" si="124"/>
        <v>2515.0684930000002</v>
      </c>
      <c r="CE335" s="345"/>
      <c r="CH335" s="337"/>
      <c r="CL335" s="335">
        <f t="shared" si="130"/>
        <v>38638</v>
      </c>
      <c r="CM335" s="361">
        <v>38645</v>
      </c>
      <c r="CN335" s="317">
        <f t="shared" si="122"/>
        <v>7</v>
      </c>
      <c r="CO335" s="346">
        <v>2.63E-2</v>
      </c>
      <c r="CP335" s="346"/>
      <c r="CQ335" s="346"/>
      <c r="CR335" s="346"/>
      <c r="CS335" s="346"/>
      <c r="CT335" s="346"/>
      <c r="CU335" s="346"/>
      <c r="CV335" s="337">
        <f>ROUND($CR$5*CO335*CN335/365,0)</f>
        <v>42033</v>
      </c>
    </row>
    <row r="336" spans="1:101" hidden="1" x14ac:dyDescent="0.25">
      <c r="A336" s="335">
        <f t="shared" si="116"/>
        <v>36326</v>
      </c>
      <c r="B336" s="345">
        <v>36327</v>
      </c>
      <c r="C336" s="317">
        <f t="shared" si="127"/>
        <v>1</v>
      </c>
      <c r="E336" s="346">
        <v>2.9846999999999999E-2</v>
      </c>
      <c r="F336" s="339">
        <f>ROUND(((F335*SUM($C$10:C335))+(E336*C336))/SUM($C$10:C336),5)</f>
        <v>3.2259999999999997E-2</v>
      </c>
      <c r="G336" s="348">
        <v>121.1</v>
      </c>
      <c r="I336" s="335">
        <f t="shared" si="117"/>
        <v>35459</v>
      </c>
      <c r="J336" s="353">
        <v>35471</v>
      </c>
      <c r="K336" s="317">
        <f t="shared" si="128"/>
        <v>12</v>
      </c>
      <c r="M336" s="339">
        <v>3.4930000000000003E-2</v>
      </c>
      <c r="N336" s="339">
        <f>ROUND(((N335*SUM($K$10:K335))+(M336*K336))/SUM($K$10:K336),5)</f>
        <v>3.1649999999999998E-2</v>
      </c>
      <c r="O336" s="351">
        <v>96.4</v>
      </c>
      <c r="Q336" s="335">
        <f t="shared" si="118"/>
        <v>36321</v>
      </c>
      <c r="R336" s="345">
        <v>36325</v>
      </c>
      <c r="S336" s="317">
        <f t="shared" si="129"/>
        <v>4</v>
      </c>
      <c r="U336" s="346">
        <v>3.1260000000000003E-2</v>
      </c>
      <c r="V336" s="339">
        <f>ROUND(((V335*SUM($S$10:S335))+(U336*S336))/SUM($S$10:S336),5)</f>
        <v>3.4110000000000001E-2</v>
      </c>
      <c r="W336" s="316">
        <v>103.3</v>
      </c>
      <c r="BB336" s="352"/>
      <c r="BE336" s="335">
        <f t="shared" ref="BE336:BE400" si="131">BF335</f>
        <v>35738</v>
      </c>
      <c r="BF336" s="345">
        <v>35746</v>
      </c>
      <c r="BG336" s="317">
        <f t="shared" si="125"/>
        <v>8</v>
      </c>
      <c r="BH336" s="346">
        <v>3.6499999999999998E-2</v>
      </c>
      <c r="BI336" s="337">
        <f t="shared" si="126"/>
        <v>12000</v>
      </c>
      <c r="BK336" s="364"/>
      <c r="BO336" s="335">
        <f t="shared" ref="BO336:BO400" si="132">BP335</f>
        <v>37686</v>
      </c>
      <c r="BP336" s="345">
        <v>37693</v>
      </c>
      <c r="BQ336" s="317">
        <f t="shared" si="106"/>
        <v>7</v>
      </c>
      <c r="BR336" s="347">
        <v>0.01</v>
      </c>
      <c r="BS336" s="337">
        <f t="shared" si="124"/>
        <v>3260.2739729999998</v>
      </c>
      <c r="CE336" s="345"/>
      <c r="CH336" s="337"/>
      <c r="CL336" s="335">
        <f t="shared" si="130"/>
        <v>38645</v>
      </c>
      <c r="CM336" s="361">
        <v>38652</v>
      </c>
      <c r="CN336" s="317">
        <f t="shared" si="122"/>
        <v>7</v>
      </c>
      <c r="CO336" s="346">
        <v>2.5999999999999999E-2</v>
      </c>
      <c r="CP336" s="346"/>
      <c r="CQ336" s="346"/>
      <c r="CR336" s="346"/>
      <c r="CS336" s="346"/>
      <c r="CT336" s="346"/>
      <c r="CU336" s="346"/>
      <c r="CV336" s="337">
        <f>ROUND($CR$5*CO336*CN336/365,0)</f>
        <v>41553</v>
      </c>
    </row>
    <row r="337" spans="1:101" hidden="1" x14ac:dyDescent="0.25">
      <c r="A337" s="335">
        <f t="shared" ref="A337:A401" si="133">B336</f>
        <v>36327</v>
      </c>
      <c r="B337" s="345">
        <v>36335</v>
      </c>
      <c r="C337" s="317">
        <f t="shared" si="127"/>
        <v>8</v>
      </c>
      <c r="E337" s="346">
        <v>3.0291999999999999E-2</v>
      </c>
      <c r="F337" s="339">
        <f>ROUND(((F336*SUM($C$10:C336))+(E337*C337))/SUM($C$10:C337),5)</f>
        <v>3.2250000000000001E-2</v>
      </c>
      <c r="G337" s="348">
        <v>117.9</v>
      </c>
      <c r="I337" s="335">
        <f t="shared" ref="I337:I401" si="134">J336</f>
        <v>35471</v>
      </c>
      <c r="J337" s="353">
        <v>35475</v>
      </c>
      <c r="K337" s="317">
        <f t="shared" si="128"/>
        <v>4</v>
      </c>
      <c r="M337" s="339">
        <v>3.4959999999999998E-2</v>
      </c>
      <c r="N337" s="339">
        <f>ROUND(((N336*SUM($K$10:K336))+(M337*K337))/SUM($K$10:K337),5)</f>
        <v>3.1660000000000001E-2</v>
      </c>
      <c r="O337" s="351">
        <v>96.3</v>
      </c>
      <c r="Q337" s="335">
        <f t="shared" si="118"/>
        <v>36325</v>
      </c>
      <c r="R337" s="345">
        <v>36355</v>
      </c>
      <c r="S337" s="317">
        <f t="shared" si="129"/>
        <v>30</v>
      </c>
      <c r="U337" s="346">
        <v>3.1260000000000003E-2</v>
      </c>
      <c r="V337" s="339">
        <f>ROUND(((V336*SUM($S$10:S336))+(U337*S337))/SUM($S$10:S337),5)</f>
        <v>3.4070000000000003E-2</v>
      </c>
      <c r="W337" s="348">
        <v>103</v>
      </c>
      <c r="BB337" s="352"/>
      <c r="BE337" s="335">
        <f t="shared" si="131"/>
        <v>35746</v>
      </c>
      <c r="BF337" s="345">
        <v>35752</v>
      </c>
      <c r="BG337" s="317">
        <f t="shared" si="125"/>
        <v>6</v>
      </c>
      <c r="BH337" s="346">
        <v>3.9E-2</v>
      </c>
      <c r="BI337" s="337">
        <f t="shared" si="126"/>
        <v>9616.44</v>
      </c>
      <c r="BK337" s="364"/>
      <c r="BO337" s="335">
        <f t="shared" si="132"/>
        <v>37693</v>
      </c>
      <c r="BP337" s="345">
        <v>37700</v>
      </c>
      <c r="BQ337" s="317">
        <f t="shared" si="106"/>
        <v>7</v>
      </c>
      <c r="BR337" s="347">
        <v>1.12E-2</v>
      </c>
      <c r="BS337" s="337">
        <f t="shared" si="124"/>
        <v>3651.5068489999999</v>
      </c>
      <c r="CE337" s="345"/>
      <c r="CH337" s="337"/>
      <c r="CL337" s="335">
        <f t="shared" si="130"/>
        <v>38652</v>
      </c>
      <c r="CM337" s="361">
        <v>38657</v>
      </c>
      <c r="CN337" s="317">
        <f t="shared" si="122"/>
        <v>5</v>
      </c>
      <c r="CO337" s="346">
        <v>2.7E-2</v>
      </c>
      <c r="CP337" s="346"/>
      <c r="CQ337" s="346"/>
      <c r="CR337" s="346"/>
      <c r="CS337" s="346"/>
      <c r="CT337" s="346"/>
      <c r="CU337" s="346"/>
      <c r="CV337" s="337">
        <f t="shared" ref="CV337:CV346" si="135">ROUND($CR$5*CO337*CN337/365,1)</f>
        <v>30822.5</v>
      </c>
      <c r="CW337" s="341">
        <f>SUM(CV333:CV337)</f>
        <v>175756.76</v>
      </c>
    </row>
    <row r="338" spans="1:101" hidden="1" x14ac:dyDescent="0.25">
      <c r="A338" s="335">
        <f t="shared" si="133"/>
        <v>36335</v>
      </c>
      <c r="B338" s="345">
        <v>36341</v>
      </c>
      <c r="C338" s="317">
        <f t="shared" si="127"/>
        <v>6</v>
      </c>
      <c r="E338" s="346">
        <v>3.0596999999999999E-2</v>
      </c>
      <c r="F338" s="339">
        <f>ROUND(((F337*SUM($C$10:C337))+(E338*C338))/SUM($C$10:C338),5)</f>
        <v>3.2250000000000001E-2</v>
      </c>
      <c r="G338" s="348">
        <v>111.2</v>
      </c>
      <c r="I338" s="335">
        <f t="shared" si="134"/>
        <v>35475</v>
      </c>
      <c r="J338" s="353">
        <v>35485</v>
      </c>
      <c r="K338" s="317">
        <f t="shared" si="128"/>
        <v>10</v>
      </c>
      <c r="M338" s="339">
        <v>3.4979999999999997E-2</v>
      </c>
      <c r="N338" s="339">
        <f>ROUND(((N337*SUM($K$10:K337))+(M338*K338))/SUM($K$10:K338),5)</f>
        <v>3.168E-2</v>
      </c>
      <c r="O338" s="351">
        <v>98.3</v>
      </c>
      <c r="Q338" s="335">
        <f t="shared" si="118"/>
        <v>36355</v>
      </c>
      <c r="R338" s="345">
        <v>36362</v>
      </c>
      <c r="S338" s="317">
        <f t="shared" si="129"/>
        <v>7</v>
      </c>
      <c r="U338" s="346">
        <v>3.1255999999999999E-2</v>
      </c>
      <c r="V338" s="339">
        <f>ROUND(((V337*SUM($S$10:S337))+(U338*S338))/SUM($S$10:S338),5)</f>
        <v>3.406E-2</v>
      </c>
      <c r="W338" s="316">
        <v>102.7</v>
      </c>
      <c r="BB338" s="352"/>
      <c r="BE338" s="335">
        <f t="shared" si="131"/>
        <v>35752</v>
      </c>
      <c r="BF338" s="345">
        <v>35759</v>
      </c>
      <c r="BG338" s="317">
        <f t="shared" si="125"/>
        <v>7</v>
      </c>
      <c r="BH338" s="346">
        <v>0.04</v>
      </c>
      <c r="BI338" s="337">
        <f t="shared" si="126"/>
        <v>11506.85</v>
      </c>
      <c r="BK338" s="364"/>
      <c r="BO338" s="335">
        <f t="shared" si="132"/>
        <v>37700</v>
      </c>
      <c r="BP338" s="345">
        <v>37707</v>
      </c>
      <c r="BQ338" s="317">
        <f t="shared" si="106"/>
        <v>7</v>
      </c>
      <c r="BR338" s="347">
        <v>1.14E-2</v>
      </c>
      <c r="BS338" s="337">
        <f t="shared" si="124"/>
        <v>3716.712329</v>
      </c>
      <c r="CE338" s="345"/>
      <c r="CH338" s="337"/>
      <c r="CL338" s="335">
        <f t="shared" si="130"/>
        <v>38657</v>
      </c>
      <c r="CM338" s="361">
        <v>38659</v>
      </c>
      <c r="CN338" s="317">
        <f t="shared" si="122"/>
        <v>2</v>
      </c>
      <c r="CO338" s="346">
        <v>2.7E-2</v>
      </c>
      <c r="CP338" s="346"/>
      <c r="CQ338" s="346"/>
      <c r="CR338" s="346"/>
      <c r="CS338" s="346"/>
      <c r="CT338" s="346"/>
      <c r="CU338" s="346"/>
      <c r="CV338" s="337">
        <f t="shared" si="135"/>
        <v>12329</v>
      </c>
    </row>
    <row r="339" spans="1:101" hidden="1" x14ac:dyDescent="0.25">
      <c r="A339" s="335">
        <f t="shared" si="133"/>
        <v>36341</v>
      </c>
      <c r="B339" s="345">
        <v>36347</v>
      </c>
      <c r="C339" s="317">
        <f t="shared" si="127"/>
        <v>6</v>
      </c>
      <c r="E339" s="346">
        <v>3.0571000000000001E-2</v>
      </c>
      <c r="F339" s="339">
        <f>ROUND(((F338*SUM($C$10:C338))+(E339*C339))/SUM($C$10:C339),5)</f>
        <v>3.2250000000000001E-2</v>
      </c>
      <c r="G339" s="348">
        <v>111.2</v>
      </c>
      <c r="I339" s="335">
        <f t="shared" si="134"/>
        <v>35485</v>
      </c>
      <c r="J339" s="353">
        <v>35489</v>
      </c>
      <c r="K339" s="317">
        <f t="shared" si="128"/>
        <v>4</v>
      </c>
      <c r="M339" s="339">
        <v>3.4520000000000002E-2</v>
      </c>
      <c r="N339" s="339">
        <f>ROUND(((N338*SUM($K$10:K338))+(M339*K339))/SUM($K$10:K339),5)</f>
        <v>3.1690000000000003E-2</v>
      </c>
      <c r="O339" s="351">
        <v>74.400000000000006</v>
      </c>
      <c r="Q339" s="335">
        <f t="shared" ref="Q339:Q403" si="136">R338</f>
        <v>36362</v>
      </c>
      <c r="R339" s="345">
        <v>36370</v>
      </c>
      <c r="S339" s="317">
        <f t="shared" si="129"/>
        <v>8</v>
      </c>
      <c r="U339" s="346">
        <v>3.1531999999999998E-2</v>
      </c>
      <c r="V339" s="339">
        <f>ROUND(((V338*SUM($S$10:S338))+(U339*S339))/SUM($S$10:S339),5)</f>
        <v>3.4049999999999997E-2</v>
      </c>
      <c r="W339" s="316">
        <v>107.1</v>
      </c>
      <c r="BB339" s="352"/>
      <c r="BE339" s="335">
        <f t="shared" si="131"/>
        <v>35759</v>
      </c>
      <c r="BF339" s="345">
        <v>35765</v>
      </c>
      <c r="BG339" s="317">
        <f t="shared" si="125"/>
        <v>6</v>
      </c>
      <c r="BH339" s="346">
        <v>3.9600000000000003E-2</v>
      </c>
      <c r="BI339" s="337">
        <f t="shared" si="126"/>
        <v>9764.3850000000002</v>
      </c>
      <c r="BJ339" s="341">
        <f>SUM(BI335:BI339)</f>
        <v>47424.66</v>
      </c>
      <c r="BK339" s="364">
        <v>45868.32</v>
      </c>
      <c r="BL339" s="341">
        <f>BJ339-BK339</f>
        <v>1556.3400000000038</v>
      </c>
      <c r="BM339" s="341">
        <f>BM334+BL339</f>
        <v>25377.525000000023</v>
      </c>
      <c r="BO339" s="335">
        <f t="shared" si="132"/>
        <v>37707</v>
      </c>
      <c r="BP339" s="345">
        <v>37712</v>
      </c>
      <c r="BQ339" s="317">
        <f t="shared" si="106"/>
        <v>5</v>
      </c>
      <c r="BR339" s="347">
        <v>1.15E-2</v>
      </c>
      <c r="BS339" s="337">
        <f t="shared" si="124"/>
        <v>2678.0821919999998</v>
      </c>
      <c r="BT339" s="341">
        <f>SUM(BS335:BS339)</f>
        <v>15821.643835999999</v>
      </c>
      <c r="CE339" s="345"/>
      <c r="CH339" s="337"/>
      <c r="CL339" s="335">
        <f t="shared" si="130"/>
        <v>38659</v>
      </c>
      <c r="CM339" s="361">
        <v>38666</v>
      </c>
      <c r="CN339" s="317">
        <f t="shared" si="122"/>
        <v>7</v>
      </c>
      <c r="CO339" s="346">
        <v>2.6100000000000002E-2</v>
      </c>
      <c r="CP339" s="346"/>
      <c r="CQ339" s="346"/>
      <c r="CR339" s="346"/>
      <c r="CS339" s="346"/>
      <c r="CT339" s="346"/>
      <c r="CU339" s="346"/>
      <c r="CV339" s="337">
        <f t="shared" si="135"/>
        <v>41713.199999999997</v>
      </c>
    </row>
    <row r="340" spans="1:101" hidden="1" x14ac:dyDescent="0.25">
      <c r="A340" s="335">
        <f t="shared" si="133"/>
        <v>36347</v>
      </c>
      <c r="B340" s="345">
        <v>36362</v>
      </c>
      <c r="C340" s="317">
        <f t="shared" si="127"/>
        <v>15</v>
      </c>
      <c r="E340" s="346">
        <v>3.0550999999999998E-2</v>
      </c>
      <c r="F340" s="339">
        <f>ROUND(((F339*SUM($C$10:C339))+(E340*C340))/SUM($C$10:C340),5)</f>
        <v>3.2239999999999998E-2</v>
      </c>
      <c r="G340" s="348">
        <v>111.8</v>
      </c>
      <c r="I340" s="335">
        <f t="shared" si="134"/>
        <v>35489</v>
      </c>
      <c r="J340" s="353">
        <v>35494</v>
      </c>
      <c r="K340" s="317">
        <f t="shared" si="128"/>
        <v>5</v>
      </c>
      <c r="M340" s="339">
        <v>3.449E-2</v>
      </c>
      <c r="N340" s="339">
        <f>ROUND(((N339*SUM($K$10:K339))+(M340*K340))/SUM($K$10:K340),5)</f>
        <v>3.1699999999999999E-2</v>
      </c>
      <c r="O340" s="351">
        <v>72.3</v>
      </c>
      <c r="Q340" s="335">
        <f t="shared" si="136"/>
        <v>36370</v>
      </c>
      <c r="R340" s="345">
        <v>36371</v>
      </c>
      <c r="S340" s="317">
        <f t="shared" si="129"/>
        <v>1</v>
      </c>
      <c r="U340" s="346">
        <v>3.1746999999999997E-2</v>
      </c>
      <c r="V340" s="339">
        <f>ROUND(((V339*SUM($S$10:S339))+(U340*S340))/SUM($S$10:S340),5)</f>
        <v>3.4049999999999997E-2</v>
      </c>
      <c r="W340" s="316">
        <v>101.7</v>
      </c>
      <c r="BB340" s="352"/>
      <c r="BE340" s="335">
        <f t="shared" si="131"/>
        <v>35765</v>
      </c>
      <c r="BF340" s="345">
        <v>35766</v>
      </c>
      <c r="BG340" s="317">
        <f t="shared" si="125"/>
        <v>1</v>
      </c>
      <c r="BH340" s="346">
        <v>3.9600000000000003E-2</v>
      </c>
      <c r="BI340" s="337">
        <f t="shared" si="126"/>
        <v>1627.395</v>
      </c>
      <c r="BK340" s="364"/>
      <c r="BO340" s="335">
        <f t="shared" si="132"/>
        <v>37712</v>
      </c>
      <c r="BP340" s="345">
        <v>37714</v>
      </c>
      <c r="BQ340" s="317">
        <f t="shared" si="106"/>
        <v>2</v>
      </c>
      <c r="BR340" s="347">
        <v>1.15E-2</v>
      </c>
      <c r="BS340" s="337">
        <f t="shared" si="124"/>
        <v>1071.2328769999999</v>
      </c>
      <c r="CE340" s="345"/>
      <c r="CH340" s="337"/>
      <c r="CL340" s="335">
        <f t="shared" si="130"/>
        <v>38666</v>
      </c>
      <c r="CM340" s="361">
        <v>38673</v>
      </c>
      <c r="CN340" s="317">
        <f t="shared" si="122"/>
        <v>7</v>
      </c>
      <c r="CO340" s="346">
        <v>2.9000000000000001E-2</v>
      </c>
      <c r="CP340" s="346"/>
      <c r="CQ340" s="346"/>
      <c r="CR340" s="346"/>
      <c r="CS340" s="346"/>
      <c r="CT340" s="346"/>
      <c r="CU340" s="346"/>
      <c r="CV340" s="337">
        <f t="shared" si="135"/>
        <v>46348</v>
      </c>
    </row>
    <row r="341" spans="1:101" hidden="1" x14ac:dyDescent="0.25">
      <c r="A341" s="335">
        <f t="shared" si="133"/>
        <v>36362</v>
      </c>
      <c r="B341" s="345">
        <v>36381</v>
      </c>
      <c r="C341" s="317">
        <f t="shared" si="127"/>
        <v>19</v>
      </c>
      <c r="E341" s="346">
        <v>3.1299E-2</v>
      </c>
      <c r="F341" s="339">
        <f>ROUND(((F340*SUM($C$10:C340))+(E341*C341))/SUM($C$10:C341),5)</f>
        <v>3.2230000000000002E-2</v>
      </c>
      <c r="G341" s="348">
        <v>119.2</v>
      </c>
      <c r="I341" s="335">
        <f t="shared" si="134"/>
        <v>35494</v>
      </c>
      <c r="J341" s="345">
        <v>35499</v>
      </c>
      <c r="K341" s="317">
        <f t="shared" si="128"/>
        <v>5</v>
      </c>
      <c r="M341" s="339">
        <v>3.449E-2</v>
      </c>
      <c r="N341" s="339">
        <f>ROUND(((N340*SUM($K$10:K340))+(M341*K341))/SUM($K$10:K341),5)</f>
        <v>3.1710000000000002E-2</v>
      </c>
      <c r="O341" s="351">
        <v>72.3</v>
      </c>
      <c r="Q341" s="335">
        <f t="shared" si="136"/>
        <v>36371</v>
      </c>
      <c r="R341" s="345">
        <v>36374</v>
      </c>
      <c r="S341" s="317">
        <f t="shared" si="129"/>
        <v>3</v>
      </c>
      <c r="U341" s="346">
        <v>3.1747999999999998E-2</v>
      </c>
      <c r="V341" s="339">
        <f>ROUND(((V340*SUM($S$10:S340))+(U341*S341))/SUM($S$10:S341),5)</f>
        <v>3.4049999999999997E-2</v>
      </c>
      <c r="W341" s="316">
        <v>101.8</v>
      </c>
      <c r="BB341" s="352"/>
      <c r="BE341" s="335">
        <f t="shared" si="131"/>
        <v>35766</v>
      </c>
      <c r="BF341" s="345">
        <v>35773</v>
      </c>
      <c r="BG341" s="317">
        <f t="shared" si="125"/>
        <v>7</v>
      </c>
      <c r="BH341" s="346">
        <v>3.6600000000000001E-2</v>
      </c>
      <c r="BI341" s="337">
        <f t="shared" si="126"/>
        <v>10528.764999999999</v>
      </c>
      <c r="BK341" s="364"/>
      <c r="BO341" s="335">
        <f t="shared" si="132"/>
        <v>37714</v>
      </c>
      <c r="BP341" s="345">
        <v>37721</v>
      </c>
      <c r="BQ341" s="317">
        <f t="shared" si="106"/>
        <v>7</v>
      </c>
      <c r="BR341" s="347">
        <v>1.0800000000000001E-2</v>
      </c>
      <c r="BS341" s="337">
        <f t="shared" si="124"/>
        <v>3521.0958900000001</v>
      </c>
      <c r="CE341" s="345"/>
      <c r="CH341" s="337"/>
      <c r="CL341" s="335">
        <f t="shared" si="130"/>
        <v>38673</v>
      </c>
      <c r="CM341" s="361">
        <v>38680</v>
      </c>
      <c r="CN341" s="317">
        <f t="shared" si="122"/>
        <v>7</v>
      </c>
      <c r="CO341" s="346">
        <v>3.0300000000000001E-2</v>
      </c>
      <c r="CP341" s="346"/>
      <c r="CQ341" s="346"/>
      <c r="CR341" s="346"/>
      <c r="CS341" s="346"/>
      <c r="CT341" s="346"/>
      <c r="CU341" s="346"/>
      <c r="CV341" s="337">
        <f t="shared" si="135"/>
        <v>48425.599999999999</v>
      </c>
    </row>
    <row r="342" spans="1:101" hidden="1" x14ac:dyDescent="0.25">
      <c r="A342" s="335">
        <f t="shared" si="133"/>
        <v>36381</v>
      </c>
      <c r="B342" s="345">
        <v>36383</v>
      </c>
      <c r="C342" s="317">
        <f t="shared" si="127"/>
        <v>2</v>
      </c>
      <c r="E342" s="346">
        <v>3.1461900000000001E-2</v>
      </c>
      <c r="F342" s="339">
        <f>ROUND(((F341*SUM($C$10:C341))+(E342*C342))/SUM($C$10:C342),5)</f>
        <v>3.2230000000000002E-2</v>
      </c>
      <c r="G342" s="348">
        <v>121.1</v>
      </c>
      <c r="I342" s="335">
        <f t="shared" si="134"/>
        <v>35499</v>
      </c>
      <c r="J342" s="345">
        <v>35508</v>
      </c>
      <c r="K342" s="317">
        <f t="shared" si="128"/>
        <v>9</v>
      </c>
      <c r="M342" s="339">
        <v>3.4509999999999999E-2</v>
      </c>
      <c r="N342" s="339">
        <f>ROUND(((N341*SUM($K$10:K341))+(M342*K342))/SUM($K$10:K342),5)</f>
        <v>3.1730000000000001E-2</v>
      </c>
      <c r="O342" s="351">
        <v>72.7</v>
      </c>
      <c r="Q342" s="335">
        <f t="shared" si="136"/>
        <v>36374</v>
      </c>
      <c r="R342" s="345">
        <v>36375</v>
      </c>
      <c r="S342" s="317">
        <f t="shared" si="129"/>
        <v>1</v>
      </c>
      <c r="U342" s="346">
        <v>3.1746999999999997E-2</v>
      </c>
      <c r="V342" s="339">
        <f>ROUND(((V341*SUM($S$10:S341))+(U342*S342))/SUM($S$10:S342),5)</f>
        <v>3.4049999999999997E-2</v>
      </c>
      <c r="W342" s="316">
        <v>101.7</v>
      </c>
      <c r="BB342" s="352"/>
      <c r="BE342" s="335">
        <f t="shared" si="131"/>
        <v>35773</v>
      </c>
      <c r="BF342" s="345">
        <v>35780</v>
      </c>
      <c r="BG342" s="317">
        <f t="shared" si="125"/>
        <v>7</v>
      </c>
      <c r="BH342" s="346">
        <v>3.6999999999999998E-2</v>
      </c>
      <c r="BI342" s="337">
        <f t="shared" si="126"/>
        <v>10643.834999999999</v>
      </c>
      <c r="BK342" s="364"/>
      <c r="BO342" s="335">
        <f t="shared" si="132"/>
        <v>37721</v>
      </c>
      <c r="BP342" s="345">
        <v>37728</v>
      </c>
      <c r="BQ342" s="317">
        <f t="shared" si="106"/>
        <v>7</v>
      </c>
      <c r="BR342" s="347">
        <v>1.14E-2</v>
      </c>
      <c r="BS342" s="337">
        <f t="shared" si="124"/>
        <v>3716.712329</v>
      </c>
      <c r="CE342" s="345"/>
      <c r="CH342" s="337"/>
      <c r="CL342" s="335">
        <f t="shared" si="130"/>
        <v>38680</v>
      </c>
      <c r="CM342" s="361">
        <v>38687</v>
      </c>
      <c r="CN342" s="317">
        <f t="shared" si="122"/>
        <v>7</v>
      </c>
      <c r="CO342" s="346">
        <v>3.04E-2</v>
      </c>
      <c r="CP342" s="346"/>
      <c r="CQ342" s="346"/>
      <c r="CR342" s="346"/>
      <c r="CS342" s="346"/>
      <c r="CT342" s="346"/>
      <c r="CU342" s="346"/>
      <c r="CV342" s="337">
        <f t="shared" si="135"/>
        <v>48585.4</v>
      </c>
      <c r="CW342" s="341">
        <f>SUM(CV338:CV342)</f>
        <v>197401.19999999998</v>
      </c>
    </row>
    <row r="343" spans="1:101" hidden="1" x14ac:dyDescent="0.25">
      <c r="A343" s="335">
        <f t="shared" si="133"/>
        <v>36383</v>
      </c>
      <c r="B343" s="345">
        <v>36391</v>
      </c>
      <c r="C343" s="317">
        <f t="shared" si="127"/>
        <v>8</v>
      </c>
      <c r="E343" s="346">
        <v>3.1599000000000002E-2</v>
      </c>
      <c r="F343" s="339">
        <f>ROUND(((F342*SUM($C$10:C342))+(E343*C343))/SUM($C$10:C343),5)</f>
        <v>3.2230000000000002E-2</v>
      </c>
      <c r="G343" s="348">
        <v>117.1</v>
      </c>
      <c r="I343" s="335">
        <f t="shared" si="134"/>
        <v>35508</v>
      </c>
      <c r="J343" s="345">
        <v>35510</v>
      </c>
      <c r="K343" s="317">
        <f t="shared" si="128"/>
        <v>2</v>
      </c>
      <c r="M343" s="339">
        <v>3.4509999999999999E-2</v>
      </c>
      <c r="N343" s="339">
        <f>ROUND(((N342*SUM($K$10:K342))+(M343*K343))/SUM($K$10:K343),5)</f>
        <v>3.1730000000000001E-2</v>
      </c>
      <c r="O343" s="351">
        <v>72.7</v>
      </c>
      <c r="Q343" s="335">
        <f t="shared" si="136"/>
        <v>36375</v>
      </c>
      <c r="R343" s="345">
        <v>36376</v>
      </c>
      <c r="S343" s="317">
        <f t="shared" si="129"/>
        <v>1</v>
      </c>
      <c r="U343" s="346">
        <v>3.1746000000000003E-2</v>
      </c>
      <c r="V343" s="339">
        <f>ROUND(((V342*SUM($S$10:S342))+(U343*S343))/SUM($S$10:S343),5)</f>
        <v>3.4049999999999997E-2</v>
      </c>
      <c r="W343" s="316">
        <v>101.7</v>
      </c>
      <c r="BB343" s="352"/>
      <c r="BE343" s="335">
        <f t="shared" si="131"/>
        <v>35780</v>
      </c>
      <c r="BF343" s="345">
        <v>35787</v>
      </c>
      <c r="BG343" s="317">
        <f t="shared" si="125"/>
        <v>7</v>
      </c>
      <c r="BH343" s="346">
        <v>3.9E-2</v>
      </c>
      <c r="BI343" s="337">
        <f t="shared" si="126"/>
        <v>11219.18</v>
      </c>
      <c r="BK343" s="364"/>
      <c r="BO343" s="335">
        <f t="shared" si="132"/>
        <v>37728</v>
      </c>
      <c r="BP343" s="345">
        <v>37735</v>
      </c>
      <c r="BQ343" s="317">
        <f t="shared" si="106"/>
        <v>7</v>
      </c>
      <c r="BR343" s="347">
        <v>1.24E-2</v>
      </c>
      <c r="BS343" s="337">
        <f t="shared" si="124"/>
        <v>4042.7397259999998</v>
      </c>
      <c r="CE343" s="345"/>
      <c r="CH343" s="337"/>
      <c r="CL343" s="335">
        <f t="shared" si="130"/>
        <v>38687</v>
      </c>
      <c r="CM343" s="361">
        <v>38694</v>
      </c>
      <c r="CN343" s="317">
        <f t="shared" si="122"/>
        <v>7</v>
      </c>
      <c r="CO343" s="346">
        <v>2.98E-2</v>
      </c>
      <c r="CP343" s="346"/>
      <c r="CQ343" s="346"/>
      <c r="CR343" s="346"/>
      <c r="CS343" s="346"/>
      <c r="CT343" s="346"/>
      <c r="CU343" s="346"/>
      <c r="CV343" s="337">
        <f t="shared" si="135"/>
        <v>47626.5</v>
      </c>
    </row>
    <row r="344" spans="1:101" hidden="1" x14ac:dyDescent="0.25">
      <c r="A344" s="335">
        <f t="shared" si="133"/>
        <v>36391</v>
      </c>
      <c r="B344" s="345">
        <v>36397</v>
      </c>
      <c r="C344" s="317">
        <f t="shared" si="127"/>
        <v>6</v>
      </c>
      <c r="E344" s="346">
        <v>3.2686E-2</v>
      </c>
      <c r="F344" s="339">
        <f>ROUND(((F343*SUM($C$10:C343))+(E344*C344))/SUM($C$10:C344),5)</f>
        <v>3.2230000000000002E-2</v>
      </c>
      <c r="G344" s="348">
        <v>102.1</v>
      </c>
      <c r="I344" s="335">
        <f t="shared" si="134"/>
        <v>35510</v>
      </c>
      <c r="J344" s="345">
        <v>35513</v>
      </c>
      <c r="K344" s="317">
        <f t="shared" si="128"/>
        <v>3</v>
      </c>
      <c r="M344" s="339">
        <v>3.4509999999999999E-2</v>
      </c>
      <c r="N344" s="339">
        <f>ROUND(((N343*SUM($K$10:K343))+(M344*K344))/SUM($K$10:K344),5)</f>
        <v>3.1739999999999997E-2</v>
      </c>
      <c r="O344" s="351">
        <v>69.5</v>
      </c>
      <c r="Q344" s="335">
        <f t="shared" si="136"/>
        <v>36376</v>
      </c>
      <c r="R344" s="345">
        <v>36377</v>
      </c>
      <c r="S344" s="317">
        <f t="shared" si="129"/>
        <v>1</v>
      </c>
      <c r="U344" s="346">
        <v>3.1775999999999999E-2</v>
      </c>
      <c r="V344" s="339">
        <f>ROUND(((V343*SUM($S$10:S343))+(U344*S344))/SUM($S$10:S344),5)</f>
        <v>3.4049999999999997E-2</v>
      </c>
      <c r="W344" s="316">
        <v>102.1</v>
      </c>
      <c r="BB344" s="352"/>
      <c r="BE344" s="335">
        <f t="shared" si="131"/>
        <v>35787</v>
      </c>
      <c r="BF344" s="345">
        <v>35794</v>
      </c>
      <c r="BG344" s="317">
        <f t="shared" si="125"/>
        <v>7</v>
      </c>
      <c r="BH344" s="346">
        <v>4.1000000000000002E-2</v>
      </c>
      <c r="BI344" s="337">
        <f t="shared" si="126"/>
        <v>11794.52</v>
      </c>
      <c r="BK344" s="364"/>
      <c r="BO344" s="335">
        <f t="shared" si="132"/>
        <v>37735</v>
      </c>
      <c r="BP344" s="345">
        <v>37742</v>
      </c>
      <c r="BQ344" s="317">
        <f t="shared" si="106"/>
        <v>7</v>
      </c>
      <c r="BR344" s="347">
        <v>1.3599999999999999E-2</v>
      </c>
      <c r="BS344" s="337">
        <f t="shared" si="124"/>
        <v>4433.9726030000002</v>
      </c>
      <c r="BT344" s="341">
        <f>SUM(BS340:BS344)</f>
        <v>16785.753425000003</v>
      </c>
      <c r="CH344" s="337"/>
      <c r="CL344" s="335">
        <f t="shared" si="130"/>
        <v>38694</v>
      </c>
      <c r="CM344" s="361">
        <v>38701</v>
      </c>
      <c r="CN344" s="317">
        <f t="shared" si="122"/>
        <v>7</v>
      </c>
      <c r="CO344" s="346">
        <v>2.81E-2</v>
      </c>
      <c r="CP344" s="346"/>
      <c r="CQ344" s="346"/>
      <c r="CR344" s="346"/>
      <c r="CS344" s="346"/>
      <c r="CT344" s="346"/>
      <c r="CU344" s="346"/>
      <c r="CV344" s="337">
        <f t="shared" si="135"/>
        <v>44909.599999999999</v>
      </c>
    </row>
    <row r="345" spans="1:101" hidden="1" x14ac:dyDescent="0.25">
      <c r="A345" s="335">
        <f t="shared" si="133"/>
        <v>36397</v>
      </c>
      <c r="B345" s="345">
        <v>36411</v>
      </c>
      <c r="C345" s="317">
        <f t="shared" si="127"/>
        <v>14</v>
      </c>
      <c r="E345" s="346">
        <v>3.3350999999999999E-2</v>
      </c>
      <c r="F345" s="339">
        <f>ROUND(((F344*SUM($C$10:C344))+(E345*C345))/SUM($C$10:C345),5)</f>
        <v>3.2239999999999998E-2</v>
      </c>
      <c r="G345" s="348">
        <v>110.2</v>
      </c>
      <c r="I345" s="335">
        <f t="shared" si="134"/>
        <v>35513</v>
      </c>
      <c r="J345" s="345">
        <v>35514</v>
      </c>
      <c r="K345" s="317">
        <f t="shared" si="128"/>
        <v>1</v>
      </c>
      <c r="M345" s="339">
        <v>3.4509999999999999E-2</v>
      </c>
      <c r="N345" s="339">
        <f>ROUND(((N344*SUM($K$10:K344))+(M345*K345))/SUM($K$10:K345),5)</f>
        <v>3.1739999999999997E-2</v>
      </c>
      <c r="O345" s="351">
        <v>69.400000000000006</v>
      </c>
      <c r="Q345" s="335">
        <f t="shared" si="136"/>
        <v>36377</v>
      </c>
      <c r="R345" s="345">
        <v>36381</v>
      </c>
      <c r="S345" s="317">
        <f t="shared" si="129"/>
        <v>4</v>
      </c>
      <c r="U345" s="346">
        <v>3.1775999999999999E-2</v>
      </c>
      <c r="V345" s="339">
        <f>ROUND(((V344*SUM($S$10:S344))+(U345*S345))/SUM($S$10:S345),5)</f>
        <v>3.4049999999999997E-2</v>
      </c>
      <c r="W345" s="316">
        <v>102.2</v>
      </c>
      <c r="BB345" s="352"/>
      <c r="BE345" s="335">
        <f t="shared" si="131"/>
        <v>35794</v>
      </c>
      <c r="BF345" s="345">
        <v>35796</v>
      </c>
      <c r="BG345" s="317">
        <f t="shared" si="125"/>
        <v>2</v>
      </c>
      <c r="BH345" s="346">
        <v>3.7499999999999999E-2</v>
      </c>
      <c r="BI345" s="337">
        <f t="shared" si="126"/>
        <v>3082.19</v>
      </c>
      <c r="BJ345" s="341">
        <f>SUM(BI340:BI345)</f>
        <v>48895.885000000009</v>
      </c>
      <c r="BK345" s="364">
        <v>47429.96</v>
      </c>
      <c r="BL345" s="341">
        <f>BJ345-BK345</f>
        <v>1465.9250000000102</v>
      </c>
      <c r="BM345" s="341">
        <f>BM339+BL345</f>
        <v>26843.450000000033</v>
      </c>
      <c r="BO345" s="335">
        <f t="shared" si="132"/>
        <v>37742</v>
      </c>
      <c r="BP345" s="345">
        <v>37746</v>
      </c>
      <c r="BQ345" s="317">
        <f t="shared" si="106"/>
        <v>4</v>
      </c>
      <c r="BR345" s="347">
        <v>1.35E-2</v>
      </c>
      <c r="BS345" s="337">
        <f t="shared" si="124"/>
        <v>2515.0684930000002</v>
      </c>
      <c r="BT345" s="341" t="s">
        <v>35</v>
      </c>
      <c r="CH345" s="337"/>
      <c r="CL345" s="335">
        <f t="shared" si="130"/>
        <v>38701</v>
      </c>
      <c r="CM345" s="361">
        <v>38708</v>
      </c>
      <c r="CN345" s="317">
        <f t="shared" si="122"/>
        <v>7</v>
      </c>
      <c r="CO345" s="346">
        <v>3.0700000000000002E-2</v>
      </c>
      <c r="CP345" s="346"/>
      <c r="CQ345" s="346"/>
      <c r="CR345" s="346"/>
      <c r="CS345" s="346"/>
      <c r="CT345" s="346"/>
      <c r="CU345" s="346"/>
      <c r="CV345" s="337">
        <f t="shared" si="135"/>
        <v>49064.9</v>
      </c>
    </row>
    <row r="346" spans="1:101" hidden="1" x14ac:dyDescent="0.25">
      <c r="A346" s="335">
        <f t="shared" si="133"/>
        <v>36411</v>
      </c>
      <c r="B346" s="345">
        <v>36434</v>
      </c>
      <c r="C346" s="317">
        <f t="shared" si="127"/>
        <v>23</v>
      </c>
      <c r="E346" s="346">
        <v>3.3750000000000002E-2</v>
      </c>
      <c r="F346" s="339">
        <f>ROUND(((F345*SUM($C$10:C345))+(E346*C346))/SUM($C$10:C346),5)</f>
        <v>3.2250000000000001E-2</v>
      </c>
      <c r="G346" s="348">
        <v>116.5</v>
      </c>
      <c r="I346" s="335">
        <f t="shared" si="134"/>
        <v>35514</v>
      </c>
      <c r="J346" s="345">
        <v>35515</v>
      </c>
      <c r="K346" s="317">
        <f t="shared" si="128"/>
        <v>1</v>
      </c>
      <c r="M346" s="339">
        <v>3.4529999999999998E-2</v>
      </c>
      <c r="N346" s="339">
        <f>ROUND(((N345*SUM($K$10:K345))+(M346*K346))/SUM($K$10:K346),5)</f>
        <v>3.1739999999999997E-2</v>
      </c>
      <c r="O346" s="316">
        <v>71.3</v>
      </c>
      <c r="Q346" s="335">
        <f t="shared" si="136"/>
        <v>36381</v>
      </c>
      <c r="R346" s="345">
        <v>36404</v>
      </c>
      <c r="S346" s="317">
        <f t="shared" si="129"/>
        <v>23</v>
      </c>
      <c r="U346" s="346">
        <v>3.1796999999999999E-2</v>
      </c>
      <c r="V346" s="339">
        <f>ROUND(((V345*SUM($S$10:S345))+(U346*S346))/SUM($S$10:S346),5)</f>
        <v>3.4029999999999998E-2</v>
      </c>
      <c r="W346" s="348">
        <v>99.49</v>
      </c>
      <c r="BB346" s="352"/>
      <c r="BE346" s="335">
        <f t="shared" si="131"/>
        <v>35796</v>
      </c>
      <c r="BF346" s="345">
        <v>35801</v>
      </c>
      <c r="BG346" s="317">
        <f t="shared" si="125"/>
        <v>5</v>
      </c>
      <c r="BH346" s="346">
        <v>3.7499999999999999E-2</v>
      </c>
      <c r="BI346" s="337">
        <f t="shared" si="126"/>
        <v>7705.48</v>
      </c>
      <c r="BK346" s="364"/>
      <c r="BO346" s="335">
        <f t="shared" si="132"/>
        <v>37746</v>
      </c>
      <c r="BP346" s="345">
        <v>37749</v>
      </c>
      <c r="BQ346" s="317">
        <f t="shared" si="106"/>
        <v>3</v>
      </c>
      <c r="BR346" s="347">
        <v>1.35E-2</v>
      </c>
      <c r="BS346" s="337">
        <f t="shared" si="124"/>
        <v>1886.3013699999999</v>
      </c>
      <c r="CH346" s="337"/>
      <c r="CL346" s="335">
        <f t="shared" si="130"/>
        <v>38708</v>
      </c>
      <c r="CM346" s="361">
        <v>38715</v>
      </c>
      <c r="CN346" s="317">
        <f t="shared" si="122"/>
        <v>7</v>
      </c>
      <c r="CO346" s="346">
        <v>3.3799999999999997E-2</v>
      </c>
      <c r="CP346" s="346"/>
      <c r="CQ346" s="346"/>
      <c r="CR346" s="346"/>
      <c r="CS346" s="346"/>
      <c r="CT346" s="346"/>
      <c r="CU346" s="346"/>
      <c r="CV346" s="337">
        <f t="shared" si="135"/>
        <v>54019.3</v>
      </c>
    </row>
    <row r="347" spans="1:101" hidden="1" x14ac:dyDescent="0.25">
      <c r="A347" s="335">
        <f t="shared" si="133"/>
        <v>36434</v>
      </c>
      <c r="B347" s="345">
        <v>36440</v>
      </c>
      <c r="C347" s="317">
        <f t="shared" si="127"/>
        <v>6</v>
      </c>
      <c r="E347" s="346">
        <v>3.4153999999999997E-2</v>
      </c>
      <c r="F347" s="339">
        <f>ROUND(((F346*SUM($C$10:C346))+(E347*C347))/SUM($C$10:C347),5)</f>
        <v>3.2250000000000001E-2</v>
      </c>
      <c r="G347" s="348">
        <v>119</v>
      </c>
      <c r="I347" s="335">
        <f t="shared" si="134"/>
        <v>35515</v>
      </c>
      <c r="J347" s="345">
        <v>35516</v>
      </c>
      <c r="K347" s="317">
        <f t="shared" si="128"/>
        <v>1</v>
      </c>
      <c r="M347" s="339">
        <v>3.4540000000000001E-2</v>
      </c>
      <c r="N347" s="339">
        <f>ROUND(((N346*SUM($K$10:K346))+(M347*K347))/SUM($K$10:K347),5)</f>
        <v>3.1739999999999997E-2</v>
      </c>
      <c r="O347" s="316">
        <v>69.8</v>
      </c>
      <c r="Q347" s="335">
        <f t="shared" si="136"/>
        <v>36404</v>
      </c>
      <c r="R347" s="345">
        <v>36405</v>
      </c>
      <c r="S347" s="317">
        <f t="shared" si="129"/>
        <v>1</v>
      </c>
      <c r="U347" s="346">
        <v>3.2266000000000003E-2</v>
      </c>
      <c r="V347" s="339">
        <f>ROUND(((V346*SUM($S$10:S346))+(U347*S347))/SUM($S$10:S347),5)</f>
        <v>3.4029999999999998E-2</v>
      </c>
      <c r="W347" s="348">
        <v>92.05</v>
      </c>
      <c r="BB347" s="352"/>
      <c r="BE347" s="335">
        <f t="shared" si="131"/>
        <v>35801</v>
      </c>
      <c r="BF347" s="345">
        <v>35808</v>
      </c>
      <c r="BG347" s="317">
        <f t="shared" si="125"/>
        <v>7</v>
      </c>
      <c r="BH347" s="346">
        <v>3.4000000000000002E-2</v>
      </c>
      <c r="BI347" s="337">
        <f t="shared" si="126"/>
        <v>9780.82</v>
      </c>
      <c r="BK347" s="364"/>
      <c r="BO347" s="335">
        <f t="shared" si="132"/>
        <v>37749</v>
      </c>
      <c r="BP347" s="345">
        <v>37756</v>
      </c>
      <c r="BQ347" s="317">
        <f t="shared" si="106"/>
        <v>7</v>
      </c>
      <c r="BR347" s="347">
        <v>1.23E-2</v>
      </c>
      <c r="BS347" s="337">
        <f t="shared" si="124"/>
        <v>4010.136986</v>
      </c>
      <c r="CH347" s="337"/>
      <c r="CL347" s="335">
        <f t="shared" si="130"/>
        <v>38715</v>
      </c>
      <c r="CM347" s="361">
        <v>38718</v>
      </c>
      <c r="CN347" s="317">
        <f t="shared" si="122"/>
        <v>3</v>
      </c>
      <c r="CO347" s="346">
        <v>3.5099999999999999E-2</v>
      </c>
      <c r="CP347" s="346"/>
      <c r="CQ347" s="346"/>
      <c r="CR347" s="346"/>
      <c r="CS347" s="346"/>
      <c r="CT347" s="346"/>
      <c r="CU347" s="346"/>
      <c r="CV347" s="337">
        <f>ROUND($CR$5*CO347*CN347/365,2)</f>
        <v>24041.58</v>
      </c>
      <c r="CW347" s="341">
        <f>SUM(CV343:CV347)</f>
        <v>219661.88</v>
      </c>
    </row>
    <row r="348" spans="1:101" hidden="1" x14ac:dyDescent="0.25">
      <c r="A348" s="335">
        <f t="shared" si="133"/>
        <v>36440</v>
      </c>
      <c r="B348" s="345">
        <v>36446</v>
      </c>
      <c r="C348" s="317">
        <f t="shared" si="127"/>
        <v>6</v>
      </c>
      <c r="E348" s="346">
        <v>3.4348999999999998E-2</v>
      </c>
      <c r="F348" s="339">
        <f>ROUND(((F347*SUM($C$10:C347))+(E348*C348))/SUM($C$10:C348),5)</f>
        <v>3.2250000000000001E-2</v>
      </c>
      <c r="G348" s="348">
        <v>120.3</v>
      </c>
      <c r="I348" s="335">
        <f t="shared" si="134"/>
        <v>35516</v>
      </c>
      <c r="J348" s="345">
        <v>35520</v>
      </c>
      <c r="K348" s="317">
        <f t="shared" si="128"/>
        <v>4</v>
      </c>
      <c r="M348" s="339">
        <v>3.4869999999999998E-2</v>
      </c>
      <c r="N348" s="339">
        <f>ROUND(((N347*SUM($K$10:K347))+(M348*K348))/SUM($K$10:K348),5)</f>
        <v>3.175E-2</v>
      </c>
      <c r="O348" s="316">
        <v>40.4</v>
      </c>
      <c r="Q348" s="335">
        <f t="shared" si="136"/>
        <v>36405</v>
      </c>
      <c r="R348" s="345">
        <v>36412</v>
      </c>
      <c r="S348" s="317">
        <f t="shared" si="129"/>
        <v>7</v>
      </c>
      <c r="U348" s="346">
        <v>3.2841000000000002E-2</v>
      </c>
      <c r="V348" s="339">
        <f>ROUND(((V347*SUM($S$10:S347))+(U348*S348))/SUM($S$10:S348),5)</f>
        <v>3.4029999999999998E-2</v>
      </c>
      <c r="W348" s="348">
        <v>80.239999999999995</v>
      </c>
      <c r="BB348" s="352"/>
      <c r="BE348" s="335">
        <f t="shared" si="131"/>
        <v>35808</v>
      </c>
      <c r="BF348" s="345">
        <v>35815</v>
      </c>
      <c r="BG348" s="317">
        <f t="shared" si="125"/>
        <v>7</v>
      </c>
      <c r="BH348" s="346">
        <v>3.4000000000000002E-2</v>
      </c>
      <c r="BI348" s="337">
        <f t="shared" si="126"/>
        <v>9780.82</v>
      </c>
      <c r="BK348" s="364"/>
      <c r="BO348" s="335">
        <f t="shared" si="132"/>
        <v>37756</v>
      </c>
      <c r="BP348" s="345">
        <v>37763</v>
      </c>
      <c r="BQ348" s="317">
        <f t="shared" si="106"/>
        <v>7</v>
      </c>
      <c r="BR348" s="347">
        <v>1.2200000000000001E-2</v>
      </c>
      <c r="BS348" s="337">
        <f t="shared" si="124"/>
        <v>3977.5342470000001</v>
      </c>
      <c r="CH348" s="337"/>
      <c r="CL348" s="335">
        <f t="shared" si="130"/>
        <v>38718</v>
      </c>
      <c r="CM348" s="361">
        <v>38720</v>
      </c>
      <c r="CN348" s="317">
        <f t="shared" si="122"/>
        <v>2</v>
      </c>
      <c r="CO348" s="346">
        <v>3.5099999999999999E-2</v>
      </c>
      <c r="CP348" s="346"/>
      <c r="CQ348" s="346"/>
      <c r="CR348" s="346"/>
      <c r="CS348" s="346"/>
      <c r="CT348" s="346"/>
      <c r="CU348" s="346"/>
      <c r="CV348" s="337">
        <f>ROUND($CR$5*CO348*CN348/365,1)</f>
        <v>16027.7</v>
      </c>
      <c r="CW348" s="341" t="s">
        <v>35</v>
      </c>
    </row>
    <row r="349" spans="1:101" hidden="1" x14ac:dyDescent="0.25">
      <c r="A349" s="335">
        <f t="shared" si="133"/>
        <v>36446</v>
      </c>
      <c r="B349" s="345">
        <v>36451</v>
      </c>
      <c r="C349" s="317">
        <f t="shared" si="127"/>
        <v>5</v>
      </c>
      <c r="E349" s="346">
        <v>3.4346000000000002E-2</v>
      </c>
      <c r="F349" s="339">
        <f>ROUND(((F348*SUM($C$10:C348))+(E349*C349))/SUM($C$10:C349),5)</f>
        <v>3.2250000000000001E-2</v>
      </c>
      <c r="G349" s="348">
        <v>116.6</v>
      </c>
      <c r="I349" s="335">
        <f t="shared" si="134"/>
        <v>35520</v>
      </c>
      <c r="J349" s="345">
        <v>35521</v>
      </c>
      <c r="K349" s="317">
        <f t="shared" si="128"/>
        <v>1</v>
      </c>
      <c r="M349" s="339">
        <v>3.4860000000000002E-2</v>
      </c>
      <c r="N349" s="339">
        <f>ROUND(((N348*SUM($K$10:K348))+(M349*K349))/SUM($K$10:K349),5)</f>
        <v>3.175E-2</v>
      </c>
      <c r="O349" s="316">
        <v>40.1</v>
      </c>
      <c r="Q349" s="335">
        <f t="shared" si="136"/>
        <v>36412</v>
      </c>
      <c r="R349" s="345">
        <v>36413</v>
      </c>
      <c r="S349" s="317">
        <f t="shared" si="129"/>
        <v>1</v>
      </c>
      <c r="U349" s="346">
        <v>3.2890999999999997E-2</v>
      </c>
      <c r="V349" s="339">
        <f>ROUND(((V348*SUM($S$10:S348))+(U349*S349))/SUM($S$10:S349),5)</f>
        <v>3.4029999999999998E-2</v>
      </c>
      <c r="W349" s="348">
        <v>80.239999999999995</v>
      </c>
      <c r="BB349" s="352"/>
      <c r="BE349" s="335">
        <f t="shared" si="131"/>
        <v>35815</v>
      </c>
      <c r="BF349" s="345">
        <v>35822</v>
      </c>
      <c r="BG349" s="317">
        <f t="shared" si="125"/>
        <v>7</v>
      </c>
      <c r="BH349" s="346">
        <v>3.4000000000000002E-2</v>
      </c>
      <c r="BI349" s="337">
        <f t="shared" si="126"/>
        <v>9780.82</v>
      </c>
      <c r="BK349" s="364"/>
      <c r="BO349" s="335">
        <f t="shared" si="132"/>
        <v>37763</v>
      </c>
      <c r="BP349" s="345">
        <v>37770</v>
      </c>
      <c r="BQ349" s="317">
        <f t="shared" si="106"/>
        <v>7</v>
      </c>
      <c r="BR349" s="347">
        <v>1.2E-2</v>
      </c>
      <c r="BS349" s="337">
        <f t="shared" si="124"/>
        <v>3912.328767</v>
      </c>
      <c r="CH349" s="337"/>
      <c r="CL349" s="335">
        <f t="shared" si="130"/>
        <v>38720</v>
      </c>
      <c r="CM349" s="361">
        <v>38722</v>
      </c>
      <c r="CN349" s="317">
        <f t="shared" si="122"/>
        <v>2</v>
      </c>
      <c r="CO349" s="346">
        <v>3.5099999999999999E-2</v>
      </c>
      <c r="CP349" s="346"/>
      <c r="CQ349" s="346"/>
      <c r="CR349" s="346"/>
      <c r="CS349" s="346"/>
      <c r="CT349" s="346"/>
      <c r="CU349" s="346"/>
      <c r="CV349" s="337">
        <f>ROUND($CR$5*CO349*CN349/365,1)</f>
        <v>16027.7</v>
      </c>
    </row>
    <row r="350" spans="1:101" hidden="1" x14ac:dyDescent="0.25">
      <c r="A350" s="335">
        <f t="shared" si="133"/>
        <v>36451</v>
      </c>
      <c r="B350" s="345">
        <v>36458</v>
      </c>
      <c r="C350" s="317">
        <f t="shared" si="127"/>
        <v>7</v>
      </c>
      <c r="E350" s="346">
        <v>3.4347000000000003E-2</v>
      </c>
      <c r="F350" s="339">
        <f>ROUND(((F349*SUM($C$10:C349))+(E350*C350))/SUM($C$10:C350),5)</f>
        <v>3.2259999999999997E-2</v>
      </c>
      <c r="G350" s="348">
        <v>116.7</v>
      </c>
      <c r="I350" s="335">
        <f t="shared" si="134"/>
        <v>35521</v>
      </c>
      <c r="J350" s="345">
        <v>35522</v>
      </c>
      <c r="K350" s="317">
        <f t="shared" si="128"/>
        <v>1</v>
      </c>
      <c r="M350" s="346">
        <v>3.4860000000000002E-2</v>
      </c>
      <c r="N350" s="339">
        <f>ROUND(((N349*SUM($K$10:K349))+(M350*K350))/SUM($K$10:K350),5)</f>
        <v>3.175E-2</v>
      </c>
      <c r="O350" s="316">
        <v>40.1</v>
      </c>
      <c r="Q350" s="335">
        <f t="shared" si="136"/>
        <v>36413</v>
      </c>
      <c r="R350" s="345">
        <v>36419</v>
      </c>
      <c r="S350" s="317">
        <f t="shared" si="129"/>
        <v>6</v>
      </c>
      <c r="U350" s="346">
        <v>3.3396000000000002E-2</v>
      </c>
      <c r="V350" s="339">
        <f>ROUND(((V349*SUM($S$10:S349))+(U350*S350))/SUM($S$10:S350),5)</f>
        <v>3.4029999999999998E-2</v>
      </c>
      <c r="W350" s="348">
        <v>79.73</v>
      </c>
      <c r="BB350" s="352"/>
      <c r="BE350" s="335">
        <f t="shared" si="131"/>
        <v>35822</v>
      </c>
      <c r="BF350" s="345">
        <v>35827</v>
      </c>
      <c r="BG350" s="317">
        <f t="shared" si="125"/>
        <v>5</v>
      </c>
      <c r="BH350" s="346">
        <v>3.5499999999999997E-2</v>
      </c>
      <c r="BI350" s="337">
        <f t="shared" si="126"/>
        <v>7294.52</v>
      </c>
      <c r="BJ350" s="341">
        <f>SUM(BI346:BI350)</f>
        <v>44342.460000000006</v>
      </c>
      <c r="BK350" s="364">
        <v>47298.720000000001</v>
      </c>
      <c r="BL350" s="341">
        <f>BJ350-BK350</f>
        <v>-2956.2599999999948</v>
      </c>
      <c r="BM350" s="341">
        <f>BM345+BL350</f>
        <v>23887.190000000039</v>
      </c>
      <c r="BO350" s="335">
        <f t="shared" si="132"/>
        <v>37770</v>
      </c>
      <c r="BP350" s="345">
        <v>37773</v>
      </c>
      <c r="BQ350" s="317">
        <f t="shared" si="106"/>
        <v>3</v>
      </c>
      <c r="BR350" s="347">
        <v>1.1900000000000001E-2</v>
      </c>
      <c r="BS350" s="337">
        <f t="shared" si="124"/>
        <v>1662.739726</v>
      </c>
      <c r="BT350" s="341">
        <f>SUM(BS345:BS350)</f>
        <v>17964.109589</v>
      </c>
      <c r="CH350" s="337"/>
      <c r="CL350" s="335">
        <f t="shared" si="130"/>
        <v>38722</v>
      </c>
      <c r="CM350" s="361">
        <v>38729</v>
      </c>
      <c r="CN350" s="317">
        <f t="shared" si="122"/>
        <v>7</v>
      </c>
      <c r="CO350" s="346">
        <v>2.93E-2</v>
      </c>
      <c r="CP350" s="346"/>
      <c r="CQ350" s="346"/>
      <c r="CR350" s="346"/>
      <c r="CS350" s="346"/>
      <c r="CT350" s="346"/>
      <c r="CU350" s="346"/>
      <c r="CV350" s="337">
        <f>ROUND($CR$5*CO350*CN350/365,0)</f>
        <v>46827</v>
      </c>
    </row>
    <row r="351" spans="1:101" hidden="1" x14ac:dyDescent="0.25">
      <c r="A351" s="335">
        <f t="shared" si="133"/>
        <v>36458</v>
      </c>
      <c r="B351" s="345">
        <v>36465</v>
      </c>
      <c r="C351" s="317">
        <f t="shared" si="127"/>
        <v>7</v>
      </c>
      <c r="E351" s="346">
        <v>3.4345000000000001E-2</v>
      </c>
      <c r="F351" s="339">
        <f>ROUND(((F350*SUM($C$10:C350))+(E351*C351))/SUM($C$10:C351),5)</f>
        <v>3.227E-2</v>
      </c>
      <c r="G351" s="348">
        <v>116.7</v>
      </c>
      <c r="I351" s="335">
        <f t="shared" si="134"/>
        <v>35522</v>
      </c>
      <c r="J351" s="345">
        <v>35523</v>
      </c>
      <c r="K351" s="317">
        <f t="shared" si="128"/>
        <v>1</v>
      </c>
      <c r="M351" s="346">
        <v>3.4860000000000002E-2</v>
      </c>
      <c r="N351" s="339">
        <f>ROUND(((N350*SUM($K$10:K350))+(M351*K351))/SUM($K$10:K351),5)</f>
        <v>3.175E-2</v>
      </c>
      <c r="O351" s="316">
        <v>44.3</v>
      </c>
      <c r="Q351" s="335">
        <f t="shared" si="136"/>
        <v>36419</v>
      </c>
      <c r="R351" s="345">
        <v>36427</v>
      </c>
      <c r="S351" s="317">
        <f t="shared" si="129"/>
        <v>8</v>
      </c>
      <c r="U351" s="346">
        <v>3.3766999999999998E-2</v>
      </c>
      <c r="V351" s="339">
        <f>ROUND(((V350*SUM($S$10:S350))+(U351*S351))/SUM($S$10:S351),5)</f>
        <v>3.4029999999999998E-2</v>
      </c>
      <c r="W351" s="348">
        <v>68.48</v>
      </c>
      <c r="BB351" s="352"/>
      <c r="BE351" s="335">
        <f t="shared" si="131"/>
        <v>35827</v>
      </c>
      <c r="BF351" s="345">
        <v>35829</v>
      </c>
      <c r="BG351" s="317">
        <f t="shared" si="125"/>
        <v>2</v>
      </c>
      <c r="BH351" s="346">
        <v>3.5499999999999997E-2</v>
      </c>
      <c r="BI351" s="337">
        <f t="shared" si="126"/>
        <v>2917.81</v>
      </c>
      <c r="BK351" s="364"/>
      <c r="BO351" s="335">
        <f t="shared" si="132"/>
        <v>37773</v>
      </c>
      <c r="BP351" s="345">
        <v>37777</v>
      </c>
      <c r="BQ351" s="317">
        <f t="shared" si="106"/>
        <v>4</v>
      </c>
      <c r="BR351" s="347">
        <v>1.1900000000000001E-2</v>
      </c>
      <c r="BS351" s="337">
        <f t="shared" si="124"/>
        <v>2216.9863009999999</v>
      </c>
      <c r="CH351" s="337"/>
      <c r="CL351" s="335">
        <f t="shared" si="130"/>
        <v>38729</v>
      </c>
      <c r="CM351" s="361">
        <v>38736</v>
      </c>
      <c r="CN351" s="317">
        <f t="shared" si="122"/>
        <v>7</v>
      </c>
      <c r="CO351" s="346">
        <v>2.9600000000000001E-2</v>
      </c>
      <c r="CP351" s="346"/>
      <c r="CQ351" s="346"/>
      <c r="CR351" s="346"/>
      <c r="CS351" s="346"/>
      <c r="CT351" s="346"/>
      <c r="CU351" s="346"/>
      <c r="CV351" s="337">
        <f>ROUND($CR$5*CO351*CN351/365,2)</f>
        <v>47306.879999999997</v>
      </c>
    </row>
    <row r="352" spans="1:101" hidden="1" x14ac:dyDescent="0.25">
      <c r="A352" s="335">
        <f t="shared" si="133"/>
        <v>36465</v>
      </c>
      <c r="B352" s="345">
        <v>36472</v>
      </c>
      <c r="C352" s="317">
        <f t="shared" si="127"/>
        <v>7</v>
      </c>
      <c r="E352" s="346">
        <v>3.4334999999999997E-2</v>
      </c>
      <c r="F352" s="339">
        <f>ROUND(((F351*SUM($C$10:C351))+(E352*C352))/SUM($C$10:C352),5)</f>
        <v>3.2280000000000003E-2</v>
      </c>
      <c r="G352" s="348">
        <v>116.7</v>
      </c>
      <c r="I352" s="335">
        <f t="shared" si="134"/>
        <v>35523</v>
      </c>
      <c r="J352" s="345">
        <v>35527</v>
      </c>
      <c r="K352" s="317">
        <f t="shared" si="128"/>
        <v>4</v>
      </c>
      <c r="M352" s="346">
        <v>3.4819999999999997E-2</v>
      </c>
      <c r="N352" s="339">
        <f>ROUND(((N351*SUM($K$10:K351))+(M352*K352))/SUM($K$10:K352),5)</f>
        <v>3.1759999999999997E-2</v>
      </c>
      <c r="O352" s="316">
        <v>45.9</v>
      </c>
      <c r="Q352" s="335">
        <f t="shared" si="136"/>
        <v>36427</v>
      </c>
      <c r="R352" s="345">
        <v>36437</v>
      </c>
      <c r="S352" s="317">
        <f t="shared" si="129"/>
        <v>10</v>
      </c>
      <c r="U352" s="346">
        <v>3.4303E-2</v>
      </c>
      <c r="V352" s="339">
        <f>ROUND(((V351*SUM($S$10:S351))+(U352*S352))/SUM($S$10:S352),5)</f>
        <v>3.4029999999999998E-2</v>
      </c>
      <c r="W352" s="348">
        <v>66.510000000000005</v>
      </c>
      <c r="BB352" s="352"/>
      <c r="BE352" s="335">
        <f t="shared" si="131"/>
        <v>35829</v>
      </c>
      <c r="BF352" s="345">
        <v>35836</v>
      </c>
      <c r="BG352" s="317">
        <f t="shared" si="125"/>
        <v>7</v>
      </c>
      <c r="BH352" s="346">
        <v>3.3500000000000002E-2</v>
      </c>
      <c r="BI352" s="337">
        <f t="shared" si="126"/>
        <v>9636.9850000000006</v>
      </c>
      <c r="BK352" s="364"/>
      <c r="BO352" s="335">
        <f t="shared" si="132"/>
        <v>37777</v>
      </c>
      <c r="BP352" s="345">
        <v>37784</v>
      </c>
      <c r="BQ352" s="317">
        <f t="shared" si="106"/>
        <v>7</v>
      </c>
      <c r="BR352" s="347">
        <v>1.03E-2</v>
      </c>
      <c r="BS352" s="337">
        <f t="shared" si="124"/>
        <v>3358.0821919999998</v>
      </c>
      <c r="CH352" s="337"/>
      <c r="CL352" s="335">
        <f t="shared" si="130"/>
        <v>38736</v>
      </c>
      <c r="CM352" s="361">
        <v>38743</v>
      </c>
      <c r="CN352" s="317">
        <f t="shared" si="122"/>
        <v>7</v>
      </c>
      <c r="CO352" s="346">
        <v>3.0099999999999998E-2</v>
      </c>
      <c r="CP352" s="346"/>
      <c r="CQ352" s="346"/>
      <c r="CR352" s="346"/>
      <c r="CS352" s="346"/>
      <c r="CT352" s="346"/>
      <c r="CU352" s="346"/>
      <c r="CV352" s="337">
        <f>ROUND($CR$5*CO352*CN352/365,2)</f>
        <v>48105.98</v>
      </c>
    </row>
    <row r="353" spans="1:101" hidden="1" x14ac:dyDescent="0.25">
      <c r="A353" s="335">
        <f t="shared" si="133"/>
        <v>36472</v>
      </c>
      <c r="B353" s="345">
        <v>36474</v>
      </c>
      <c r="C353" s="317">
        <f t="shared" si="127"/>
        <v>2</v>
      </c>
      <c r="E353" s="346">
        <v>3.4389000000000003E-2</v>
      </c>
      <c r="F353" s="339">
        <f>ROUND(((F352*SUM($C$10:C352))+(E353*C353))/SUM($C$10:C353),5)</f>
        <v>3.2280000000000003E-2</v>
      </c>
      <c r="G353" s="348">
        <v>118.2</v>
      </c>
      <c r="I353" s="335">
        <f t="shared" si="134"/>
        <v>35527</v>
      </c>
      <c r="J353" s="345">
        <v>35531</v>
      </c>
      <c r="K353" s="317">
        <f t="shared" si="128"/>
        <v>4</v>
      </c>
      <c r="M353" s="346">
        <v>3.5970000000000002E-2</v>
      </c>
      <c r="N353" s="339">
        <f>ROUND(((N352*SUM($K$10:K352))+(M353*K353))/SUM($K$10:K353),5)</f>
        <v>3.177E-2</v>
      </c>
      <c r="O353" s="316">
        <v>96.5</v>
      </c>
      <c r="Q353" s="335">
        <f t="shared" si="136"/>
        <v>36437</v>
      </c>
      <c r="R353" s="345">
        <v>36438</v>
      </c>
      <c r="S353" s="317">
        <f t="shared" si="129"/>
        <v>1</v>
      </c>
      <c r="U353" s="346">
        <v>3.4554000000000001E-2</v>
      </c>
      <c r="V353" s="339">
        <f>ROUND(((V352*SUM($S$10:S352))+(U353*S353))/SUM($S$10:S353),5)</f>
        <v>3.4029999999999998E-2</v>
      </c>
      <c r="W353" s="316">
        <v>63.1</v>
      </c>
      <c r="BB353" s="352"/>
      <c r="BE353" s="335">
        <f t="shared" si="131"/>
        <v>35836</v>
      </c>
      <c r="BF353" s="345">
        <v>35843</v>
      </c>
      <c r="BG353" s="317">
        <f t="shared" si="125"/>
        <v>7</v>
      </c>
      <c r="BH353" s="346">
        <v>2.9700000000000001E-2</v>
      </c>
      <c r="BI353" s="337">
        <f t="shared" si="126"/>
        <v>8543.8349999999991</v>
      </c>
      <c r="BK353" s="364"/>
      <c r="BO353" s="335">
        <f t="shared" si="132"/>
        <v>37784</v>
      </c>
      <c r="BP353" s="345">
        <v>37791</v>
      </c>
      <c r="BQ353" s="317">
        <f t="shared" si="106"/>
        <v>7</v>
      </c>
      <c r="BR353" s="347">
        <v>1.06E-2</v>
      </c>
      <c r="BS353" s="337">
        <f t="shared" si="124"/>
        <v>3455.8904109999999</v>
      </c>
      <c r="CH353" s="337"/>
      <c r="CL353" s="335">
        <f t="shared" si="130"/>
        <v>38743</v>
      </c>
      <c r="CM353" s="361">
        <v>38749</v>
      </c>
      <c r="CN353" s="317">
        <f t="shared" si="122"/>
        <v>6</v>
      </c>
      <c r="CO353" s="346">
        <v>3.0200000000000001E-2</v>
      </c>
      <c r="CP353" s="346"/>
      <c r="CQ353" s="346"/>
      <c r="CR353" s="346"/>
      <c r="CS353" s="346"/>
      <c r="CT353" s="346"/>
      <c r="CU353" s="346"/>
      <c r="CV353" s="337">
        <f>ROUND($CR$5*CO353*CN353/365,0)</f>
        <v>41371</v>
      </c>
      <c r="CW353" s="341">
        <f>SUM(CV348:CV353)</f>
        <v>215666.26</v>
      </c>
    </row>
    <row r="354" spans="1:101" hidden="1" x14ac:dyDescent="0.25">
      <c r="A354" s="335">
        <f t="shared" si="133"/>
        <v>36474</v>
      </c>
      <c r="B354" s="345">
        <v>36480</v>
      </c>
      <c r="C354" s="317">
        <f t="shared" si="127"/>
        <v>6</v>
      </c>
      <c r="E354" s="346">
        <v>3.4630000000000001E-2</v>
      </c>
      <c r="F354" s="339">
        <f>ROUND(((F353*SUM($C$10:C353))+(E354*C354))/SUM($C$10:C354),5)</f>
        <v>3.2289999999999999E-2</v>
      </c>
      <c r="G354" s="348">
        <v>116</v>
      </c>
      <c r="I354" s="335">
        <f t="shared" si="134"/>
        <v>35531</v>
      </c>
      <c r="J354" s="345">
        <v>35536</v>
      </c>
      <c r="K354" s="317">
        <f t="shared" si="128"/>
        <v>5</v>
      </c>
      <c r="M354" s="346">
        <v>3.6229999999999998E-2</v>
      </c>
      <c r="N354" s="339">
        <f>ROUND(((N353*SUM($K$10:K353))+(M354*K354))/SUM($K$10:K354),5)</f>
        <v>3.1780000000000003E-2</v>
      </c>
      <c r="O354" s="316">
        <v>85.2</v>
      </c>
      <c r="Q354" s="335">
        <f t="shared" si="136"/>
        <v>36438</v>
      </c>
      <c r="R354" s="345">
        <v>36441</v>
      </c>
      <c r="S354" s="317">
        <f t="shared" si="129"/>
        <v>3</v>
      </c>
      <c r="U354" s="346">
        <v>3.4932999999999999E-2</v>
      </c>
      <c r="V354" s="339">
        <f>ROUND(((V353*SUM($S$10:S353))+(U354*S354))/SUM($S$10:S354),5)</f>
        <v>3.4029999999999998E-2</v>
      </c>
      <c r="W354" s="348">
        <v>74.180000000000007</v>
      </c>
      <c r="BB354" s="352"/>
      <c r="BE354" s="335">
        <f t="shared" si="131"/>
        <v>35843</v>
      </c>
      <c r="BF354" s="345">
        <v>35850</v>
      </c>
      <c r="BG354" s="317">
        <f t="shared" si="125"/>
        <v>7</v>
      </c>
      <c r="BH354" s="346">
        <v>3.2500000000000001E-2</v>
      </c>
      <c r="BI354" s="337">
        <f t="shared" si="126"/>
        <v>9349.3150000000005</v>
      </c>
      <c r="BK354" s="364"/>
      <c r="BO354" s="335">
        <f t="shared" si="132"/>
        <v>37791</v>
      </c>
      <c r="BP354" s="345">
        <v>37798</v>
      </c>
      <c r="BQ354" s="317">
        <f t="shared" si="106"/>
        <v>7</v>
      </c>
      <c r="BR354" s="347">
        <v>1.04E-2</v>
      </c>
      <c r="BS354" s="337">
        <f t="shared" si="124"/>
        <v>3390.6849320000001</v>
      </c>
      <c r="CH354" s="337"/>
      <c r="CL354" s="335">
        <f t="shared" si="130"/>
        <v>38749</v>
      </c>
      <c r="CM354" s="361">
        <v>38750</v>
      </c>
      <c r="CN354" s="317">
        <f t="shared" si="122"/>
        <v>1</v>
      </c>
      <c r="CO354" s="346">
        <v>3.0200000000000001E-2</v>
      </c>
      <c r="CP354" s="346"/>
      <c r="CQ354" s="346"/>
      <c r="CR354" s="346"/>
      <c r="CS354" s="346"/>
      <c r="CT354" s="346"/>
      <c r="CU354" s="346"/>
      <c r="CV354" s="337">
        <f>ROUND($CR$5*CO354*CN354/365,2)</f>
        <v>6895.12</v>
      </c>
    </row>
    <row r="355" spans="1:101" hidden="1" x14ac:dyDescent="0.25">
      <c r="A355" s="335">
        <f t="shared" si="133"/>
        <v>36480</v>
      </c>
      <c r="B355" s="345">
        <v>36481</v>
      </c>
      <c r="C355" s="317">
        <f t="shared" si="127"/>
        <v>1</v>
      </c>
      <c r="E355" s="346">
        <v>3.5199000000000001E-2</v>
      </c>
      <c r="F355" s="339">
        <f>ROUND(((F354*SUM($C$10:C354))+(E355*C355))/SUM($C$10:C355),5)</f>
        <v>3.2289999999999999E-2</v>
      </c>
      <c r="G355" s="348">
        <v>116.6</v>
      </c>
      <c r="I355" s="335">
        <f t="shared" si="134"/>
        <v>35536</v>
      </c>
      <c r="J355" s="345">
        <v>35537</v>
      </c>
      <c r="K355" s="317">
        <f t="shared" si="128"/>
        <v>1</v>
      </c>
      <c r="M355" s="346">
        <v>3.6229999999999998E-2</v>
      </c>
      <c r="N355" s="339">
        <f>ROUND(((N354*SUM($K$10:K354))+(M355*K355))/SUM($K$10:K355),5)</f>
        <v>3.1780000000000003E-2</v>
      </c>
      <c r="O355" s="316">
        <v>85.1</v>
      </c>
      <c r="Q355" s="335">
        <f t="shared" si="136"/>
        <v>36441</v>
      </c>
      <c r="R355" s="345">
        <v>36445</v>
      </c>
      <c r="S355" s="317">
        <f t="shared" si="129"/>
        <v>4</v>
      </c>
      <c r="U355" s="346">
        <v>3.5241000000000001E-2</v>
      </c>
      <c r="V355" s="339">
        <f>ROUND(((V354*SUM($S$10:S354))+(U355*S355))/SUM($S$10:S355),5)</f>
        <v>3.4029999999999998E-2</v>
      </c>
      <c r="W355" s="348">
        <v>74.010000000000005</v>
      </c>
      <c r="BB355" s="352"/>
      <c r="BE355" s="335">
        <f t="shared" si="131"/>
        <v>35850</v>
      </c>
      <c r="BF355" s="345">
        <v>35855</v>
      </c>
      <c r="BG355" s="317">
        <f t="shared" si="125"/>
        <v>5</v>
      </c>
      <c r="BH355" s="346">
        <v>3.5000000000000003E-2</v>
      </c>
      <c r="BI355" s="337">
        <f t="shared" si="126"/>
        <v>7191.78</v>
      </c>
      <c r="BJ355" s="341">
        <f>SUM(BI351:BI355)</f>
        <v>37639.724999999999</v>
      </c>
      <c r="BK355" s="364">
        <v>41645.379999999997</v>
      </c>
      <c r="BL355" s="341">
        <f>BJ355-BK355</f>
        <v>-4005.6549999999988</v>
      </c>
      <c r="BM355" s="341">
        <f>BM350+BL355</f>
        <v>19881.53500000004</v>
      </c>
      <c r="BO355" s="335">
        <f t="shared" si="132"/>
        <v>37798</v>
      </c>
      <c r="BP355" s="345">
        <v>37803</v>
      </c>
      <c r="BQ355" s="317">
        <f t="shared" si="106"/>
        <v>5</v>
      </c>
      <c r="BR355" s="347">
        <v>9.7999999999999997E-3</v>
      </c>
      <c r="BS355" s="337">
        <f t="shared" si="124"/>
        <v>2282.191781</v>
      </c>
      <c r="BT355" s="341">
        <f>SUM(BS351:BS355)</f>
        <v>14703.835616999999</v>
      </c>
      <c r="CH355" s="337"/>
      <c r="CL355" s="335">
        <f t="shared" si="130"/>
        <v>38750</v>
      </c>
      <c r="CM355" s="361">
        <v>38757</v>
      </c>
      <c r="CN355" s="317">
        <f t="shared" si="122"/>
        <v>7</v>
      </c>
      <c r="CO355" s="346">
        <v>2.98E-2</v>
      </c>
      <c r="CP355" s="346"/>
      <c r="CQ355" s="346"/>
      <c r="CR355" s="346"/>
      <c r="CS355" s="346"/>
      <c r="CT355" s="346"/>
      <c r="CU355" s="346"/>
      <c r="CV355" s="337">
        <f>ROUND($CR$5*CO355*CN355/365,2)</f>
        <v>47626.52</v>
      </c>
    </row>
    <row r="356" spans="1:101" hidden="1" x14ac:dyDescent="0.25">
      <c r="A356" s="335">
        <f t="shared" si="133"/>
        <v>36481</v>
      </c>
      <c r="B356" s="345">
        <v>36503</v>
      </c>
      <c r="C356" s="317">
        <f t="shared" si="127"/>
        <v>22</v>
      </c>
      <c r="E356" s="346">
        <v>3.5968E-2</v>
      </c>
      <c r="F356" s="339">
        <f>ROUND(((F355*SUM($C$10:C355))+(E356*C356))/SUM($C$10:C356),5)</f>
        <v>3.2320000000000002E-2</v>
      </c>
      <c r="G356" s="348">
        <v>119.1</v>
      </c>
      <c r="I356" s="335">
        <f t="shared" si="134"/>
        <v>35537</v>
      </c>
      <c r="J356" s="345">
        <v>35544</v>
      </c>
      <c r="K356" s="317">
        <f t="shared" si="128"/>
        <v>7</v>
      </c>
      <c r="M356" s="346">
        <v>3.628E-2</v>
      </c>
      <c r="N356" s="339">
        <f>ROUND(((N355*SUM($K$10:K355))+(M356*K356))/SUM($K$10:K356),5)</f>
        <v>3.1800000000000002E-2</v>
      </c>
      <c r="O356" s="316">
        <v>87.7</v>
      </c>
      <c r="Q356" s="335">
        <f t="shared" si="136"/>
        <v>36445</v>
      </c>
      <c r="R356" s="345">
        <v>36446</v>
      </c>
      <c r="S356" s="317">
        <f t="shared" si="129"/>
        <v>1</v>
      </c>
      <c r="U356" s="346">
        <v>3.5408000000000002E-2</v>
      </c>
      <c r="V356" s="339">
        <f>ROUND(((V355*SUM($S$10:S355))+(U356*S356))/SUM($S$10:S356),5)</f>
        <v>3.4029999999999998E-2</v>
      </c>
      <c r="W356" s="348">
        <v>87.81</v>
      </c>
      <c r="BB356" s="352"/>
      <c r="BE356" s="335">
        <f t="shared" si="131"/>
        <v>35855</v>
      </c>
      <c r="BF356" s="345">
        <v>35857</v>
      </c>
      <c r="BG356" s="317">
        <f t="shared" si="125"/>
        <v>2</v>
      </c>
      <c r="BH356" s="346">
        <v>3.5000000000000003E-2</v>
      </c>
      <c r="BI356" s="337">
        <f t="shared" si="126"/>
        <v>2876.71</v>
      </c>
      <c r="BK356" s="364"/>
      <c r="BO356" s="335">
        <f t="shared" si="132"/>
        <v>37803</v>
      </c>
      <c r="BP356" s="345">
        <v>37805</v>
      </c>
      <c r="BQ356" s="317">
        <f t="shared" si="106"/>
        <v>2</v>
      </c>
      <c r="BR356" s="347">
        <v>9.7999999999999997E-3</v>
      </c>
      <c r="BS356" s="337">
        <f t="shared" si="124"/>
        <v>912.876712</v>
      </c>
      <c r="CH356" s="337"/>
      <c r="CL356" s="335">
        <f t="shared" si="130"/>
        <v>38757</v>
      </c>
      <c r="CM356" s="361">
        <v>38764</v>
      </c>
      <c r="CN356" s="317">
        <f t="shared" si="122"/>
        <v>7</v>
      </c>
      <c r="CO356" s="346">
        <v>3.1099999999999999E-2</v>
      </c>
      <c r="CP356" s="346"/>
      <c r="CQ356" s="346"/>
      <c r="CR356" s="346"/>
      <c r="CS356" s="346"/>
      <c r="CT356" s="346"/>
      <c r="CU356" s="346"/>
      <c r="CV356" s="337">
        <f>ROUND($CR$5*CO356*CN356/365,2)</f>
        <v>49704.19</v>
      </c>
    </row>
    <row r="357" spans="1:101" hidden="1" x14ac:dyDescent="0.25">
      <c r="A357" s="335">
        <f t="shared" si="133"/>
        <v>36503</v>
      </c>
      <c r="B357" s="345">
        <v>36545</v>
      </c>
      <c r="C357" s="317">
        <f t="shared" si="127"/>
        <v>42</v>
      </c>
      <c r="E357" s="346">
        <v>3.6082000000000003E-2</v>
      </c>
      <c r="F357" s="339">
        <f>ROUND(((F356*SUM($C$10:C356))+(E357*C357))/SUM($C$10:C357),5)</f>
        <v>3.2379999999999999E-2</v>
      </c>
      <c r="G357" s="348">
        <v>125.1</v>
      </c>
      <c r="I357" s="335">
        <f t="shared" si="134"/>
        <v>35544</v>
      </c>
      <c r="J357" s="345">
        <v>35552</v>
      </c>
      <c r="K357" s="317">
        <f t="shared" si="128"/>
        <v>8</v>
      </c>
      <c r="M357" s="346">
        <v>3.6400000000000002E-2</v>
      </c>
      <c r="N357" s="339">
        <f>ROUND(((N356*SUM($K$10:K356))+(M357*K357))/SUM($K$10:K357),5)</f>
        <v>3.1820000000000001E-2</v>
      </c>
      <c r="O357" s="316">
        <v>91.1</v>
      </c>
      <c r="Q357" s="335">
        <f t="shared" si="136"/>
        <v>36446</v>
      </c>
      <c r="R357" s="345">
        <v>36448</v>
      </c>
      <c r="S357" s="317">
        <f t="shared" si="129"/>
        <v>2</v>
      </c>
      <c r="U357" s="346">
        <v>3.5595000000000002E-2</v>
      </c>
      <c r="V357" s="339">
        <f>ROUND(((V356*SUM($S$10:S356))+(U357*S357))/SUM($S$10:S357),5)</f>
        <v>3.4029999999999998E-2</v>
      </c>
      <c r="W357" s="348">
        <v>94.87</v>
      </c>
      <c r="BB357" s="352"/>
      <c r="BE357" s="335">
        <f t="shared" si="131"/>
        <v>35857</v>
      </c>
      <c r="BF357" s="345">
        <v>35864</v>
      </c>
      <c r="BG357" s="317">
        <f t="shared" si="125"/>
        <v>7</v>
      </c>
      <c r="BH357" s="346">
        <v>3.1E-2</v>
      </c>
      <c r="BI357" s="337">
        <f t="shared" si="126"/>
        <v>8917.81</v>
      </c>
      <c r="BK357" s="364"/>
      <c r="BO357" s="335">
        <f t="shared" si="132"/>
        <v>37805</v>
      </c>
      <c r="BP357" s="345">
        <v>37812</v>
      </c>
      <c r="BQ357" s="317">
        <f t="shared" si="106"/>
        <v>7</v>
      </c>
      <c r="BR357" s="347">
        <v>8.0000000000000002E-3</v>
      </c>
      <c r="BS357" s="337">
        <f t="shared" si="124"/>
        <v>2608.2191779999998</v>
      </c>
      <c r="CH357" s="337"/>
      <c r="CL357" s="335">
        <f t="shared" si="130"/>
        <v>38764</v>
      </c>
      <c r="CM357" s="361">
        <v>38771</v>
      </c>
      <c r="CN357" s="317">
        <f t="shared" si="122"/>
        <v>7</v>
      </c>
      <c r="CO357" s="346">
        <v>3.2199999999999999E-2</v>
      </c>
      <c r="CP357" s="346"/>
      <c r="CQ357" s="346"/>
      <c r="CR357" s="346"/>
      <c r="CS357" s="346"/>
      <c r="CT357" s="346"/>
      <c r="CU357" s="346"/>
      <c r="CV357" s="337">
        <f>ROUND($CR$5*CO357*CN357/365,0)</f>
        <v>51462</v>
      </c>
      <c r="CW357" s="350" t="s">
        <v>35</v>
      </c>
    </row>
    <row r="358" spans="1:101" hidden="1" x14ac:dyDescent="0.25">
      <c r="A358" s="335">
        <f>B357</f>
        <v>36545</v>
      </c>
      <c r="B358" s="345">
        <v>36551</v>
      </c>
      <c r="C358" s="317">
        <f t="shared" si="127"/>
        <v>6</v>
      </c>
      <c r="E358" s="346">
        <v>3.6090999999999998E-2</v>
      </c>
      <c r="F358" s="339">
        <f>ROUND(((F357*SUM($C$10:C357))+(E358*C358))/SUM($C$10:C358),5)</f>
        <v>3.2390000000000002E-2</v>
      </c>
      <c r="G358" s="348">
        <v>123.2</v>
      </c>
      <c r="I358" s="335">
        <f>J357</f>
        <v>35552</v>
      </c>
      <c r="J358" s="345">
        <v>35556</v>
      </c>
      <c r="K358" s="317">
        <f t="shared" si="128"/>
        <v>4</v>
      </c>
      <c r="M358" s="346">
        <v>3.6409999999999998E-2</v>
      </c>
      <c r="N358" s="339">
        <f>ROUND(((N357*SUM($K$10:K357))+(M358*K358))/SUM($K$10:K358),5)</f>
        <v>3.1829999999999997E-2</v>
      </c>
      <c r="O358" s="316">
        <v>91.1</v>
      </c>
      <c r="Q358" s="335">
        <f>R357</f>
        <v>36448</v>
      </c>
      <c r="R358" s="345">
        <v>36454</v>
      </c>
      <c r="S358" s="317">
        <f t="shared" si="129"/>
        <v>6</v>
      </c>
      <c r="U358" s="346">
        <v>3.5695999999999999E-2</v>
      </c>
      <c r="V358" s="339">
        <f>ROUND(((V357*SUM($S$10:S357))+(U358*S358))/SUM($S$10:S358),5)</f>
        <v>3.4029999999999998E-2</v>
      </c>
      <c r="W358" s="348">
        <v>97.6</v>
      </c>
      <c r="BB358" s="352"/>
      <c r="BE358" s="335">
        <f>BF357</f>
        <v>35864</v>
      </c>
      <c r="BF358" s="345">
        <v>35871</v>
      </c>
      <c r="BG358" s="317">
        <f t="shared" si="125"/>
        <v>7</v>
      </c>
      <c r="BH358" s="346">
        <v>3.0499999999999999E-2</v>
      </c>
      <c r="BI358" s="337">
        <f t="shared" si="126"/>
        <v>8773.9750000000004</v>
      </c>
      <c r="BK358" s="364"/>
      <c r="BO358" s="335">
        <f>BP357</f>
        <v>37812</v>
      </c>
      <c r="BP358" s="345">
        <v>37819</v>
      </c>
      <c r="BQ358" s="317">
        <f t="shared" si="106"/>
        <v>7</v>
      </c>
      <c r="BR358" s="347">
        <v>7.0000000000000001E-3</v>
      </c>
      <c r="BS358" s="337">
        <f t="shared" si="124"/>
        <v>2282.191781</v>
      </c>
      <c r="CH358" s="337"/>
      <c r="CL358" s="335">
        <f>CM357</f>
        <v>38771</v>
      </c>
      <c r="CM358" s="361">
        <v>38777</v>
      </c>
      <c r="CN358" s="317">
        <f t="shared" si="122"/>
        <v>6</v>
      </c>
      <c r="CO358" s="346">
        <v>3.1800000000000002E-2</v>
      </c>
      <c r="CP358" s="346"/>
      <c r="CQ358" s="346"/>
      <c r="CR358" s="346"/>
      <c r="CS358" s="346"/>
      <c r="CT358" s="346"/>
      <c r="CU358" s="346"/>
      <c r="CV358" s="337">
        <f>ROUND($CR$5*CO358*CN358/365,0)</f>
        <v>43563</v>
      </c>
      <c r="CW358" s="341">
        <f>SUM(CV354:CV358)</f>
        <v>199250.83000000002</v>
      </c>
    </row>
    <row r="359" spans="1:101" hidden="1" x14ac:dyDescent="0.25">
      <c r="A359" s="335">
        <f>B358</f>
        <v>36551</v>
      </c>
      <c r="B359" s="345">
        <v>36553</v>
      </c>
      <c r="C359" s="317">
        <f t="shared" si="127"/>
        <v>2</v>
      </c>
      <c r="E359" s="346">
        <v>3.6236999999999998E-2</v>
      </c>
      <c r="F359" s="339">
        <f>ROUND(((F358*SUM($C$10:C358))+(E359*C359))/SUM($C$10:C359),5)</f>
        <v>3.2390000000000002E-2</v>
      </c>
      <c r="G359" s="316">
        <v>121.4</v>
      </c>
      <c r="I359" s="335">
        <f>J358</f>
        <v>35556</v>
      </c>
      <c r="J359" s="345">
        <v>35558</v>
      </c>
      <c r="K359" s="317">
        <f t="shared" si="128"/>
        <v>2</v>
      </c>
      <c r="M359" s="346">
        <v>3.6470000000000002E-2</v>
      </c>
      <c r="N359" s="339">
        <f>ROUND(((N358*SUM($K$10:K358))+(M359*K359))/SUM($K$10:K359),5)</f>
        <v>3.184E-2</v>
      </c>
      <c r="O359" s="316">
        <v>90.8</v>
      </c>
      <c r="Q359" s="335">
        <f>R358</f>
        <v>36454</v>
      </c>
      <c r="R359" s="345">
        <v>36458</v>
      </c>
      <c r="S359" s="317">
        <f t="shared" si="129"/>
        <v>4</v>
      </c>
      <c r="U359" s="346">
        <v>3.6061999999999997E-2</v>
      </c>
      <c r="V359" s="339">
        <f>ROUND(((V358*SUM($S$10:S358))+(U359*S359))/SUM($S$10:S359),5)</f>
        <v>3.4029999999999998E-2</v>
      </c>
      <c r="W359" s="348">
        <v>102.5</v>
      </c>
      <c r="BB359" s="352"/>
      <c r="BE359" s="335">
        <f>BF358</f>
        <v>35871</v>
      </c>
      <c r="BF359" s="345">
        <v>35878</v>
      </c>
      <c r="BG359" s="317">
        <f t="shared" si="125"/>
        <v>7</v>
      </c>
      <c r="BH359" s="346">
        <v>3.4000000000000002E-2</v>
      </c>
      <c r="BI359" s="337">
        <f t="shared" si="126"/>
        <v>9780.82</v>
      </c>
      <c r="BK359" s="364"/>
      <c r="BO359" s="335">
        <f>BP358</f>
        <v>37819</v>
      </c>
      <c r="BP359" s="345">
        <v>37826</v>
      </c>
      <c r="BQ359" s="317">
        <f t="shared" si="106"/>
        <v>7</v>
      </c>
      <c r="BR359" s="347">
        <v>7.9000000000000008E-3</v>
      </c>
      <c r="BS359" s="337">
        <f t="shared" si="124"/>
        <v>2575.616438</v>
      </c>
      <c r="CH359" s="337"/>
      <c r="CL359" s="335">
        <f>CM358</f>
        <v>38777</v>
      </c>
      <c r="CM359" s="361">
        <v>38778</v>
      </c>
      <c r="CN359" s="317">
        <f t="shared" si="122"/>
        <v>1</v>
      </c>
      <c r="CO359" s="346">
        <v>3.1800000000000002E-2</v>
      </c>
      <c r="CP359" s="346"/>
      <c r="CQ359" s="346"/>
      <c r="CR359" s="346"/>
      <c r="CS359" s="346"/>
      <c r="CT359" s="346"/>
      <c r="CU359" s="346"/>
      <c r="CV359" s="337">
        <f>ROUND($CR$5*CO359*CN359/365,2)</f>
        <v>7260.42</v>
      </c>
    </row>
    <row r="360" spans="1:101" hidden="1" x14ac:dyDescent="0.25">
      <c r="A360" s="335">
        <f t="shared" si="133"/>
        <v>36553</v>
      </c>
      <c r="B360" s="345">
        <v>36566</v>
      </c>
      <c r="C360" s="317">
        <f t="shared" si="127"/>
        <v>13</v>
      </c>
      <c r="E360" s="346">
        <v>3.6464000000000003E-2</v>
      </c>
      <c r="F360" s="339">
        <f>ROUND(((F359*SUM($C$10:C359))+(E360*C360))/SUM($C$10:C360),5)</f>
        <v>3.2410000000000001E-2</v>
      </c>
      <c r="G360" s="348">
        <v>112</v>
      </c>
      <c r="I360" s="335">
        <f t="shared" si="134"/>
        <v>35558</v>
      </c>
      <c r="J360" s="345">
        <v>35559</v>
      </c>
      <c r="K360" s="317">
        <f t="shared" si="128"/>
        <v>1</v>
      </c>
      <c r="M360" s="346">
        <v>3.669E-2</v>
      </c>
      <c r="N360" s="339">
        <f>ROUND(((N359*SUM($K$10:K359))+(M360*K360))/SUM($K$10:K360),5)</f>
        <v>3.184E-2</v>
      </c>
      <c r="O360" s="316">
        <v>96.4</v>
      </c>
      <c r="Q360" s="335">
        <f t="shared" si="136"/>
        <v>36458</v>
      </c>
      <c r="R360" s="345">
        <v>36459</v>
      </c>
      <c r="S360" s="317">
        <f t="shared" si="129"/>
        <v>1</v>
      </c>
      <c r="U360" s="346">
        <v>3.6169E-2</v>
      </c>
      <c r="V360" s="339">
        <f>ROUND(((V359*SUM($S$10:S359))+(U360*S360))/SUM($S$10:S360),5)</f>
        <v>3.4029999999999998E-2</v>
      </c>
      <c r="W360" s="348">
        <v>107.4</v>
      </c>
      <c r="BB360" s="352"/>
      <c r="BE360" s="335">
        <f t="shared" si="131"/>
        <v>35878</v>
      </c>
      <c r="BF360" s="345">
        <v>35885</v>
      </c>
      <c r="BG360" s="317">
        <f t="shared" si="125"/>
        <v>7</v>
      </c>
      <c r="BH360" s="346">
        <v>3.6499999999999998E-2</v>
      </c>
      <c r="BI360" s="337">
        <f t="shared" si="126"/>
        <v>10500</v>
      </c>
      <c r="BK360" s="364"/>
      <c r="BO360" s="335">
        <f t="shared" si="132"/>
        <v>37826</v>
      </c>
      <c r="BP360" s="345">
        <v>37833</v>
      </c>
      <c r="BQ360" s="317">
        <f t="shared" si="106"/>
        <v>7</v>
      </c>
      <c r="BR360" s="347">
        <v>8.5000000000000006E-3</v>
      </c>
      <c r="BS360" s="337">
        <f t="shared" si="124"/>
        <v>2771.2328769999999</v>
      </c>
      <c r="CH360" s="337"/>
      <c r="CL360" s="335">
        <f t="shared" si="130"/>
        <v>38778</v>
      </c>
      <c r="CM360" s="361">
        <v>38785</v>
      </c>
      <c r="CN360" s="317">
        <f t="shared" si="122"/>
        <v>7</v>
      </c>
      <c r="CO360" s="346">
        <v>3.0200000000000001E-2</v>
      </c>
      <c r="CP360" s="346"/>
      <c r="CQ360" s="346"/>
      <c r="CR360" s="346"/>
      <c r="CS360" s="346"/>
      <c r="CT360" s="346"/>
      <c r="CU360" s="346"/>
      <c r="CV360" s="337">
        <f>ROUND($CR$5*CO360*CN360/365,1)</f>
        <v>48265.8</v>
      </c>
    </row>
    <row r="361" spans="1:101" hidden="1" x14ac:dyDescent="0.25">
      <c r="A361" s="335">
        <f t="shared" si="133"/>
        <v>36566</v>
      </c>
      <c r="B361" s="345">
        <v>36573</v>
      </c>
      <c r="C361" s="317">
        <f t="shared" si="127"/>
        <v>7</v>
      </c>
      <c r="E361" s="346">
        <v>3.6539000000000002E-2</v>
      </c>
      <c r="F361" s="339">
        <f>ROUND(((F360*SUM($C$10:C360))+(E361*C361))/SUM($C$10:C361),5)</f>
        <v>3.2419999999999997E-2</v>
      </c>
      <c r="G361" s="316">
        <v>104.6</v>
      </c>
      <c r="I361" s="335">
        <f t="shared" si="134"/>
        <v>35559</v>
      </c>
      <c r="J361" s="345">
        <v>35564</v>
      </c>
      <c r="K361" s="317">
        <f t="shared" si="128"/>
        <v>5</v>
      </c>
      <c r="M361" s="346">
        <v>3.687E-2</v>
      </c>
      <c r="N361" s="339">
        <f>ROUND(((N360*SUM($K$10:K360))+(M361*K361))/SUM($K$10:K361),5)</f>
        <v>3.1850000000000003E-2</v>
      </c>
      <c r="O361" s="316">
        <v>95.4</v>
      </c>
      <c r="Q361" s="335">
        <f t="shared" si="136"/>
        <v>36459</v>
      </c>
      <c r="R361" s="345">
        <v>36469</v>
      </c>
      <c r="S361" s="317">
        <f t="shared" si="129"/>
        <v>10</v>
      </c>
      <c r="U361" s="346">
        <v>3.6760000000000001E-2</v>
      </c>
      <c r="V361" s="339">
        <f>ROUND(((V360*SUM($S$10:S360))+(U361*S361))/SUM($S$10:S361),5)</f>
        <v>3.4040000000000001E-2</v>
      </c>
      <c r="W361" s="348">
        <v>113</v>
      </c>
      <c r="BB361" s="352"/>
      <c r="BE361" s="335">
        <f t="shared" si="131"/>
        <v>35885</v>
      </c>
      <c r="BF361" s="345">
        <v>35886</v>
      </c>
      <c r="BG361" s="317">
        <f t="shared" si="125"/>
        <v>1</v>
      </c>
      <c r="BH361" s="346">
        <v>3.5999999999999997E-2</v>
      </c>
      <c r="BI361" s="337">
        <f t="shared" si="126"/>
        <v>1479.45</v>
      </c>
      <c r="BJ361" s="341">
        <f>SUM(BI356:BI361)</f>
        <v>42328.764999999999</v>
      </c>
      <c r="BK361" s="364">
        <v>43321.69</v>
      </c>
      <c r="BL361" s="341">
        <f>BJ361-BK361</f>
        <v>-992.92500000000291</v>
      </c>
      <c r="BM361" s="341">
        <f>BM355+BL361</f>
        <v>18888.610000000037</v>
      </c>
      <c r="BO361" s="335">
        <f t="shared" si="132"/>
        <v>37833</v>
      </c>
      <c r="BP361" s="345">
        <v>37834</v>
      </c>
      <c r="BQ361" s="317">
        <f t="shared" si="106"/>
        <v>1</v>
      </c>
      <c r="BR361" s="347">
        <v>8.5000000000000006E-3</v>
      </c>
      <c r="BS361" s="337">
        <f t="shared" si="124"/>
        <v>395.89041099999997</v>
      </c>
      <c r="BT361" s="341">
        <f>SUM(BS356:BS361)</f>
        <v>11546.027397</v>
      </c>
      <c r="CH361" s="337"/>
      <c r="CL361" s="335">
        <f t="shared" si="130"/>
        <v>38785</v>
      </c>
      <c r="CM361" s="361">
        <v>38792</v>
      </c>
      <c r="CN361" s="317">
        <f t="shared" si="122"/>
        <v>7</v>
      </c>
      <c r="CO361" s="346">
        <v>3.0499999999999999E-2</v>
      </c>
      <c r="CP361" s="346"/>
      <c r="CQ361" s="346"/>
      <c r="CR361" s="346"/>
      <c r="CS361" s="346"/>
      <c r="CT361" s="346"/>
      <c r="CU361" s="346"/>
      <c r="CV361" s="337">
        <f>ROUND($CR$5*CO361*CN361/365,2)</f>
        <v>48745.27</v>
      </c>
    </row>
    <row r="362" spans="1:101" hidden="1" x14ac:dyDescent="0.25">
      <c r="A362" s="335">
        <f t="shared" si="133"/>
        <v>36573</v>
      </c>
      <c r="B362" s="345">
        <v>36594</v>
      </c>
      <c r="C362" s="317">
        <f t="shared" si="127"/>
        <v>21</v>
      </c>
      <c r="E362" s="346">
        <v>3.6734000000000003E-2</v>
      </c>
      <c r="F362" s="339">
        <f>ROUND(((F361*SUM($C$10:C361))+(E362*C362))/SUM($C$10:C362),5)</f>
        <v>3.245E-2</v>
      </c>
      <c r="G362" s="316">
        <v>107.6</v>
      </c>
      <c r="I362" s="335">
        <f t="shared" si="134"/>
        <v>35564</v>
      </c>
      <c r="J362" s="345">
        <v>35572</v>
      </c>
      <c r="K362" s="317">
        <f t="shared" si="128"/>
        <v>8</v>
      </c>
      <c r="M362" s="346">
        <v>3.7010000000000001E-2</v>
      </c>
      <c r="N362" s="339">
        <f>ROUND(((N361*SUM($K$10:K361))+(M362*K362))/SUM($K$10:K362),5)</f>
        <v>3.1870000000000002E-2</v>
      </c>
      <c r="O362" s="316">
        <v>103.1</v>
      </c>
      <c r="Q362" s="335">
        <f t="shared" si="136"/>
        <v>36469</v>
      </c>
      <c r="R362" s="345">
        <v>36472</v>
      </c>
      <c r="S362" s="317">
        <f t="shared" si="129"/>
        <v>3</v>
      </c>
      <c r="U362" s="346">
        <v>3.6764999999999999E-2</v>
      </c>
      <c r="V362" s="339">
        <f>ROUND(((V361*SUM($S$10:S361))+(U362*S362))/SUM($S$10:S362),5)</f>
        <v>3.4040000000000001E-2</v>
      </c>
      <c r="W362" s="348">
        <v>112.7</v>
      </c>
      <c r="BB362" s="352"/>
      <c r="BE362" s="335">
        <f t="shared" si="131"/>
        <v>35886</v>
      </c>
      <c r="BF362" s="345">
        <v>35892</v>
      </c>
      <c r="BG362" s="317">
        <f t="shared" si="125"/>
        <v>6</v>
      </c>
      <c r="BH362" s="346">
        <v>3.5999999999999997E-2</v>
      </c>
      <c r="BI362" s="337">
        <f t="shared" si="126"/>
        <v>8876.7099999999991</v>
      </c>
      <c r="BK362" s="364"/>
      <c r="BO362" s="335">
        <f t="shared" si="132"/>
        <v>37834</v>
      </c>
      <c r="BP362" s="345">
        <v>37840</v>
      </c>
      <c r="BQ362" s="317">
        <f t="shared" si="106"/>
        <v>6</v>
      </c>
      <c r="BR362" s="347">
        <v>8.5000000000000006E-3</v>
      </c>
      <c r="BS362" s="337">
        <f t="shared" si="124"/>
        <v>2375.3424660000001</v>
      </c>
      <c r="CH362" s="337"/>
      <c r="CL362" s="335">
        <f t="shared" si="130"/>
        <v>38792</v>
      </c>
      <c r="CM362" s="361">
        <v>38799</v>
      </c>
      <c r="CN362" s="317">
        <f t="shared" si="122"/>
        <v>7</v>
      </c>
      <c r="CO362" s="346">
        <v>3.1399999999999997E-2</v>
      </c>
      <c r="CP362" s="346"/>
      <c r="CQ362" s="346"/>
      <c r="CR362" s="346"/>
      <c r="CS362" s="346"/>
      <c r="CT362" s="346"/>
      <c r="CU362" s="346"/>
      <c r="CV362" s="337">
        <f>ROUND($CR$5*CO362*CN362/365,0)</f>
        <v>50184</v>
      </c>
    </row>
    <row r="363" spans="1:101" hidden="1" x14ac:dyDescent="0.25">
      <c r="A363" s="335">
        <f t="shared" si="133"/>
        <v>36594</v>
      </c>
      <c r="B363" s="345">
        <v>36598</v>
      </c>
      <c r="C363" s="317">
        <f t="shared" si="127"/>
        <v>4</v>
      </c>
      <c r="E363" s="346">
        <v>3.7404E-2</v>
      </c>
      <c r="F363" s="339">
        <f>ROUND(((F362*SUM($C$10:C362))+(E363*C363))/SUM($C$10:C363),5)</f>
        <v>3.2460000000000003E-2</v>
      </c>
      <c r="G363" s="316">
        <v>110.1</v>
      </c>
      <c r="I363" s="335">
        <f t="shared" si="134"/>
        <v>35572</v>
      </c>
      <c r="J363" s="345">
        <v>35583</v>
      </c>
      <c r="K363" s="317">
        <f t="shared" si="128"/>
        <v>11</v>
      </c>
      <c r="M363" s="346">
        <v>3.7170000000000002E-2</v>
      </c>
      <c r="N363" s="339">
        <f>ROUND(((N362*SUM($K$10:K362))+(M363*K363))/SUM($K$10:K363),5)</f>
        <v>3.1899999999999998E-2</v>
      </c>
      <c r="O363" s="316">
        <v>101.5</v>
      </c>
      <c r="Q363" s="335">
        <f t="shared" si="136"/>
        <v>36472</v>
      </c>
      <c r="R363" s="345">
        <v>36473</v>
      </c>
      <c r="S363" s="317">
        <f t="shared" si="129"/>
        <v>1</v>
      </c>
      <c r="U363" s="346">
        <v>3.6764999999999999E-2</v>
      </c>
      <c r="V363" s="339">
        <f>ROUND(((V362*SUM($S$10:S362))+(U363*S363))/SUM($S$10:S363),5)</f>
        <v>3.4040000000000001E-2</v>
      </c>
      <c r="W363" s="348">
        <v>112.6</v>
      </c>
      <c r="BB363" s="352"/>
      <c r="BE363" s="335">
        <f t="shared" si="131"/>
        <v>35892</v>
      </c>
      <c r="BF363" s="345">
        <v>35899</v>
      </c>
      <c r="BG363" s="317">
        <f t="shared" si="125"/>
        <v>7</v>
      </c>
      <c r="BH363" s="346">
        <v>3.7499999999999999E-2</v>
      </c>
      <c r="BI363" s="337">
        <f t="shared" si="126"/>
        <v>10787.67</v>
      </c>
      <c r="BK363" s="364"/>
      <c r="BO363" s="335">
        <f t="shared" si="132"/>
        <v>37840</v>
      </c>
      <c r="BP363" s="345">
        <v>37847</v>
      </c>
      <c r="BQ363" s="317">
        <f t="shared" si="106"/>
        <v>7</v>
      </c>
      <c r="BR363" s="347">
        <v>7.3000000000000001E-3</v>
      </c>
      <c r="BS363" s="337">
        <f t="shared" si="124"/>
        <v>2380</v>
      </c>
      <c r="CH363" s="337"/>
      <c r="CL363" s="335">
        <f t="shared" si="130"/>
        <v>38799</v>
      </c>
      <c r="CM363" s="361">
        <v>38806</v>
      </c>
      <c r="CN363" s="317">
        <f t="shared" si="122"/>
        <v>7</v>
      </c>
      <c r="CO363" s="346">
        <v>3.1600000000000003E-2</v>
      </c>
      <c r="CP363" s="346"/>
      <c r="CQ363" s="346"/>
      <c r="CR363" s="346"/>
      <c r="CS363" s="346"/>
      <c r="CT363" s="346"/>
      <c r="CU363" s="346"/>
      <c r="CV363" s="337">
        <f>ROUND($CR$5*CO363*CN363/365,2)</f>
        <v>50503.29</v>
      </c>
    </row>
    <row r="364" spans="1:101" hidden="1" x14ac:dyDescent="0.25">
      <c r="A364" s="335">
        <f t="shared" si="133"/>
        <v>36598</v>
      </c>
      <c r="B364" s="345">
        <v>36605</v>
      </c>
      <c r="C364" s="317">
        <f t="shared" si="127"/>
        <v>7</v>
      </c>
      <c r="E364" s="346">
        <v>3.746E-2</v>
      </c>
      <c r="F364" s="339">
        <f>ROUND(((F363*SUM($C$10:C363))+(E364*C364))/SUM($C$10:C364),5)</f>
        <v>3.2469999999999999E-2</v>
      </c>
      <c r="G364" s="316">
        <v>107.7</v>
      </c>
      <c r="I364" s="335">
        <f t="shared" si="134"/>
        <v>35583</v>
      </c>
      <c r="J364" s="345">
        <v>35587</v>
      </c>
      <c r="K364" s="317">
        <f t="shared" si="128"/>
        <v>4</v>
      </c>
      <c r="M364" s="346">
        <v>3.7179999999999998E-2</v>
      </c>
      <c r="N364" s="339">
        <f>ROUND(((N363*SUM($K$10:K363))+(M364*K364))/SUM($K$10:K364),5)</f>
        <v>3.1910000000000001E-2</v>
      </c>
      <c r="O364" s="316">
        <v>100.9</v>
      </c>
      <c r="Q364" s="335">
        <f t="shared" si="136"/>
        <v>36473</v>
      </c>
      <c r="R364" s="345">
        <v>36536</v>
      </c>
      <c r="S364" s="317">
        <f t="shared" si="129"/>
        <v>63</v>
      </c>
      <c r="U364" s="346">
        <v>3.6785999999999999E-2</v>
      </c>
      <c r="V364" s="339">
        <f>ROUND(((V363*SUM($S$10:S363))+(U364*S364))/SUM($S$10:S364),5)</f>
        <v>3.4110000000000001E-2</v>
      </c>
      <c r="W364" s="348">
        <v>114</v>
      </c>
      <c r="BB364" s="352"/>
      <c r="BE364" s="335">
        <f t="shared" si="131"/>
        <v>35899</v>
      </c>
      <c r="BF364" s="345">
        <v>35906</v>
      </c>
      <c r="BG364" s="317">
        <f t="shared" si="125"/>
        <v>7</v>
      </c>
      <c r="BH364" s="346">
        <v>3.9899999999999998E-2</v>
      </c>
      <c r="BI364" s="337">
        <f t="shared" si="126"/>
        <v>11478.08</v>
      </c>
      <c r="BK364" s="364"/>
      <c r="BO364" s="335">
        <f t="shared" si="132"/>
        <v>37847</v>
      </c>
      <c r="BP364" s="345">
        <v>37854</v>
      </c>
      <c r="BQ364" s="317">
        <f t="shared" si="106"/>
        <v>7</v>
      </c>
      <c r="BR364" s="347">
        <v>8.2000000000000007E-3</v>
      </c>
      <c r="BS364" s="337">
        <f t="shared" si="124"/>
        <v>2673.4246579999999</v>
      </c>
      <c r="CH364" s="337"/>
      <c r="CL364" s="335">
        <f t="shared" si="130"/>
        <v>38806</v>
      </c>
      <c r="CM364" s="361">
        <v>38808</v>
      </c>
      <c r="CN364" s="317">
        <f t="shared" si="122"/>
        <v>2</v>
      </c>
      <c r="CO364" s="346">
        <v>3.1699999999999999E-2</v>
      </c>
      <c r="CP364" s="346"/>
      <c r="CQ364" s="346"/>
      <c r="CR364" s="346"/>
      <c r="CS364" s="346"/>
      <c r="CT364" s="346"/>
      <c r="CU364" s="346"/>
      <c r="CV364" s="337">
        <f>ROUND($CR$5*CO364*CN364/365,2)</f>
        <v>14475.18</v>
      </c>
      <c r="CW364" s="341">
        <f>SUM(CV359:CV364)</f>
        <v>219433.96</v>
      </c>
    </row>
    <row r="365" spans="1:101" hidden="1" x14ac:dyDescent="0.25">
      <c r="A365" s="335">
        <f t="shared" si="133"/>
        <v>36605</v>
      </c>
      <c r="B365" s="345">
        <v>36612</v>
      </c>
      <c r="C365" s="317">
        <f t="shared" si="127"/>
        <v>7</v>
      </c>
      <c r="E365" s="346">
        <v>3.7457999999999998E-2</v>
      </c>
      <c r="F365" s="339">
        <f>ROUND(((F364*SUM($C$10:C364))+(E365*C365))/SUM($C$10:C365),5)</f>
        <v>3.2480000000000002E-2</v>
      </c>
      <c r="G365" s="316">
        <v>107.7</v>
      </c>
      <c r="I365" s="335">
        <f t="shared" si="134"/>
        <v>35587</v>
      </c>
      <c r="J365" s="345">
        <v>35590</v>
      </c>
      <c r="K365" s="317">
        <f t="shared" si="128"/>
        <v>3</v>
      </c>
      <c r="M365" s="346">
        <v>3.7190000000000001E-2</v>
      </c>
      <c r="N365" s="339">
        <f>ROUND(((N364*SUM($K$10:K364))+(M365*K365))/SUM($K$10:K365),5)</f>
        <v>3.1919999999999997E-2</v>
      </c>
      <c r="O365" s="316">
        <v>99.9</v>
      </c>
      <c r="Q365" s="335">
        <f t="shared" si="136"/>
        <v>36536</v>
      </c>
      <c r="R365" s="345">
        <v>36537</v>
      </c>
      <c r="S365" s="317">
        <f t="shared" si="129"/>
        <v>1</v>
      </c>
      <c r="U365" s="346">
        <v>3.6632999999999999E-2</v>
      </c>
      <c r="V365" s="339">
        <f>ROUND(((V364*SUM($S$10:S364))+(U365*S365))/SUM($S$10:S365),5)</f>
        <v>3.4110000000000001E-2</v>
      </c>
      <c r="W365" s="348">
        <v>114.5</v>
      </c>
      <c r="BB365" s="352"/>
      <c r="BE365" s="335">
        <f t="shared" si="131"/>
        <v>35906</v>
      </c>
      <c r="BF365" s="345">
        <v>35913</v>
      </c>
      <c r="BG365" s="317">
        <f t="shared" si="125"/>
        <v>7</v>
      </c>
      <c r="BH365" s="346">
        <v>4.3799999999999999E-2</v>
      </c>
      <c r="BI365" s="337">
        <f t="shared" si="126"/>
        <v>12600</v>
      </c>
      <c r="BK365" s="364"/>
      <c r="BO365" s="335">
        <f t="shared" si="132"/>
        <v>37854</v>
      </c>
      <c r="BP365" s="345">
        <v>37861</v>
      </c>
      <c r="BQ365" s="317">
        <f t="shared" si="106"/>
        <v>7</v>
      </c>
      <c r="BR365" s="347">
        <v>8.2000000000000007E-3</v>
      </c>
      <c r="BS365" s="337">
        <f t="shared" si="124"/>
        <v>2673.4246579999999</v>
      </c>
      <c r="CH365" s="337"/>
      <c r="CL365" s="335">
        <f t="shared" si="130"/>
        <v>38808</v>
      </c>
      <c r="CM365" s="361">
        <v>38813</v>
      </c>
      <c r="CN365" s="317">
        <f t="shared" si="122"/>
        <v>5</v>
      </c>
      <c r="CO365" s="346">
        <v>3.1699999999999999E-2</v>
      </c>
      <c r="CP365" s="346"/>
      <c r="CQ365" s="346"/>
      <c r="CR365" s="346"/>
      <c r="CS365" s="346"/>
      <c r="CT365" s="346"/>
      <c r="CU365" s="346"/>
      <c r="CV365" s="337">
        <f>ROUND($CR$5*CO365*CN365/365,2)</f>
        <v>36187.94</v>
      </c>
      <c r="CW365" s="341"/>
    </row>
    <row r="366" spans="1:101" hidden="1" x14ac:dyDescent="0.25">
      <c r="A366" s="335">
        <f t="shared" si="133"/>
        <v>36612</v>
      </c>
      <c r="B366" s="345">
        <v>36619</v>
      </c>
      <c r="C366" s="317">
        <f t="shared" si="127"/>
        <v>7</v>
      </c>
      <c r="E366" s="346">
        <v>3.7463999999999997E-2</v>
      </c>
      <c r="F366" s="339">
        <f>ROUND(((F365*SUM($C$10:C365))+(E366*C366))/SUM($C$10:C366),5)</f>
        <v>3.2489999999999998E-2</v>
      </c>
      <c r="G366" s="316">
        <v>107.7</v>
      </c>
      <c r="I366" s="335">
        <f t="shared" si="134"/>
        <v>35590</v>
      </c>
      <c r="J366" s="345">
        <v>35591</v>
      </c>
      <c r="K366" s="317">
        <f t="shared" si="128"/>
        <v>1</v>
      </c>
      <c r="M366" s="346">
        <v>3.7190000000000001E-2</v>
      </c>
      <c r="N366" s="339">
        <f>ROUND(((N365*SUM($K$10:K365))+(M366*K366))/SUM($K$10:K366),5)</f>
        <v>3.1919999999999997E-2</v>
      </c>
      <c r="O366" s="316">
        <v>99.9</v>
      </c>
      <c r="Q366" s="335">
        <f t="shared" si="136"/>
        <v>36537</v>
      </c>
      <c r="R366" s="345">
        <v>36543</v>
      </c>
      <c r="S366" s="317">
        <f t="shared" si="129"/>
        <v>6</v>
      </c>
      <c r="U366" s="346">
        <v>3.6138000000000003E-2</v>
      </c>
      <c r="V366" s="339">
        <f>ROUND(((V365*SUM($S$10:S365))+(U366*S366))/SUM($S$10:S366),5)</f>
        <v>3.4119999999999998E-2</v>
      </c>
      <c r="W366" s="348">
        <v>132.19999999999999</v>
      </c>
      <c r="BB366" s="352"/>
      <c r="BE366" s="335">
        <f t="shared" si="131"/>
        <v>35913</v>
      </c>
      <c r="BF366" s="345">
        <v>35916</v>
      </c>
      <c r="BG366" s="317">
        <f t="shared" si="125"/>
        <v>3</v>
      </c>
      <c r="BH366" s="346">
        <v>4.1700000000000001E-2</v>
      </c>
      <c r="BI366" s="337">
        <f t="shared" si="126"/>
        <v>5141.0950000000003</v>
      </c>
      <c r="BJ366" s="341">
        <f>SUM(BI362:BI366)</f>
        <v>48883.555</v>
      </c>
      <c r="BK366" s="364">
        <v>42991.6</v>
      </c>
      <c r="BL366" s="341">
        <f>BJ366-BK366</f>
        <v>5891.9550000000017</v>
      </c>
      <c r="BM366" s="341">
        <f>BM361+BL366</f>
        <v>24780.565000000039</v>
      </c>
      <c r="BO366" s="335">
        <f t="shared" si="132"/>
        <v>37861</v>
      </c>
      <c r="BP366" s="345">
        <v>37865</v>
      </c>
      <c r="BQ366" s="317">
        <f t="shared" si="106"/>
        <v>4</v>
      </c>
      <c r="BR366" s="347">
        <v>8.3000000000000001E-3</v>
      </c>
      <c r="BS366" s="337">
        <f t="shared" si="124"/>
        <v>1546.3013699999999</v>
      </c>
      <c r="BT366" s="341">
        <f>SUM(BS362:BS366)</f>
        <v>11648.493151999999</v>
      </c>
      <c r="CH366" s="337"/>
      <c r="CL366" s="335">
        <f t="shared" si="130"/>
        <v>38813</v>
      </c>
      <c r="CM366" s="361">
        <v>38820</v>
      </c>
      <c r="CN366" s="317">
        <f t="shared" si="122"/>
        <v>7</v>
      </c>
      <c r="CO366" s="346">
        <v>3.0599999999999999E-2</v>
      </c>
      <c r="CP366" s="346"/>
      <c r="CQ366" s="346"/>
      <c r="CR366" s="346"/>
      <c r="CS366" s="346"/>
      <c r="CT366" s="346"/>
      <c r="CU366" s="346"/>
      <c r="CV366" s="337">
        <f>ROUND($CR$5*CO366*CN366/365,2)</f>
        <v>48905.09</v>
      </c>
    </row>
    <row r="367" spans="1:101" hidden="1" x14ac:dyDescent="0.25">
      <c r="A367" s="335">
        <f t="shared" si="133"/>
        <v>36619</v>
      </c>
      <c r="B367" s="345">
        <v>36622</v>
      </c>
      <c r="C367" s="317">
        <f t="shared" si="127"/>
        <v>3</v>
      </c>
      <c r="E367" s="346">
        <v>3.7497999999999997E-2</v>
      </c>
      <c r="F367" s="339">
        <f>ROUND(((F366*SUM($C$10:C366))+(E367*C367))/SUM($C$10:C367),5)</f>
        <v>3.2500000000000001E-2</v>
      </c>
      <c r="G367" s="316">
        <v>109.1</v>
      </c>
      <c r="I367" s="335">
        <f t="shared" si="134"/>
        <v>35591</v>
      </c>
      <c r="J367" s="345">
        <v>35592</v>
      </c>
      <c r="K367" s="317">
        <f t="shared" si="128"/>
        <v>1</v>
      </c>
      <c r="M367" s="346">
        <v>3.7190000000000001E-2</v>
      </c>
      <c r="N367" s="339">
        <f>ROUND(((N366*SUM($K$10:K366))+(M367*K367))/SUM($K$10:K367),5)</f>
        <v>3.1919999999999997E-2</v>
      </c>
      <c r="O367" s="316">
        <v>99.9</v>
      </c>
      <c r="Q367" s="335">
        <f t="shared" si="136"/>
        <v>36543</v>
      </c>
      <c r="R367" s="345">
        <v>36544</v>
      </c>
      <c r="S367" s="317">
        <f t="shared" si="129"/>
        <v>1</v>
      </c>
      <c r="U367" s="346">
        <v>3.6262999999999997E-2</v>
      </c>
      <c r="V367" s="339">
        <f>ROUND(((V366*SUM($S$10:S366))+(U367*S367))/SUM($S$10:S367),5)</f>
        <v>3.4119999999999998E-2</v>
      </c>
      <c r="W367" s="348">
        <v>123.7</v>
      </c>
      <c r="BB367" s="352"/>
      <c r="BE367" s="335">
        <f t="shared" si="131"/>
        <v>35916</v>
      </c>
      <c r="BF367" s="345">
        <v>35920</v>
      </c>
      <c r="BG367" s="317">
        <f t="shared" si="125"/>
        <v>4</v>
      </c>
      <c r="BH367" s="346">
        <v>4.1700000000000001E-2</v>
      </c>
      <c r="BI367" s="337">
        <f t="shared" si="126"/>
        <v>6854.7950000000001</v>
      </c>
      <c r="BK367" s="364"/>
      <c r="BO367" s="335">
        <f t="shared" si="132"/>
        <v>37865</v>
      </c>
      <c r="BP367" s="345">
        <v>37868</v>
      </c>
      <c r="BQ367" s="317">
        <f t="shared" ref="BQ367:BQ436" si="137">BP367-BO367</f>
        <v>3</v>
      </c>
      <c r="BR367" s="346">
        <v>8.3000000000000001E-3</v>
      </c>
      <c r="BS367" s="337">
        <f t="shared" si="124"/>
        <v>1159.7260269999999</v>
      </c>
      <c r="CH367" s="337"/>
      <c r="CL367" s="335">
        <f t="shared" si="130"/>
        <v>38820</v>
      </c>
      <c r="CM367" s="361">
        <v>38827</v>
      </c>
      <c r="CN367" s="317">
        <f t="shared" si="122"/>
        <v>7</v>
      </c>
      <c r="CO367" s="346">
        <v>3.44E-2</v>
      </c>
      <c r="CP367" s="346"/>
      <c r="CQ367" s="346"/>
      <c r="CR367" s="346"/>
      <c r="CS367" s="346"/>
      <c r="CT367" s="346"/>
      <c r="CU367" s="346"/>
      <c r="CV367" s="337">
        <f>ROUND($CR$5*CO367*CN367/365,0)</f>
        <v>54978</v>
      </c>
    </row>
    <row r="368" spans="1:101" hidden="1" x14ac:dyDescent="0.25">
      <c r="A368" s="335">
        <f t="shared" si="133"/>
        <v>36622</v>
      </c>
      <c r="B368" s="345">
        <v>36627</v>
      </c>
      <c r="C368" s="317">
        <f t="shared" si="127"/>
        <v>5</v>
      </c>
      <c r="E368" s="346">
        <v>3.7572000000000001E-2</v>
      </c>
      <c r="F368" s="339">
        <f>ROUND(((F367*SUM($C$10:C367))+(E368*C368))/SUM($C$10:C368),5)</f>
        <v>3.2509999999999997E-2</v>
      </c>
      <c r="G368" s="316">
        <v>106.1</v>
      </c>
      <c r="I368" s="335">
        <f t="shared" si="134"/>
        <v>35592</v>
      </c>
      <c r="J368" s="345">
        <v>35599</v>
      </c>
      <c r="K368" s="317">
        <f t="shared" si="128"/>
        <v>7</v>
      </c>
      <c r="M368" s="346">
        <v>3.7199999999999997E-2</v>
      </c>
      <c r="N368" s="339">
        <f>ROUND(((N367*SUM($K$10:K367))+(M368*K368))/SUM($K$10:K368),5)</f>
        <v>3.1940000000000003E-2</v>
      </c>
      <c r="O368" s="316">
        <v>100.1</v>
      </c>
      <c r="Q368" s="335">
        <f t="shared" si="136"/>
        <v>36544</v>
      </c>
      <c r="R368" s="345">
        <v>36546</v>
      </c>
      <c r="S368" s="317">
        <f t="shared" si="129"/>
        <v>2</v>
      </c>
      <c r="U368" s="346">
        <v>3.6249999999999998E-2</v>
      </c>
      <c r="V368" s="339">
        <f>ROUND(((V367*SUM($S$10:S367))+(U368*S368))/SUM($S$10:S368),5)</f>
        <v>3.4119999999999998E-2</v>
      </c>
      <c r="W368" s="348">
        <v>126.1</v>
      </c>
      <c r="BB368" s="352"/>
      <c r="BE368" s="335">
        <f t="shared" si="131"/>
        <v>35920</v>
      </c>
      <c r="BF368" s="345">
        <v>35927</v>
      </c>
      <c r="BG368" s="317">
        <f t="shared" si="125"/>
        <v>7</v>
      </c>
      <c r="BH368" s="346">
        <v>3.7600000000000001E-2</v>
      </c>
      <c r="BI368" s="337">
        <f t="shared" si="126"/>
        <v>10816.44</v>
      </c>
      <c r="BK368" s="364"/>
      <c r="BO368" s="335">
        <f t="shared" si="132"/>
        <v>37868</v>
      </c>
      <c r="BP368" s="345">
        <v>37875</v>
      </c>
      <c r="BQ368" s="317">
        <f t="shared" si="137"/>
        <v>7</v>
      </c>
      <c r="BR368" s="346">
        <v>8.3000000000000001E-3</v>
      </c>
      <c r="BS368" s="337">
        <f t="shared" si="124"/>
        <v>2706.0273969999998</v>
      </c>
      <c r="CH368" s="337"/>
      <c r="CL368" s="335">
        <f t="shared" si="130"/>
        <v>38827</v>
      </c>
      <c r="CM368" s="361">
        <v>38834</v>
      </c>
      <c r="CN368" s="317">
        <f t="shared" si="122"/>
        <v>7</v>
      </c>
      <c r="CO368" s="346">
        <v>3.6999999999999998E-2</v>
      </c>
      <c r="CP368" s="346"/>
      <c r="CQ368" s="346"/>
      <c r="CR368" s="346"/>
      <c r="CS368" s="346"/>
      <c r="CT368" s="346"/>
      <c r="CU368" s="346"/>
      <c r="CV368" s="337">
        <f>ROUND($CR$5*CO368*CN368/365,1)</f>
        <v>59133.599999999999</v>
      </c>
    </row>
    <row r="369" spans="1:101" hidden="1" x14ac:dyDescent="0.25">
      <c r="A369" s="335">
        <f t="shared" si="133"/>
        <v>36627</v>
      </c>
      <c r="B369" s="345">
        <v>36633</v>
      </c>
      <c r="C369" s="317">
        <f t="shared" si="127"/>
        <v>6</v>
      </c>
      <c r="E369" s="346">
        <v>3.7546999999999997E-2</v>
      </c>
      <c r="F369" s="339">
        <f>ROUND(((F368*SUM($C$10:C368))+(E369*C369))/SUM($C$10:C369),5)</f>
        <v>3.252E-2</v>
      </c>
      <c r="G369" s="348">
        <v>98.58</v>
      </c>
      <c r="I369" s="335">
        <f t="shared" si="134"/>
        <v>35599</v>
      </c>
      <c r="J369" s="345">
        <v>35600</v>
      </c>
      <c r="K369" s="317">
        <f t="shared" si="128"/>
        <v>1</v>
      </c>
      <c r="M369" s="346">
        <v>3.7150000000000002E-2</v>
      </c>
      <c r="N369" s="339">
        <f>ROUND(((N368*SUM($K$10:K368))+(M369*K369))/SUM($K$10:K369),5)</f>
        <v>3.1940000000000003E-2</v>
      </c>
      <c r="O369" s="316">
        <v>95.8</v>
      </c>
      <c r="Q369" s="335">
        <f t="shared" si="136"/>
        <v>36546</v>
      </c>
      <c r="R369" s="345">
        <v>36550</v>
      </c>
      <c r="S369" s="317">
        <f t="shared" si="129"/>
        <v>4</v>
      </c>
      <c r="U369" s="346">
        <v>3.6132999999999998E-2</v>
      </c>
      <c r="V369" s="339">
        <f>ROUND(((V368*SUM($S$10:S368))+(U369*S369))/SUM($S$10:S369),5)</f>
        <v>3.4119999999999998E-2</v>
      </c>
      <c r="W369" s="348">
        <v>122.5</v>
      </c>
      <c r="BB369" s="352"/>
      <c r="BE369" s="335">
        <f t="shared" si="131"/>
        <v>35927</v>
      </c>
      <c r="BF369" s="345">
        <v>35934</v>
      </c>
      <c r="BG369" s="317">
        <f t="shared" si="125"/>
        <v>7</v>
      </c>
      <c r="BH369" s="346">
        <v>3.95E-2</v>
      </c>
      <c r="BI369" s="337">
        <f t="shared" si="126"/>
        <v>11363.014999999999</v>
      </c>
      <c r="BK369" s="364"/>
      <c r="BO369" s="335">
        <f t="shared" si="132"/>
        <v>37875</v>
      </c>
      <c r="BP369" s="345">
        <v>37882</v>
      </c>
      <c r="BQ369" s="317">
        <f t="shared" si="137"/>
        <v>7</v>
      </c>
      <c r="BR369" s="346">
        <v>8.8999999999999999E-3</v>
      </c>
      <c r="BS369" s="337">
        <f t="shared" si="124"/>
        <v>2901.6438360000002</v>
      </c>
      <c r="CH369" s="337"/>
      <c r="CL369" s="335">
        <f t="shared" si="130"/>
        <v>38834</v>
      </c>
      <c r="CM369" s="361">
        <v>38838</v>
      </c>
      <c r="CN369" s="317">
        <f t="shared" ref="CN369:CN432" si="138">CM369-CL369</f>
        <v>4</v>
      </c>
      <c r="CO369" s="346">
        <v>3.7999999999999999E-2</v>
      </c>
      <c r="CP369" s="346"/>
      <c r="CQ369" s="346"/>
      <c r="CR369" s="346"/>
      <c r="CS369" s="346"/>
      <c r="CT369" s="346"/>
      <c r="CU369" s="346"/>
      <c r="CV369" s="337">
        <f>ROUND($CR$5*CO369*CN369/365,0)</f>
        <v>34704</v>
      </c>
      <c r="CW369" s="341">
        <f>SUM(CV365:CV369)</f>
        <v>233908.63</v>
      </c>
    </row>
    <row r="370" spans="1:101" hidden="1" x14ac:dyDescent="0.25">
      <c r="A370" s="335">
        <f t="shared" si="133"/>
        <v>36633</v>
      </c>
      <c r="B370" s="345">
        <v>36640</v>
      </c>
      <c r="C370" s="317">
        <f t="shared" si="127"/>
        <v>7</v>
      </c>
      <c r="E370" s="346">
        <v>3.7561999999999998E-2</v>
      </c>
      <c r="F370" s="339">
        <f>ROUND(((F369*SUM($C$10:C369))+(E370*C370))/SUM($C$10:C370),5)</f>
        <v>3.2530000000000003E-2</v>
      </c>
      <c r="G370" s="348">
        <v>98.65</v>
      </c>
      <c r="I370" s="335">
        <f t="shared" si="134"/>
        <v>35600</v>
      </c>
      <c r="J370" s="345">
        <v>35606</v>
      </c>
      <c r="K370" s="317">
        <f t="shared" si="128"/>
        <v>6</v>
      </c>
      <c r="M370" s="346">
        <v>3.7139999999999999E-2</v>
      </c>
      <c r="N370" s="339">
        <f>ROUND(((N369*SUM($K$10:K369))+(M370*K370))/SUM($K$10:K370),5)</f>
        <v>3.1960000000000002E-2</v>
      </c>
      <c r="O370" s="316">
        <v>100.5</v>
      </c>
      <c r="Q370" s="335">
        <f t="shared" si="136"/>
        <v>36550</v>
      </c>
      <c r="R370" s="345">
        <v>36553</v>
      </c>
      <c r="S370" s="317">
        <f t="shared" si="129"/>
        <v>3</v>
      </c>
      <c r="U370" s="346">
        <v>3.6131999999999997E-2</v>
      </c>
      <c r="V370" s="339">
        <f>ROUND(((V369*SUM($S$10:S369))+(U370*S370))/SUM($S$10:S370),5)</f>
        <v>3.4119999999999998E-2</v>
      </c>
      <c r="W370" s="348">
        <v>108.5</v>
      </c>
      <c r="BB370" s="352"/>
      <c r="BE370" s="335">
        <f t="shared" si="131"/>
        <v>35934</v>
      </c>
      <c r="BF370" s="345">
        <v>35941</v>
      </c>
      <c r="BG370" s="317">
        <f t="shared" si="125"/>
        <v>7</v>
      </c>
      <c r="BH370" s="346">
        <v>3.8600000000000002E-2</v>
      </c>
      <c r="BI370" s="337">
        <f t="shared" si="126"/>
        <v>11104.11</v>
      </c>
      <c r="BK370" s="364"/>
      <c r="BO370" s="335">
        <f t="shared" si="132"/>
        <v>37882</v>
      </c>
      <c r="BP370" s="345">
        <v>37889</v>
      </c>
      <c r="BQ370" s="317">
        <f t="shared" si="137"/>
        <v>7</v>
      </c>
      <c r="BR370" s="346">
        <v>9.9000000000000008E-3</v>
      </c>
      <c r="BS370" s="337">
        <f t="shared" si="124"/>
        <v>3227.671233</v>
      </c>
      <c r="CH370" s="337"/>
      <c r="CL370" s="335">
        <f t="shared" si="130"/>
        <v>38838</v>
      </c>
      <c r="CM370" s="361">
        <v>38841</v>
      </c>
      <c r="CN370" s="317">
        <f t="shared" si="138"/>
        <v>3</v>
      </c>
      <c r="CO370" s="346">
        <v>3.7999999999999999E-2</v>
      </c>
      <c r="CP370" s="346"/>
      <c r="CQ370" s="346"/>
      <c r="CR370" s="346"/>
      <c r="CS370" s="346"/>
      <c r="CT370" s="346"/>
      <c r="CU370" s="346"/>
      <c r="CV370" s="337">
        <f>ROUND($CR$5*CO370*CN370/365,2)</f>
        <v>26027.919999999998</v>
      </c>
    </row>
    <row r="371" spans="1:101" hidden="1" x14ac:dyDescent="0.25">
      <c r="A371" s="335">
        <f t="shared" si="133"/>
        <v>36640</v>
      </c>
      <c r="B371" s="345">
        <v>36647</v>
      </c>
      <c r="C371" s="317">
        <f t="shared" si="127"/>
        <v>7</v>
      </c>
      <c r="E371" s="346">
        <v>3.7589999999999998E-2</v>
      </c>
      <c r="F371" s="339">
        <f>ROUND(((F370*SUM($C$10:C370))+(E371*C371))/SUM($C$10:C371),5)</f>
        <v>3.2539999999999999E-2</v>
      </c>
      <c r="G371" s="348">
        <v>98.65</v>
      </c>
      <c r="I371" s="335">
        <f t="shared" si="134"/>
        <v>35606</v>
      </c>
      <c r="J371" s="345">
        <v>35612</v>
      </c>
      <c r="K371" s="317">
        <f t="shared" si="128"/>
        <v>6</v>
      </c>
      <c r="M371" s="346">
        <v>3.7130000000000003E-2</v>
      </c>
      <c r="N371" s="339">
        <f>ROUND(((N370*SUM($K$10:K370))+(M371*K371))/SUM($K$10:K371),5)</f>
        <v>3.1980000000000001E-2</v>
      </c>
      <c r="O371" s="316">
        <v>100.8</v>
      </c>
      <c r="Q371" s="335">
        <f t="shared" si="136"/>
        <v>36553</v>
      </c>
      <c r="R371" s="345">
        <v>36557</v>
      </c>
      <c r="S371" s="317">
        <f t="shared" si="129"/>
        <v>4</v>
      </c>
      <c r="U371" s="346">
        <v>3.6121E-2</v>
      </c>
      <c r="V371" s="339">
        <f>ROUND(((V370*SUM($S$10:S370))+(U371*S371))/SUM($S$10:S371),5)</f>
        <v>3.4119999999999998E-2</v>
      </c>
      <c r="W371" s="348">
        <v>105.4</v>
      </c>
      <c r="BB371" s="352"/>
      <c r="BE371" s="335">
        <f t="shared" si="131"/>
        <v>35941</v>
      </c>
      <c r="BF371" s="345">
        <v>35947</v>
      </c>
      <c r="BG371" s="317">
        <f t="shared" si="125"/>
        <v>6</v>
      </c>
      <c r="BH371" s="346">
        <v>3.9E-2</v>
      </c>
      <c r="BI371" s="337">
        <f t="shared" si="126"/>
        <v>9616.44</v>
      </c>
      <c r="BJ371" s="341">
        <f>SUM(BI367:BI371)</f>
        <v>49754.8</v>
      </c>
      <c r="BK371" s="364">
        <v>45186.92</v>
      </c>
      <c r="BL371" s="341">
        <f>BJ371-BK371</f>
        <v>4567.8800000000047</v>
      </c>
      <c r="BM371" s="341">
        <f>BM366+BL371</f>
        <v>29348.445000000043</v>
      </c>
      <c r="BO371" s="335">
        <f t="shared" si="132"/>
        <v>37889</v>
      </c>
      <c r="BP371" s="345">
        <v>37895</v>
      </c>
      <c r="BQ371" s="317">
        <f t="shared" si="137"/>
        <v>6</v>
      </c>
      <c r="BR371" s="346">
        <v>1.0800000000000001E-2</v>
      </c>
      <c r="BS371" s="337">
        <f t="shared" si="124"/>
        <v>3018.0821919999998</v>
      </c>
      <c r="BT371" s="341">
        <f>SUM(BS367:BS371)</f>
        <v>13013.150684999999</v>
      </c>
      <c r="CH371" s="337"/>
      <c r="CL371" s="335">
        <f t="shared" si="130"/>
        <v>38841</v>
      </c>
      <c r="CM371" s="361">
        <v>38848</v>
      </c>
      <c r="CN371" s="317">
        <f t="shared" si="138"/>
        <v>7</v>
      </c>
      <c r="CO371" s="346">
        <v>3.5900000000000001E-2</v>
      </c>
      <c r="CP371" s="346"/>
      <c r="CQ371" s="346"/>
      <c r="CR371" s="346"/>
      <c r="CS371" s="346"/>
      <c r="CT371" s="346"/>
      <c r="CU371" s="346"/>
      <c r="CV371" s="337">
        <f>ROUND($CR$5*CO371*CN371/365,1)</f>
        <v>57375.6</v>
      </c>
    </row>
    <row r="372" spans="1:101" hidden="1" x14ac:dyDescent="0.25">
      <c r="A372" s="335">
        <f t="shared" si="133"/>
        <v>36647</v>
      </c>
      <c r="B372" s="345">
        <v>36648</v>
      </c>
      <c r="C372" s="317">
        <f t="shared" si="127"/>
        <v>1</v>
      </c>
      <c r="E372" s="346">
        <v>3.8181E-2</v>
      </c>
      <c r="F372" s="339">
        <f>ROUND(((F371*SUM($C$10:C371))+(E372*C372))/SUM($C$10:C372),5)</f>
        <v>3.2539999999999999E-2</v>
      </c>
      <c r="G372" s="348">
        <v>113.8</v>
      </c>
      <c r="I372" s="335">
        <f t="shared" si="134"/>
        <v>35612</v>
      </c>
      <c r="J372" s="345">
        <v>35620</v>
      </c>
      <c r="K372" s="317">
        <f t="shared" si="128"/>
        <v>8</v>
      </c>
      <c r="M372" s="346">
        <v>3.7159999999999999E-2</v>
      </c>
      <c r="N372" s="339">
        <f>ROUND(((N371*SUM($K$10:K371))+(M372*K372))/SUM($K$10:K372),5)</f>
        <v>3.2000000000000001E-2</v>
      </c>
      <c r="O372" s="316">
        <v>106.3</v>
      </c>
      <c r="Q372" s="335">
        <f t="shared" si="136"/>
        <v>36557</v>
      </c>
      <c r="R372" s="345">
        <v>36558</v>
      </c>
      <c r="S372" s="317">
        <f t="shared" si="129"/>
        <v>1</v>
      </c>
      <c r="U372" s="346">
        <v>3.6024E-2</v>
      </c>
      <c r="V372" s="339">
        <f>ROUND(((V371*SUM($S$10:S371))+(U372*S372))/SUM($S$10:S372),5)</f>
        <v>3.4119999999999998E-2</v>
      </c>
      <c r="W372" s="348">
        <v>102.3</v>
      </c>
      <c r="BB372" s="352"/>
      <c r="BE372" s="335">
        <f t="shared" si="131"/>
        <v>35947</v>
      </c>
      <c r="BF372" s="345">
        <v>35948</v>
      </c>
      <c r="BG372" s="317">
        <f t="shared" si="125"/>
        <v>1</v>
      </c>
      <c r="BH372" s="346">
        <v>3.9E-2</v>
      </c>
      <c r="BI372" s="337">
        <f t="shared" si="126"/>
        <v>1602.74</v>
      </c>
      <c r="BK372" s="364"/>
      <c r="BO372" s="335">
        <f t="shared" si="132"/>
        <v>37895</v>
      </c>
      <c r="BP372" s="345">
        <v>37896</v>
      </c>
      <c r="BQ372" s="317">
        <f t="shared" si="137"/>
        <v>1</v>
      </c>
      <c r="BR372" s="347">
        <v>1.0800000000000001E-2</v>
      </c>
      <c r="BS372" s="337">
        <f t="shared" si="124"/>
        <v>503.01369899999997</v>
      </c>
      <c r="CH372" s="337"/>
      <c r="CL372" s="335">
        <f t="shared" si="130"/>
        <v>38848</v>
      </c>
      <c r="CM372" s="361">
        <v>38855</v>
      </c>
      <c r="CN372" s="317">
        <f t="shared" si="138"/>
        <v>7</v>
      </c>
      <c r="CO372" s="346">
        <v>3.56E-2</v>
      </c>
      <c r="CP372" s="346"/>
      <c r="CQ372" s="346"/>
      <c r="CR372" s="346"/>
      <c r="CS372" s="346"/>
      <c r="CT372" s="346"/>
      <c r="CU372" s="346"/>
      <c r="CV372" s="337">
        <f>ROUND($CR$5*CO372*CN372/365,1)</f>
        <v>56896.1</v>
      </c>
    </row>
    <row r="373" spans="1:101" hidden="1" x14ac:dyDescent="0.25">
      <c r="A373" s="335">
        <f t="shared" si="133"/>
        <v>36648</v>
      </c>
      <c r="B373" s="345">
        <v>36664</v>
      </c>
      <c r="C373" s="317">
        <f t="shared" si="127"/>
        <v>16</v>
      </c>
      <c r="E373" s="346">
        <v>3.8677999999999997E-2</v>
      </c>
      <c r="F373" s="339">
        <f>ROUND(((F372*SUM($C$10:C372))+(E373*C373))/SUM($C$10:C373),5)</f>
        <v>3.2579999999999998E-2</v>
      </c>
      <c r="G373" s="348">
        <v>124.2</v>
      </c>
      <c r="I373" s="335">
        <f t="shared" si="134"/>
        <v>35620</v>
      </c>
      <c r="J373" s="345">
        <v>35621</v>
      </c>
      <c r="K373" s="317">
        <f t="shared" si="128"/>
        <v>1</v>
      </c>
      <c r="M373" s="346">
        <v>3.7109999999999997E-2</v>
      </c>
      <c r="N373" s="339">
        <f>ROUND(((N372*SUM($K$10:K372))+(M373*K373))/SUM($K$10:K373),5)</f>
        <v>3.2000000000000001E-2</v>
      </c>
      <c r="O373" s="316">
        <v>105.2</v>
      </c>
      <c r="Q373" s="335">
        <f t="shared" si="136"/>
        <v>36558</v>
      </c>
      <c r="R373" s="345">
        <v>36564</v>
      </c>
      <c r="S373" s="317">
        <f t="shared" si="129"/>
        <v>6</v>
      </c>
      <c r="U373" s="346">
        <v>3.5911999999999999E-2</v>
      </c>
      <c r="V373" s="339">
        <f>ROUND(((V372*SUM($S$10:S372))+(U373*S373))/SUM($S$10:S373),5)</f>
        <v>3.4119999999999998E-2</v>
      </c>
      <c r="W373" s="348">
        <v>100.9</v>
      </c>
      <c r="BB373" s="352"/>
      <c r="BE373" s="335">
        <f t="shared" si="131"/>
        <v>35948</v>
      </c>
      <c r="BF373" s="345">
        <v>35955</v>
      </c>
      <c r="BG373" s="317">
        <f t="shared" si="125"/>
        <v>7</v>
      </c>
      <c r="BH373" s="346">
        <v>3.5499999999999997E-2</v>
      </c>
      <c r="BI373" s="337">
        <f t="shared" si="126"/>
        <v>10212.33</v>
      </c>
      <c r="BK373" s="364"/>
      <c r="BO373" s="335">
        <f t="shared" si="132"/>
        <v>37896</v>
      </c>
      <c r="BP373" s="345">
        <v>37903</v>
      </c>
      <c r="BQ373" s="317">
        <f t="shared" si="137"/>
        <v>7</v>
      </c>
      <c r="BR373" s="347">
        <v>1.04E-2</v>
      </c>
      <c r="BS373" s="337">
        <f t="shared" si="124"/>
        <v>3390.6849320000001</v>
      </c>
      <c r="CH373" s="337"/>
      <c r="CL373" s="335">
        <f t="shared" si="130"/>
        <v>38855</v>
      </c>
      <c r="CM373" s="361">
        <v>38862</v>
      </c>
      <c r="CN373" s="317">
        <f t="shared" si="138"/>
        <v>7</v>
      </c>
      <c r="CO373" s="346">
        <v>3.44E-2</v>
      </c>
      <c r="CP373" s="346"/>
      <c r="CQ373" s="346"/>
      <c r="CR373" s="346"/>
      <c r="CS373" s="346"/>
      <c r="CT373" s="346"/>
      <c r="CU373" s="346"/>
      <c r="CV373" s="337">
        <f>ROUND($CR$5*CO373*CN373/365,1)</f>
        <v>54978.3</v>
      </c>
    </row>
    <row r="374" spans="1:101" hidden="1" x14ac:dyDescent="0.25">
      <c r="A374" s="335">
        <f t="shared" si="133"/>
        <v>36664</v>
      </c>
      <c r="B374" s="345">
        <v>36671</v>
      </c>
      <c r="C374" s="317">
        <f t="shared" si="127"/>
        <v>7</v>
      </c>
      <c r="E374" s="346">
        <v>3.9923E-2</v>
      </c>
      <c r="F374" s="339">
        <f>ROUND(((F373*SUM($C$10:C373))+(E374*C374))/SUM($C$10:C374),5)</f>
        <v>3.2599999999999997E-2</v>
      </c>
      <c r="G374" s="348">
        <v>127.8</v>
      </c>
      <c r="I374" s="335">
        <f t="shared" si="134"/>
        <v>35621</v>
      </c>
      <c r="J374" s="345">
        <v>35640</v>
      </c>
      <c r="K374" s="317">
        <f t="shared" si="128"/>
        <v>19</v>
      </c>
      <c r="M374" s="346">
        <v>3.7289999999999997E-2</v>
      </c>
      <c r="N374" s="339">
        <f>ROUND(((N373*SUM($K$10:K373))+(M374*K374))/SUM($K$10:K374),5)</f>
        <v>3.2059999999999998E-2</v>
      </c>
      <c r="O374" s="316">
        <v>109.7</v>
      </c>
      <c r="Q374" s="335">
        <f t="shared" si="136"/>
        <v>36564</v>
      </c>
      <c r="R374" s="345">
        <v>36567</v>
      </c>
      <c r="S374" s="317">
        <f t="shared" si="129"/>
        <v>3</v>
      </c>
      <c r="U374" s="346">
        <v>3.5871E-2</v>
      </c>
      <c r="V374" s="339">
        <f>ROUND(((V373*SUM($S$10:S373))+(U374*S374))/SUM($S$10:S374),5)</f>
        <v>3.4119999999999998E-2</v>
      </c>
      <c r="W374" s="348">
        <v>103.2</v>
      </c>
      <c r="BB374" s="352"/>
      <c r="BE374" s="335">
        <f t="shared" si="131"/>
        <v>35955</v>
      </c>
      <c r="BF374" s="345">
        <v>35962</v>
      </c>
      <c r="BG374" s="317">
        <f t="shared" si="125"/>
        <v>7</v>
      </c>
      <c r="BH374" s="346">
        <v>3.6299999999999999E-2</v>
      </c>
      <c r="BI374" s="337">
        <f t="shared" si="126"/>
        <v>10442.465</v>
      </c>
      <c r="BK374" s="364"/>
      <c r="BO374" s="335">
        <f t="shared" si="132"/>
        <v>37903</v>
      </c>
      <c r="BP374" s="345">
        <v>37910</v>
      </c>
      <c r="BQ374" s="317">
        <f t="shared" si="137"/>
        <v>7</v>
      </c>
      <c r="BR374" s="347">
        <v>9.1999999999999998E-3</v>
      </c>
      <c r="BS374" s="337">
        <f t="shared" si="124"/>
        <v>2999.4520550000002</v>
      </c>
      <c r="CH374" s="337"/>
      <c r="CL374" s="335">
        <f t="shared" si="130"/>
        <v>38862</v>
      </c>
      <c r="CM374" s="361">
        <v>38869</v>
      </c>
      <c r="CN374" s="317">
        <f t="shared" si="138"/>
        <v>7</v>
      </c>
      <c r="CO374" s="346">
        <v>3.4700000000000002E-2</v>
      </c>
      <c r="CP374" s="346"/>
      <c r="CQ374" s="346"/>
      <c r="CR374" s="346"/>
      <c r="CS374" s="346"/>
      <c r="CT374" s="346"/>
      <c r="CU374" s="346"/>
      <c r="CV374" s="337">
        <f>ROUND($CR$5*CO374*CN374/365,1)</f>
        <v>55457.7</v>
      </c>
      <c r="CW374" s="341">
        <f>SUM(CV370:CV374)-0.015</f>
        <v>250735.60499999998</v>
      </c>
    </row>
    <row r="375" spans="1:101" hidden="1" x14ac:dyDescent="0.25">
      <c r="A375" s="335">
        <f t="shared" si="133"/>
        <v>36671</v>
      </c>
      <c r="B375" s="345">
        <v>36685</v>
      </c>
      <c r="C375" s="317">
        <f t="shared" si="127"/>
        <v>14</v>
      </c>
      <c r="E375" s="346">
        <v>4.1015000000000003E-2</v>
      </c>
      <c r="F375" s="339">
        <f>ROUND(((F374*SUM($C$10:C374))+(E375*C375))/SUM($C$10:C375),5)</f>
        <v>3.2640000000000002E-2</v>
      </c>
      <c r="G375" s="348">
        <v>121.7</v>
      </c>
      <c r="I375" s="335">
        <f t="shared" si="134"/>
        <v>35640</v>
      </c>
      <c r="J375" s="345">
        <v>35642</v>
      </c>
      <c r="K375" s="317">
        <f t="shared" si="128"/>
        <v>2</v>
      </c>
      <c r="M375" s="346">
        <v>3.7229999999999999E-2</v>
      </c>
      <c r="N375" s="339">
        <f>ROUND(((N374*SUM($K$10:K374))+(M375*K375))/SUM($K$10:K375),5)</f>
        <v>3.2070000000000001E-2</v>
      </c>
      <c r="O375" s="348">
        <v>107</v>
      </c>
      <c r="Q375" s="335">
        <f t="shared" si="136"/>
        <v>36567</v>
      </c>
      <c r="R375" s="345">
        <v>36570</v>
      </c>
      <c r="S375" s="317">
        <f t="shared" si="129"/>
        <v>3</v>
      </c>
      <c r="U375" s="346">
        <v>3.5950999999999997E-2</v>
      </c>
      <c r="V375" s="339">
        <f>ROUND(((V374*SUM($S$10:S374))+(U375*S375))/SUM($S$10:S375),5)</f>
        <v>3.4119999999999998E-2</v>
      </c>
      <c r="W375" s="348">
        <v>96.17</v>
      </c>
      <c r="BB375" s="352"/>
      <c r="BE375" s="335">
        <f t="shared" si="131"/>
        <v>35962</v>
      </c>
      <c r="BF375" s="345">
        <v>35969</v>
      </c>
      <c r="BG375" s="317">
        <f t="shared" si="125"/>
        <v>7</v>
      </c>
      <c r="BH375" s="346">
        <v>3.5999999999999997E-2</v>
      </c>
      <c r="BI375" s="337">
        <f t="shared" si="126"/>
        <v>10356.165000000001</v>
      </c>
      <c r="BK375" s="364"/>
      <c r="BO375" s="335">
        <f t="shared" si="132"/>
        <v>37910</v>
      </c>
      <c r="BP375" s="345">
        <v>37917</v>
      </c>
      <c r="BQ375" s="317">
        <f t="shared" si="137"/>
        <v>7</v>
      </c>
      <c r="BR375" s="347">
        <v>9.2999999999999992E-3</v>
      </c>
      <c r="BS375" s="337">
        <f t="shared" si="124"/>
        <v>3032.054795</v>
      </c>
      <c r="CH375" s="337"/>
      <c r="CL375" s="335">
        <f t="shared" si="130"/>
        <v>38869</v>
      </c>
      <c r="CM375" s="361">
        <v>38876</v>
      </c>
      <c r="CN375" s="317">
        <f t="shared" si="138"/>
        <v>7</v>
      </c>
      <c r="CO375" s="346">
        <v>3.2199999999999999E-2</v>
      </c>
      <c r="CP375" s="346">
        <f t="shared" ref="CP375:CP438" si="139">CN375*CO375</f>
        <v>0.22539999999999999</v>
      </c>
      <c r="CQ375" s="365">
        <v>3.67906E-2</v>
      </c>
      <c r="CR375" s="337">
        <f>ROUND($CR$5*CQ375*CN375/365,7)</f>
        <v>58798.938512300003</v>
      </c>
      <c r="CS375" s="337"/>
      <c r="CU375" s="337"/>
      <c r="CV375" s="337">
        <f>ROUND($CR$5*CO375*CN375/365,7)</f>
        <v>51462.216438399999</v>
      </c>
    </row>
    <row r="376" spans="1:101" hidden="1" x14ac:dyDescent="0.25">
      <c r="A376" s="335">
        <f t="shared" si="133"/>
        <v>36685</v>
      </c>
      <c r="B376" s="345">
        <v>36690</v>
      </c>
      <c r="C376" s="317">
        <f t="shared" si="127"/>
        <v>5</v>
      </c>
      <c r="E376" s="346">
        <v>4.2278999999999997E-2</v>
      </c>
      <c r="F376" s="339">
        <f>ROUND(((F375*SUM($C$10:C375))+(E376*C376))/SUM($C$10:C376),5)</f>
        <v>3.2660000000000002E-2</v>
      </c>
      <c r="G376" s="348">
        <v>121</v>
      </c>
      <c r="I376" s="335">
        <f t="shared" si="134"/>
        <v>35642</v>
      </c>
      <c r="J376" s="345">
        <v>35647</v>
      </c>
      <c r="K376" s="317">
        <f t="shared" si="128"/>
        <v>5</v>
      </c>
      <c r="M376" s="346">
        <v>3.7240000000000002E-2</v>
      </c>
      <c r="N376" s="339">
        <f>ROUND(((N375*SUM($K$10:K375))+(M376*K376))/SUM($K$10:K376),5)</f>
        <v>3.2079999999999997E-2</v>
      </c>
      <c r="O376" s="348">
        <v>105.9</v>
      </c>
      <c r="Q376" s="335">
        <f t="shared" si="136"/>
        <v>36570</v>
      </c>
      <c r="R376" s="345">
        <v>36585</v>
      </c>
      <c r="S376" s="317">
        <f t="shared" si="129"/>
        <v>15</v>
      </c>
      <c r="U376" s="346">
        <v>3.6026000000000002E-2</v>
      </c>
      <c r="V376" s="339">
        <f>ROUND(((V375*SUM($S$10:S375))+(U376*S376))/SUM($S$10:S376),5)</f>
        <v>3.4130000000000001E-2</v>
      </c>
      <c r="W376" s="348">
        <v>91.01</v>
      </c>
      <c r="BB376" s="352"/>
      <c r="BE376" s="335">
        <f t="shared" si="131"/>
        <v>35969</v>
      </c>
      <c r="BF376" s="345">
        <v>35976</v>
      </c>
      <c r="BG376" s="317">
        <f t="shared" si="125"/>
        <v>7</v>
      </c>
      <c r="BH376" s="346">
        <v>3.5900000000000001E-2</v>
      </c>
      <c r="BI376" s="337">
        <f t="shared" si="126"/>
        <v>10327.395</v>
      </c>
      <c r="BK376" s="364"/>
      <c r="BO376" s="335">
        <f t="shared" si="132"/>
        <v>37917</v>
      </c>
      <c r="BP376" s="345">
        <v>37924</v>
      </c>
      <c r="BQ376" s="317">
        <f t="shared" si="137"/>
        <v>7</v>
      </c>
      <c r="BR376" s="347">
        <v>9.7000000000000003E-3</v>
      </c>
      <c r="BS376" s="337">
        <f t="shared" si="124"/>
        <v>3162.4657529999999</v>
      </c>
      <c r="BT376" s="350"/>
      <c r="CH376" s="337"/>
      <c r="CL376" s="335">
        <f t="shared" si="130"/>
        <v>38876</v>
      </c>
      <c r="CM376" s="361">
        <v>38883</v>
      </c>
      <c r="CN376" s="317">
        <f t="shared" si="138"/>
        <v>7</v>
      </c>
      <c r="CO376" s="346">
        <v>3.4799999999999998E-2</v>
      </c>
      <c r="CP376" s="346">
        <f t="shared" si="139"/>
        <v>0.24359999999999998</v>
      </c>
      <c r="CQ376" s="365">
        <v>3.67906E-2</v>
      </c>
      <c r="CR376" s="337">
        <f t="shared" ref="CR376:CR405" si="140">ROUND($CR$5*CQ376*CN376/365,5)</f>
        <v>58798.93851</v>
      </c>
      <c r="CS376" s="337"/>
      <c r="CT376" s="337"/>
      <c r="CU376" s="337"/>
      <c r="CV376" s="337">
        <f>ROUND($CR$5*CO376*CN376/365,7)</f>
        <v>55617.550684900001</v>
      </c>
    </row>
    <row r="377" spans="1:101" hidden="1" x14ac:dyDescent="0.25">
      <c r="A377" s="335">
        <f t="shared" si="133"/>
        <v>36690</v>
      </c>
      <c r="B377" s="345">
        <v>36691</v>
      </c>
      <c r="C377" s="317">
        <f t="shared" si="127"/>
        <v>1</v>
      </c>
      <c r="E377" s="346">
        <v>4.2292999999999997E-2</v>
      </c>
      <c r="F377" s="339">
        <f>ROUND(((F376*SUM($C$10:C376))+(E377*C377))/SUM($C$10:C377),5)</f>
        <v>3.2660000000000002E-2</v>
      </c>
      <c r="G377" s="348">
        <v>121.1</v>
      </c>
      <c r="I377" s="335">
        <f t="shared" si="134"/>
        <v>35647</v>
      </c>
      <c r="J377" s="345">
        <v>35653</v>
      </c>
      <c r="K377" s="317">
        <f t="shared" si="128"/>
        <v>6</v>
      </c>
      <c r="M377" s="346">
        <v>3.7190000000000001E-2</v>
      </c>
      <c r="N377" s="339">
        <f>ROUND(((N376*SUM($K$10:K376))+(M377*K377))/SUM($K$10:K377),5)</f>
        <v>3.2099999999999997E-2</v>
      </c>
      <c r="O377" s="348">
        <v>112</v>
      </c>
      <c r="Q377" s="335">
        <f t="shared" si="136"/>
        <v>36585</v>
      </c>
      <c r="R377" s="345">
        <v>36592</v>
      </c>
      <c r="S377" s="317">
        <f t="shared" si="129"/>
        <v>7</v>
      </c>
      <c r="U377" s="346">
        <v>3.619E-2</v>
      </c>
      <c r="V377" s="339">
        <f>ROUND(((V376*SUM($S$10:S376))+(U377*S377))/SUM($S$10:S377),5)</f>
        <v>3.4139999999999997E-2</v>
      </c>
      <c r="W377" s="348">
        <v>93.57</v>
      </c>
      <c r="BB377" s="352"/>
      <c r="BE377" s="335">
        <f t="shared" si="131"/>
        <v>35976</v>
      </c>
      <c r="BF377" s="345">
        <v>35977</v>
      </c>
      <c r="BG377" s="317">
        <f t="shared" si="125"/>
        <v>1</v>
      </c>
      <c r="BH377" s="346">
        <v>3.2500000000000001E-2</v>
      </c>
      <c r="BI377" s="337">
        <f t="shared" si="126"/>
        <v>1335.615</v>
      </c>
      <c r="BJ377" s="341">
        <f>SUM(BI372:BI377)</f>
        <v>44276.71</v>
      </c>
      <c r="BK377" s="364">
        <v>43963.32</v>
      </c>
      <c r="BL377" s="341">
        <f>BJ377-BK377</f>
        <v>313.38999999999942</v>
      </c>
      <c r="BM377" s="341">
        <f>BM371+BL377</f>
        <v>29661.835000000043</v>
      </c>
      <c r="BO377" s="335">
        <f t="shared" si="132"/>
        <v>37924</v>
      </c>
      <c r="BP377" s="345">
        <v>37926</v>
      </c>
      <c r="BQ377" s="317">
        <f t="shared" si="137"/>
        <v>2</v>
      </c>
      <c r="BR377" s="347">
        <v>1.0500000000000001E-2</v>
      </c>
      <c r="BS377" s="337">
        <f t="shared" si="124"/>
        <v>978.08219199999996</v>
      </c>
      <c r="BT377" s="341">
        <f>SUM(BS372:BS377)</f>
        <v>14065.753426000001</v>
      </c>
      <c r="CH377" s="337"/>
      <c r="CL377" s="335">
        <f t="shared" si="130"/>
        <v>38883</v>
      </c>
      <c r="CM377" s="361">
        <v>38890</v>
      </c>
      <c r="CN377" s="317">
        <f t="shared" si="138"/>
        <v>7</v>
      </c>
      <c r="CO377" s="346">
        <v>3.8800000000000001E-2</v>
      </c>
      <c r="CP377" s="346">
        <f t="shared" si="139"/>
        <v>0.27160000000000001</v>
      </c>
      <c r="CQ377" s="365">
        <v>3.67906E-2</v>
      </c>
      <c r="CR377" s="337">
        <f t="shared" si="140"/>
        <v>58798.93851</v>
      </c>
      <c r="CS377" s="337"/>
      <c r="CT377" s="337"/>
      <c r="CU377" s="337"/>
      <c r="CV377" s="337">
        <f>ROUND($CR$5*CO377*CN377/365,7)</f>
        <v>62010.372602700001</v>
      </c>
    </row>
    <row r="378" spans="1:101" hidden="1" x14ac:dyDescent="0.25">
      <c r="A378" s="335">
        <f t="shared" si="133"/>
        <v>36691</v>
      </c>
      <c r="B378" s="345">
        <v>36697</v>
      </c>
      <c r="C378" s="317">
        <f t="shared" si="127"/>
        <v>6</v>
      </c>
      <c r="E378" s="346">
        <v>4.2724999999999999E-2</v>
      </c>
      <c r="F378" s="339">
        <f>ROUND(((F377*SUM($C$10:C377))+(E378*C378))/SUM($C$10:C378),5)</f>
        <v>3.2680000000000001E-2</v>
      </c>
      <c r="G378" s="348">
        <v>118.8</v>
      </c>
      <c r="I378" s="335">
        <f t="shared" si="134"/>
        <v>35653</v>
      </c>
      <c r="J378" s="345">
        <v>35664</v>
      </c>
      <c r="K378" s="317">
        <f t="shared" si="128"/>
        <v>11</v>
      </c>
      <c r="M378" s="346">
        <v>3.7199999999999997E-2</v>
      </c>
      <c r="N378" s="339">
        <f>ROUND(((N377*SUM($K$10:K377))+(M378*K378))/SUM($K$10:K378),5)</f>
        <v>3.2129999999999999E-2</v>
      </c>
      <c r="O378" s="348">
        <v>112.8</v>
      </c>
      <c r="Q378" s="335">
        <f t="shared" si="136"/>
        <v>36592</v>
      </c>
      <c r="R378" s="345">
        <v>36593</v>
      </c>
      <c r="S378" s="317">
        <f t="shared" si="129"/>
        <v>1</v>
      </c>
      <c r="U378" s="346">
        <v>3.6234000000000002E-2</v>
      </c>
      <c r="V378" s="339">
        <f>ROUND(((V377*SUM($S$10:S377))+(U378*S378))/SUM($S$10:S378),5)</f>
        <v>3.4139999999999997E-2</v>
      </c>
      <c r="W378" s="348">
        <v>87.99</v>
      </c>
      <c r="BB378" s="352"/>
      <c r="BE378" s="335">
        <f t="shared" si="131"/>
        <v>35977</v>
      </c>
      <c r="BF378" s="345">
        <v>35983</v>
      </c>
      <c r="BG378" s="317">
        <f t="shared" si="125"/>
        <v>6</v>
      </c>
      <c r="BH378" s="346">
        <v>3.2500000000000001E-2</v>
      </c>
      <c r="BI378" s="337">
        <f t="shared" si="126"/>
        <v>8013.7</v>
      </c>
      <c r="BK378" s="364"/>
      <c r="BO378" s="335">
        <f t="shared" si="132"/>
        <v>37926</v>
      </c>
      <c r="BP378" s="345">
        <v>37931</v>
      </c>
      <c r="BQ378" s="317">
        <f t="shared" si="137"/>
        <v>5</v>
      </c>
      <c r="BR378" s="347">
        <v>1.0500000000000001E-2</v>
      </c>
      <c r="BS378" s="337">
        <f t="shared" si="124"/>
        <v>2445.2054790000002</v>
      </c>
      <c r="BT378" s="316" t="s">
        <v>35</v>
      </c>
      <c r="CH378" s="337"/>
      <c r="CL378" s="335">
        <f t="shared" si="130"/>
        <v>38890</v>
      </c>
      <c r="CM378" s="361">
        <v>38897</v>
      </c>
      <c r="CN378" s="317">
        <f t="shared" si="138"/>
        <v>7</v>
      </c>
      <c r="CO378" s="346">
        <v>3.9699999999999999E-2</v>
      </c>
      <c r="CP378" s="346">
        <f t="shared" si="139"/>
        <v>0.27789999999999998</v>
      </c>
      <c r="CQ378" s="365">
        <v>3.67906E-2</v>
      </c>
      <c r="CR378" s="337">
        <f t="shared" si="140"/>
        <v>58798.93851</v>
      </c>
      <c r="CS378" s="337"/>
      <c r="CT378" s="337"/>
      <c r="CU378" s="337"/>
      <c r="CV378" s="337">
        <f>ROUND($CR$5*CO378*CN378/365,7)</f>
        <v>63448.757534199998</v>
      </c>
    </row>
    <row r="379" spans="1:101" hidden="1" x14ac:dyDescent="0.25">
      <c r="A379" s="335">
        <f t="shared" si="133"/>
        <v>36697</v>
      </c>
      <c r="B379" s="345">
        <v>36703</v>
      </c>
      <c r="C379" s="317">
        <f t="shared" si="127"/>
        <v>6</v>
      </c>
      <c r="E379" s="346">
        <v>4.2730999999999998E-2</v>
      </c>
      <c r="F379" s="339">
        <f>ROUND(((F378*SUM($C$10:C378))+(E379*C379))/SUM($C$10:C379),5)</f>
        <v>3.27E-2</v>
      </c>
      <c r="G379" s="348">
        <v>118.7</v>
      </c>
      <c r="I379" s="335">
        <f t="shared" si="134"/>
        <v>35664</v>
      </c>
      <c r="J379" s="345">
        <v>35684</v>
      </c>
      <c r="K379" s="317">
        <f t="shared" si="128"/>
        <v>20</v>
      </c>
      <c r="M379" s="346">
        <v>3.7150000000000002E-2</v>
      </c>
      <c r="N379" s="339">
        <f>ROUND(((N378*SUM($K$10:K378))+(M379*K379))/SUM($K$10:K379),5)</f>
        <v>3.2190000000000003E-2</v>
      </c>
      <c r="O379" s="348">
        <v>116.9</v>
      </c>
      <c r="Q379" s="335">
        <f t="shared" si="136"/>
        <v>36593</v>
      </c>
      <c r="R379" s="345">
        <v>36594</v>
      </c>
      <c r="S379" s="317">
        <f t="shared" si="129"/>
        <v>1</v>
      </c>
      <c r="U379" s="346">
        <v>3.6405E-2</v>
      </c>
      <c r="V379" s="339">
        <f>ROUND(((V378*SUM($S$10:S378))+(U379*S379))/SUM($S$10:S379),5)</f>
        <v>3.4139999999999997E-2</v>
      </c>
      <c r="W379" s="348">
        <v>86.77</v>
      </c>
      <c r="BB379" s="352"/>
      <c r="BE379" s="335">
        <f t="shared" si="131"/>
        <v>35983</v>
      </c>
      <c r="BF379" s="345">
        <v>35990</v>
      </c>
      <c r="BG379" s="317">
        <f t="shared" si="125"/>
        <v>7</v>
      </c>
      <c r="BH379" s="346">
        <v>3.1E-2</v>
      </c>
      <c r="BI379" s="337">
        <f t="shared" si="126"/>
        <v>8917.81</v>
      </c>
      <c r="BK379" s="364"/>
      <c r="BO379" s="335">
        <f t="shared" si="132"/>
        <v>37931</v>
      </c>
      <c r="BP379" s="345">
        <v>37938</v>
      </c>
      <c r="BQ379" s="317">
        <f t="shared" si="137"/>
        <v>7</v>
      </c>
      <c r="BR379" s="347">
        <v>1.06E-2</v>
      </c>
      <c r="BS379" s="337">
        <f t="shared" si="124"/>
        <v>3455.8904109999999</v>
      </c>
      <c r="CH379" s="337"/>
      <c r="CL379" s="335">
        <f t="shared" si="130"/>
        <v>38897</v>
      </c>
      <c r="CM379" s="361">
        <v>38901</v>
      </c>
      <c r="CN379" s="317">
        <f t="shared" si="138"/>
        <v>4</v>
      </c>
      <c r="CO379" s="346">
        <v>3.9699999999999999E-2</v>
      </c>
      <c r="CP379" s="346">
        <f t="shared" si="139"/>
        <v>0.1588</v>
      </c>
      <c r="CQ379" s="365">
        <f>ROUND(SUM(CP375:CP379)/32,7)</f>
        <v>3.67906E-2</v>
      </c>
      <c r="CR379" s="337">
        <f t="shared" si="140"/>
        <v>33599.39344</v>
      </c>
      <c r="CS379" s="337">
        <f>SUM(CR375:CR379)</f>
        <v>268795.1474823</v>
      </c>
      <c r="CT379" s="337">
        <f>$CR$5*0.05495*32/360</f>
        <v>407045.17777777778</v>
      </c>
      <c r="CU379" s="366">
        <f>CS379-CT379</f>
        <v>-138250.03029547777</v>
      </c>
      <c r="CV379" s="337">
        <f>ROUND($CR$5*CO379*CN379/365,7)</f>
        <v>36256.432876699997</v>
      </c>
      <c r="CW379" s="341">
        <f>SUM(CV375:CV379)</f>
        <v>268795.33013690001</v>
      </c>
    </row>
    <row r="380" spans="1:101" hidden="1" x14ac:dyDescent="0.25">
      <c r="A380" s="335">
        <f t="shared" si="133"/>
        <v>36703</v>
      </c>
      <c r="B380" s="345">
        <v>36710</v>
      </c>
      <c r="C380" s="317">
        <f t="shared" si="127"/>
        <v>7</v>
      </c>
      <c r="E380" s="346">
        <v>4.2721000000000002E-2</v>
      </c>
      <c r="F380" s="339">
        <f>ROUND(((F379*SUM($C$10:C379))+(E380*C380))/SUM($C$10:C380),5)</f>
        <v>3.2719999999999999E-2</v>
      </c>
      <c r="G380" s="348">
        <v>118.8</v>
      </c>
      <c r="I380" s="335">
        <f t="shared" si="134"/>
        <v>35684</v>
      </c>
      <c r="J380" s="345">
        <v>35685</v>
      </c>
      <c r="K380" s="317">
        <f t="shared" si="128"/>
        <v>1</v>
      </c>
      <c r="M380" s="346">
        <v>3.7170000000000002E-2</v>
      </c>
      <c r="N380" s="339">
        <f>ROUND(((N379*SUM($K$10:K379))+(M380*K380))/SUM($K$10:K380),5)</f>
        <v>3.2190000000000003E-2</v>
      </c>
      <c r="O380" s="348">
        <v>117.4</v>
      </c>
      <c r="Q380" s="335">
        <f t="shared" si="136"/>
        <v>36594</v>
      </c>
      <c r="R380" s="345">
        <v>36595</v>
      </c>
      <c r="S380" s="317">
        <f t="shared" si="129"/>
        <v>1</v>
      </c>
      <c r="U380" s="346">
        <v>3.6546000000000002E-2</v>
      </c>
      <c r="V380" s="339">
        <f>ROUND(((V379*SUM($S$10:S379))+(U380*S380))/SUM($S$10:S380),5)</f>
        <v>3.4139999999999997E-2</v>
      </c>
      <c r="W380" s="348">
        <v>80.28</v>
      </c>
      <c r="BB380" s="352"/>
      <c r="BE380" s="335">
        <f t="shared" si="131"/>
        <v>35990</v>
      </c>
      <c r="BF380" s="345">
        <v>35997</v>
      </c>
      <c r="BG380" s="317">
        <f t="shared" si="125"/>
        <v>7</v>
      </c>
      <c r="BH380" s="346">
        <v>3.5999999999999997E-2</v>
      </c>
      <c r="BI380" s="337">
        <f t="shared" si="126"/>
        <v>10356.165000000001</v>
      </c>
      <c r="BK380" s="364"/>
      <c r="BO380" s="335">
        <f t="shared" si="132"/>
        <v>37938</v>
      </c>
      <c r="BP380" s="345">
        <v>37945</v>
      </c>
      <c r="BQ380" s="317">
        <f t="shared" si="137"/>
        <v>7</v>
      </c>
      <c r="BR380" s="347">
        <v>1.12E-2</v>
      </c>
      <c r="BS380" s="337">
        <f t="shared" si="124"/>
        <v>3651.5068489999999</v>
      </c>
      <c r="CH380" s="337"/>
      <c r="CL380" s="335">
        <f t="shared" si="130"/>
        <v>38901</v>
      </c>
      <c r="CM380" s="361">
        <v>38904</v>
      </c>
      <c r="CN380" s="317">
        <f t="shared" si="138"/>
        <v>3</v>
      </c>
      <c r="CO380" s="346">
        <v>3.9699999999999999E-2</v>
      </c>
      <c r="CP380" s="346">
        <f t="shared" si="139"/>
        <v>0.1191</v>
      </c>
      <c r="CQ380" s="365">
        <v>3.6113800000000001E-2</v>
      </c>
      <c r="CR380" s="337">
        <f t="shared" si="140"/>
        <v>24735.974160000002</v>
      </c>
      <c r="CS380" s="366"/>
      <c r="CT380" s="337"/>
      <c r="CU380" s="366" t="s">
        <v>35</v>
      </c>
      <c r="CV380" s="337">
        <f t="shared" ref="CV380:CV443" si="141">ROUND($CR$5*CO380*CN380/365,1)</f>
        <v>27192.3</v>
      </c>
    </row>
    <row r="381" spans="1:101" hidden="1" x14ac:dyDescent="0.25">
      <c r="A381" s="335">
        <f t="shared" si="133"/>
        <v>36710</v>
      </c>
      <c r="B381" s="345">
        <v>36717</v>
      </c>
      <c r="C381" s="317">
        <f t="shared" si="127"/>
        <v>7</v>
      </c>
      <c r="E381" s="346">
        <v>4.2701999999999997E-2</v>
      </c>
      <c r="F381" s="339">
        <f>ROUND(((F380*SUM($C$10:C380))+(E381*C381))/SUM($C$10:C381),5)</f>
        <v>3.2739999999999998E-2</v>
      </c>
      <c r="G381" s="348">
        <v>118.8</v>
      </c>
      <c r="I381" s="335">
        <f t="shared" si="134"/>
        <v>35685</v>
      </c>
      <c r="J381" s="345">
        <v>35688</v>
      </c>
      <c r="K381" s="317">
        <f t="shared" si="128"/>
        <v>3</v>
      </c>
      <c r="M381" s="346">
        <v>3.7510000000000002E-2</v>
      </c>
      <c r="N381" s="339">
        <f>ROUND(((N380*SUM($K$10:K380))+(M381*K381))/SUM($K$10:K381),5)</f>
        <v>3.2199999999999999E-2</v>
      </c>
      <c r="O381" s="348">
        <v>92.5</v>
      </c>
      <c r="Q381" s="335">
        <f t="shared" si="136"/>
        <v>36595</v>
      </c>
      <c r="R381" s="345">
        <v>36598</v>
      </c>
      <c r="S381" s="317">
        <f t="shared" si="129"/>
        <v>3</v>
      </c>
      <c r="U381" s="346">
        <v>3.6944999999999999E-2</v>
      </c>
      <c r="V381" s="339">
        <f>ROUND(((V380*SUM($S$10:S380))+(U381*S381))/SUM($S$10:S381),5)</f>
        <v>3.4139999999999997E-2</v>
      </c>
      <c r="W381" s="348">
        <v>86</v>
      </c>
      <c r="BB381" s="352"/>
      <c r="BE381" s="335">
        <f t="shared" si="131"/>
        <v>35997</v>
      </c>
      <c r="BF381" s="345">
        <v>36004</v>
      </c>
      <c r="BG381" s="317">
        <f t="shared" si="125"/>
        <v>7</v>
      </c>
      <c r="BH381" s="346">
        <v>3.5999999999999997E-2</v>
      </c>
      <c r="BI381" s="337">
        <f t="shared" si="126"/>
        <v>10356.165000000001</v>
      </c>
      <c r="BK381" s="364"/>
      <c r="BO381" s="335">
        <f t="shared" si="132"/>
        <v>37945</v>
      </c>
      <c r="BP381" s="345">
        <v>37952</v>
      </c>
      <c r="BQ381" s="317">
        <f t="shared" si="137"/>
        <v>7</v>
      </c>
      <c r="BR381" s="347">
        <v>1.12E-2</v>
      </c>
      <c r="BS381" s="337">
        <f t="shared" si="124"/>
        <v>3651.5068489999999</v>
      </c>
      <c r="CH381" s="337"/>
      <c r="CL381" s="335">
        <f t="shared" si="130"/>
        <v>38904</v>
      </c>
      <c r="CM381" s="361">
        <v>38911</v>
      </c>
      <c r="CN381" s="317">
        <f t="shared" si="138"/>
        <v>7</v>
      </c>
      <c r="CO381" s="346">
        <v>3.6700000000000003E-2</v>
      </c>
      <c r="CP381" s="346">
        <f t="shared" si="139"/>
        <v>0.25690000000000002</v>
      </c>
      <c r="CQ381" s="365">
        <v>3.6113800000000001E-2</v>
      </c>
      <c r="CR381" s="337">
        <f t="shared" si="140"/>
        <v>57717.27304</v>
      </c>
      <c r="CS381" s="346"/>
      <c r="CT381" s="346"/>
      <c r="CU381" s="346"/>
      <c r="CV381" s="337">
        <f t="shared" si="141"/>
        <v>58654.1</v>
      </c>
    </row>
    <row r="382" spans="1:101" hidden="1" x14ac:dyDescent="0.25">
      <c r="A382" s="335">
        <f t="shared" si="133"/>
        <v>36717</v>
      </c>
      <c r="B382" s="345">
        <v>36720</v>
      </c>
      <c r="C382" s="317">
        <f t="shared" si="127"/>
        <v>3</v>
      </c>
      <c r="E382" s="346">
        <v>4.2701999999999997E-2</v>
      </c>
      <c r="F382" s="339">
        <f>ROUND(((F381*SUM($C$10:C381))+(E382*C382))/SUM($C$10:C382),5)</f>
        <v>3.2750000000000001E-2</v>
      </c>
      <c r="G382" s="348">
        <v>118.8</v>
      </c>
      <c r="I382" s="335">
        <f t="shared" si="134"/>
        <v>35688</v>
      </c>
      <c r="J382" s="345">
        <v>35690</v>
      </c>
      <c r="K382" s="317">
        <f t="shared" si="128"/>
        <v>2</v>
      </c>
      <c r="M382" s="346">
        <v>3.7539999999999997E-2</v>
      </c>
      <c r="N382" s="339">
        <f>ROUND(((N381*SUM($K$10:K381))+(M382*K382))/SUM($K$10:K382),5)</f>
        <v>3.2210000000000003E-2</v>
      </c>
      <c r="O382" s="348">
        <v>92.9</v>
      </c>
      <c r="Q382" s="335">
        <f t="shared" si="136"/>
        <v>36598</v>
      </c>
      <c r="R382" s="345">
        <v>36600</v>
      </c>
      <c r="S382" s="317">
        <f t="shared" si="129"/>
        <v>2</v>
      </c>
      <c r="U382" s="346">
        <v>3.7074999999999997E-2</v>
      </c>
      <c r="V382" s="339">
        <f>ROUND(((V381*SUM($S$10:S381))+(U382*S382))/SUM($S$10:S382),5)</f>
        <v>3.4139999999999997E-2</v>
      </c>
      <c r="W382" s="348">
        <v>76.040000000000006</v>
      </c>
      <c r="BB382" s="352"/>
      <c r="BE382" s="335">
        <f t="shared" si="131"/>
        <v>36004</v>
      </c>
      <c r="BF382" s="345">
        <v>36008</v>
      </c>
      <c r="BG382" s="317">
        <f t="shared" si="125"/>
        <v>4</v>
      </c>
      <c r="BH382" s="346">
        <v>3.56E-2</v>
      </c>
      <c r="BI382" s="337">
        <f t="shared" si="126"/>
        <v>5852.0550000000003</v>
      </c>
      <c r="BJ382" s="341">
        <f>SUM(BI378:BI382)</f>
        <v>43495.894999999997</v>
      </c>
      <c r="BK382" s="364">
        <v>45210.78</v>
      </c>
      <c r="BL382" s="341">
        <f>BJ382-BK382</f>
        <v>-1714.885000000002</v>
      </c>
      <c r="BM382" s="341">
        <f>BM377+BL382</f>
        <v>27946.950000000041</v>
      </c>
      <c r="BO382" s="335">
        <f t="shared" si="132"/>
        <v>37952</v>
      </c>
      <c r="BP382" s="345">
        <v>37956</v>
      </c>
      <c r="BQ382" s="317">
        <f t="shared" si="137"/>
        <v>4</v>
      </c>
      <c r="BR382" s="347">
        <v>1.0999999999999999E-2</v>
      </c>
      <c r="BS382" s="337">
        <f t="shared" si="124"/>
        <v>2049.3150679999999</v>
      </c>
      <c r="BT382" s="341">
        <f>SUM(BS378:BS382)</f>
        <v>15253.424655999999</v>
      </c>
      <c r="BU382" s="360" t="s">
        <v>348</v>
      </c>
      <c r="CH382" s="337"/>
      <c r="CL382" s="335">
        <f t="shared" si="130"/>
        <v>38911</v>
      </c>
      <c r="CM382" s="361">
        <v>38918</v>
      </c>
      <c r="CN382" s="317">
        <f t="shared" si="138"/>
        <v>7</v>
      </c>
      <c r="CO382" s="346">
        <v>3.4299999999999997E-2</v>
      </c>
      <c r="CP382" s="346">
        <f t="shared" si="139"/>
        <v>0.24009999999999998</v>
      </c>
      <c r="CQ382" s="365">
        <v>3.6113800000000001E-2</v>
      </c>
      <c r="CR382" s="337">
        <f t="shared" si="140"/>
        <v>57717.27304</v>
      </c>
      <c r="CS382" s="346"/>
      <c r="CT382" s="346"/>
      <c r="CU382" s="346"/>
      <c r="CV382" s="337">
        <f t="shared" si="141"/>
        <v>54818.400000000001</v>
      </c>
    </row>
    <row r="383" spans="1:101" hidden="1" x14ac:dyDescent="0.25">
      <c r="A383" s="335">
        <f t="shared" si="133"/>
        <v>36720</v>
      </c>
      <c r="B383" s="345">
        <v>36724</v>
      </c>
      <c r="C383" s="317">
        <f t="shared" si="127"/>
        <v>4</v>
      </c>
      <c r="E383" s="346">
        <v>4.3541000000000003E-2</v>
      </c>
      <c r="F383" s="339">
        <f>ROUND(((F382*SUM($C$10:C382))+(E383*C383))/SUM($C$10:C383),5)</f>
        <v>3.2770000000000001E-2</v>
      </c>
      <c r="G383" s="316">
        <v>123.6</v>
      </c>
      <c r="I383" s="335">
        <f t="shared" si="134"/>
        <v>35690</v>
      </c>
      <c r="J383" s="345">
        <v>35692</v>
      </c>
      <c r="K383" s="317">
        <f t="shared" si="128"/>
        <v>2</v>
      </c>
      <c r="M383" s="346">
        <v>3.755E-2</v>
      </c>
      <c r="N383" s="339">
        <f>ROUND(((N382*SUM($K$10:K382))+(M383*K383))/SUM($K$10:K383),5)</f>
        <v>3.2219999999999999E-2</v>
      </c>
      <c r="O383" s="348">
        <v>86.4</v>
      </c>
      <c r="Q383" s="335">
        <f t="shared" si="136"/>
        <v>36600</v>
      </c>
      <c r="R383" s="345">
        <v>36620</v>
      </c>
      <c r="S383" s="317">
        <f t="shared" si="129"/>
        <v>20</v>
      </c>
      <c r="U383" s="346">
        <v>3.7203E-2</v>
      </c>
      <c r="V383" s="339">
        <f>ROUND(((V382*SUM($S$10:S382))+(U383*S383))/SUM($S$10:S383),5)</f>
        <v>3.4169999999999999E-2</v>
      </c>
      <c r="W383" s="348">
        <v>75.09</v>
      </c>
      <c r="BB383" s="352"/>
      <c r="BE383" s="335">
        <f t="shared" si="131"/>
        <v>36008</v>
      </c>
      <c r="BF383" s="345">
        <v>36011</v>
      </c>
      <c r="BG383" s="317">
        <f t="shared" si="125"/>
        <v>3</v>
      </c>
      <c r="BH383" s="346">
        <v>3.56E-2</v>
      </c>
      <c r="BI383" s="337">
        <f t="shared" si="126"/>
        <v>4389.04</v>
      </c>
      <c r="BK383" s="364"/>
      <c r="BO383" s="335">
        <f t="shared" si="132"/>
        <v>37956</v>
      </c>
      <c r="BP383" s="345">
        <v>37959</v>
      </c>
      <c r="BQ383" s="317">
        <f t="shared" si="137"/>
        <v>3</v>
      </c>
      <c r="BR383" s="347">
        <v>1.0999999999999999E-2</v>
      </c>
      <c r="BS383" s="337">
        <f t="shared" si="124"/>
        <v>1536.9863009999999</v>
      </c>
      <c r="CH383" s="337"/>
      <c r="CL383" s="335">
        <f t="shared" si="130"/>
        <v>38918</v>
      </c>
      <c r="CM383" s="361">
        <v>38925</v>
      </c>
      <c r="CN383" s="317">
        <f t="shared" si="138"/>
        <v>7</v>
      </c>
      <c r="CO383" s="346">
        <v>3.56E-2</v>
      </c>
      <c r="CP383" s="346">
        <f t="shared" si="139"/>
        <v>0.2492</v>
      </c>
      <c r="CQ383" s="365">
        <v>3.6113800000000001E-2</v>
      </c>
      <c r="CR383" s="337">
        <f t="shared" si="140"/>
        <v>57717.27304</v>
      </c>
      <c r="CS383" s="346"/>
      <c r="CT383" s="346"/>
      <c r="CU383" s="346"/>
      <c r="CV383" s="337">
        <f t="shared" si="141"/>
        <v>56896.1</v>
      </c>
    </row>
    <row r="384" spans="1:101" hidden="1" x14ac:dyDescent="0.25">
      <c r="A384" s="335">
        <f t="shared" si="133"/>
        <v>36724</v>
      </c>
      <c r="B384" s="345">
        <v>36731</v>
      </c>
      <c r="C384" s="317">
        <f t="shared" si="127"/>
        <v>7</v>
      </c>
      <c r="E384" s="346">
        <v>4.3557999999999999E-2</v>
      </c>
      <c r="F384" s="339">
        <f>ROUND(((F383*SUM($C$10:C383))+(E384*C384))/SUM($C$10:C384),5)</f>
        <v>3.2800000000000003E-2</v>
      </c>
      <c r="G384" s="316">
        <v>123.6</v>
      </c>
      <c r="I384" s="335">
        <f t="shared" si="134"/>
        <v>35692</v>
      </c>
      <c r="J384" s="345">
        <v>35695</v>
      </c>
      <c r="K384" s="317">
        <f t="shared" si="128"/>
        <v>3</v>
      </c>
      <c r="M384" s="346">
        <v>3.7539999999999997E-2</v>
      </c>
      <c r="N384" s="339">
        <f>ROUND(((N383*SUM($K$10:K383))+(M384*K384))/SUM($K$10:K384),5)</f>
        <v>3.2230000000000002E-2</v>
      </c>
      <c r="O384" s="348">
        <v>83.9</v>
      </c>
      <c r="Q384" s="335">
        <f t="shared" si="136"/>
        <v>36620</v>
      </c>
      <c r="R384" s="345">
        <v>36621</v>
      </c>
      <c r="S384" s="317">
        <f t="shared" si="129"/>
        <v>1</v>
      </c>
      <c r="U384" s="346">
        <v>3.7552000000000002E-2</v>
      </c>
      <c r="V384" s="339">
        <f>ROUND(((V383*SUM($S$10:S383))+(U384*S384))/SUM($S$10:S384),5)</f>
        <v>3.4169999999999999E-2</v>
      </c>
      <c r="W384" s="348">
        <v>70.23</v>
      </c>
      <c r="BB384" s="352"/>
      <c r="BE384" s="335">
        <f t="shared" si="131"/>
        <v>36011</v>
      </c>
      <c r="BF384" s="345">
        <v>36018</v>
      </c>
      <c r="BG384" s="317">
        <f t="shared" si="125"/>
        <v>7</v>
      </c>
      <c r="BH384" s="346">
        <v>3.2899999999999999E-2</v>
      </c>
      <c r="BI384" s="337">
        <f t="shared" si="126"/>
        <v>9464.3850000000002</v>
      </c>
      <c r="BK384" s="364"/>
      <c r="BO384" s="335">
        <f t="shared" si="132"/>
        <v>37959</v>
      </c>
      <c r="BP384" s="345">
        <v>37966</v>
      </c>
      <c r="BQ384" s="317">
        <f t="shared" si="137"/>
        <v>7</v>
      </c>
      <c r="BR384" s="347">
        <v>1.01E-2</v>
      </c>
      <c r="BS384" s="337">
        <f t="shared" si="124"/>
        <v>3292.8767120000002</v>
      </c>
      <c r="CH384" s="337"/>
      <c r="CL384" s="335">
        <f t="shared" si="130"/>
        <v>38925</v>
      </c>
      <c r="CM384" s="361">
        <v>38930</v>
      </c>
      <c r="CN384" s="317">
        <f t="shared" si="138"/>
        <v>5</v>
      </c>
      <c r="CO384" s="346">
        <v>3.6400000000000002E-2</v>
      </c>
      <c r="CP384" s="346">
        <f t="shared" si="139"/>
        <v>0.182</v>
      </c>
      <c r="CQ384" s="365">
        <f>ROUND(SUM(CP380:CP384)/29,7)</f>
        <v>3.6113800000000001E-2</v>
      </c>
      <c r="CR384" s="337">
        <f t="shared" si="140"/>
        <v>41226.623599999999</v>
      </c>
      <c r="CS384" s="337">
        <f>SUM(CR380:CR384)</f>
        <v>239114.41687999998</v>
      </c>
      <c r="CT384" s="337">
        <f>$CR$5*0.05495*28/360</f>
        <v>356164.53055555554</v>
      </c>
      <c r="CU384" s="366">
        <f>CS384-CT384</f>
        <v>-117050.11367555556</v>
      </c>
      <c r="CV384" s="337">
        <f t="shared" si="141"/>
        <v>41553.300000000003</v>
      </c>
    </row>
    <row r="385" spans="1:100" hidden="1" x14ac:dyDescent="0.25">
      <c r="A385" s="335">
        <f t="shared" si="133"/>
        <v>36731</v>
      </c>
      <c r="B385" s="345">
        <v>36738</v>
      </c>
      <c r="C385" s="317">
        <f t="shared" si="127"/>
        <v>7</v>
      </c>
      <c r="E385" s="346">
        <v>4.3562999999999998E-2</v>
      </c>
      <c r="F385" s="339">
        <f>ROUND(((F384*SUM($C$10:C384))+(E385*C385))/SUM($C$10:C385),5)</f>
        <v>3.2829999999999998E-2</v>
      </c>
      <c r="G385" s="316">
        <v>123.6</v>
      </c>
      <c r="I385" s="335">
        <f t="shared" si="134"/>
        <v>35695</v>
      </c>
      <c r="J385" s="345">
        <v>35696</v>
      </c>
      <c r="K385" s="317">
        <f t="shared" si="128"/>
        <v>1</v>
      </c>
      <c r="M385" s="346">
        <v>3.7539999999999997E-2</v>
      </c>
      <c r="N385" s="339">
        <f>ROUND(((N384*SUM($K$10:K384))+(M385*K385))/SUM($K$10:K385),5)</f>
        <v>3.2230000000000002E-2</v>
      </c>
      <c r="O385" s="348">
        <v>83.8</v>
      </c>
      <c r="Q385" s="335">
        <f t="shared" si="136"/>
        <v>36621</v>
      </c>
      <c r="R385" s="345">
        <v>36622</v>
      </c>
      <c r="S385" s="317">
        <f t="shared" si="129"/>
        <v>1</v>
      </c>
      <c r="U385" s="346">
        <v>3.7471999999999998E-2</v>
      </c>
      <c r="V385" s="339">
        <f>ROUND(((V384*SUM($S$10:S384))+(U385*S385))/SUM($S$10:S385),5)</f>
        <v>3.4169999999999999E-2</v>
      </c>
      <c r="W385" s="348">
        <v>70.92</v>
      </c>
      <c r="BB385" s="352"/>
      <c r="BE385" s="335">
        <f t="shared" si="131"/>
        <v>36018</v>
      </c>
      <c r="BF385" s="345">
        <v>36025</v>
      </c>
      <c r="BG385" s="317">
        <f t="shared" si="125"/>
        <v>7</v>
      </c>
      <c r="BH385" s="346">
        <v>3.3500000000000002E-2</v>
      </c>
      <c r="BI385" s="337">
        <f t="shared" si="126"/>
        <v>9636.9850000000006</v>
      </c>
      <c r="BK385" s="364"/>
      <c r="BO385" s="335">
        <f t="shared" si="132"/>
        <v>37966</v>
      </c>
      <c r="BP385" s="345">
        <v>37973</v>
      </c>
      <c r="BQ385" s="317">
        <f t="shared" si="137"/>
        <v>7</v>
      </c>
      <c r="BR385" s="347">
        <v>1.0200000000000001E-2</v>
      </c>
      <c r="BS385" s="337">
        <f t="shared" si="124"/>
        <v>3325.479452</v>
      </c>
      <c r="CH385" s="337"/>
      <c r="CL385" s="335">
        <f t="shared" si="130"/>
        <v>38930</v>
      </c>
      <c r="CM385" s="361">
        <v>38932</v>
      </c>
      <c r="CN385" s="317">
        <f t="shared" si="138"/>
        <v>2</v>
      </c>
      <c r="CO385" s="346">
        <v>3.6400000000000002E-2</v>
      </c>
      <c r="CP385" s="346">
        <f t="shared" si="139"/>
        <v>7.2800000000000004E-2</v>
      </c>
      <c r="CQ385" s="365">
        <v>3.5264499999999997E-2</v>
      </c>
      <c r="CR385" s="337">
        <f t="shared" si="140"/>
        <v>16102.83347</v>
      </c>
      <c r="CS385" s="346"/>
      <c r="CT385" s="346"/>
      <c r="CU385" s="346"/>
      <c r="CV385" s="337">
        <f t="shared" si="141"/>
        <v>16621.3</v>
      </c>
    </row>
    <row r="386" spans="1:100" hidden="1" x14ac:dyDescent="0.25">
      <c r="A386" s="335">
        <f t="shared" si="133"/>
        <v>36738</v>
      </c>
      <c r="B386" s="345">
        <v>36745</v>
      </c>
      <c r="C386" s="317">
        <f t="shared" si="127"/>
        <v>7</v>
      </c>
      <c r="E386" s="346">
        <v>4.3562999999999998E-2</v>
      </c>
      <c r="F386" s="339">
        <f>ROUND(((F385*SUM($C$10:C385))+(E386*C386))/SUM($C$10:C386),5)</f>
        <v>3.286E-2</v>
      </c>
      <c r="G386" s="316">
        <v>123.6</v>
      </c>
      <c r="I386" s="335">
        <f t="shared" si="134"/>
        <v>35696</v>
      </c>
      <c r="J386" s="345">
        <v>35699</v>
      </c>
      <c r="K386" s="317">
        <f t="shared" si="128"/>
        <v>3</v>
      </c>
      <c r="M386" s="346">
        <v>3.7539999999999997E-2</v>
      </c>
      <c r="N386" s="339">
        <f>ROUND(((N385*SUM($K$10:K385))+(M386*K386))/SUM($K$10:K386),5)</f>
        <v>3.2239999999999998E-2</v>
      </c>
      <c r="O386" s="348">
        <v>83.9</v>
      </c>
      <c r="Q386" s="335">
        <f t="shared" si="136"/>
        <v>36622</v>
      </c>
      <c r="R386" s="345">
        <v>36626</v>
      </c>
      <c r="S386" s="317">
        <f t="shared" si="129"/>
        <v>4</v>
      </c>
      <c r="U386" s="346">
        <v>3.6879000000000002E-2</v>
      </c>
      <c r="V386" s="339">
        <f>ROUND(((V385*SUM($S$10:S385))+(U386*S386))/SUM($S$10:S386),5)</f>
        <v>3.4169999999999999E-2</v>
      </c>
      <c r="W386" s="348">
        <v>67.03</v>
      </c>
      <c r="BB386" s="352"/>
      <c r="BE386" s="335">
        <f t="shared" si="131"/>
        <v>36025</v>
      </c>
      <c r="BF386" s="345">
        <v>36032</v>
      </c>
      <c r="BG386" s="317">
        <f t="shared" si="125"/>
        <v>7</v>
      </c>
      <c r="BH386" s="346">
        <v>3.4299999999999997E-2</v>
      </c>
      <c r="BI386" s="337">
        <f t="shared" si="126"/>
        <v>9867.125</v>
      </c>
      <c r="BK386" s="364"/>
      <c r="BO386" s="335">
        <f t="shared" si="132"/>
        <v>37973</v>
      </c>
      <c r="BP386" s="345">
        <v>37980</v>
      </c>
      <c r="BQ386" s="317">
        <f t="shared" si="137"/>
        <v>7</v>
      </c>
      <c r="BR386" s="347">
        <v>1.11E-2</v>
      </c>
      <c r="BS386" s="337">
        <f t="shared" si="124"/>
        <v>3618.9041099999999</v>
      </c>
      <c r="CH386" s="337"/>
      <c r="CL386" s="335">
        <f t="shared" si="130"/>
        <v>38932</v>
      </c>
      <c r="CM386" s="361">
        <v>38939</v>
      </c>
      <c r="CN386" s="317">
        <f t="shared" si="138"/>
        <v>7</v>
      </c>
      <c r="CO386" s="346">
        <v>3.44E-2</v>
      </c>
      <c r="CP386" s="346">
        <f t="shared" si="139"/>
        <v>0.24080000000000001</v>
      </c>
      <c r="CQ386" s="365">
        <v>3.5264499999999997E-2</v>
      </c>
      <c r="CR386" s="337">
        <f t="shared" si="140"/>
        <v>56359.917130000002</v>
      </c>
      <c r="CS386" s="346"/>
      <c r="CT386" s="346"/>
      <c r="CU386" s="346"/>
      <c r="CV386" s="337">
        <f t="shared" si="141"/>
        <v>54978.3</v>
      </c>
    </row>
    <row r="387" spans="1:100" hidden="1" x14ac:dyDescent="0.25">
      <c r="A387" s="335"/>
      <c r="B387" s="345"/>
      <c r="C387" s="317"/>
      <c r="E387" s="346"/>
      <c r="F387" s="339"/>
      <c r="I387" s="335"/>
      <c r="J387" s="345"/>
      <c r="K387" s="317"/>
      <c r="M387" s="346"/>
      <c r="N387" s="339"/>
      <c r="O387" s="348"/>
      <c r="Q387" s="335"/>
      <c r="R387" s="345"/>
      <c r="S387" s="317"/>
      <c r="U387" s="346"/>
      <c r="V387" s="339"/>
      <c r="W387" s="348"/>
      <c r="BB387" s="352"/>
      <c r="BE387" s="335"/>
      <c r="BF387" s="345"/>
      <c r="BG387" s="317"/>
      <c r="BH387" s="346"/>
      <c r="BI387" s="337"/>
      <c r="BK387" s="364"/>
      <c r="BO387" s="335">
        <f>BP386</f>
        <v>37980</v>
      </c>
      <c r="BP387" s="345">
        <v>37987</v>
      </c>
      <c r="BQ387" s="317">
        <f t="shared" si="137"/>
        <v>7</v>
      </c>
      <c r="BR387" s="347">
        <v>1.23E-2</v>
      </c>
      <c r="BS387" s="337">
        <f t="shared" si="124"/>
        <v>4010.136986</v>
      </c>
      <c r="BT387" s="341">
        <f>SUM(BS383:BS387)</f>
        <v>15784.383560999999</v>
      </c>
      <c r="CH387" s="337"/>
      <c r="CL387" s="335">
        <f t="shared" si="130"/>
        <v>38939</v>
      </c>
      <c r="CM387" s="361">
        <v>38946</v>
      </c>
      <c r="CN387" s="317">
        <f t="shared" si="138"/>
        <v>7</v>
      </c>
      <c r="CO387" s="346">
        <v>3.4200000000000001E-2</v>
      </c>
      <c r="CP387" s="346">
        <f t="shared" si="139"/>
        <v>0.2394</v>
      </c>
      <c r="CQ387" s="365">
        <v>3.5264499999999997E-2</v>
      </c>
      <c r="CR387" s="337">
        <f t="shared" si="140"/>
        <v>56359.917130000002</v>
      </c>
      <c r="CS387" s="346"/>
      <c r="CT387" s="346"/>
      <c r="CU387" s="346"/>
      <c r="CV387" s="337">
        <f t="shared" si="141"/>
        <v>54658.6</v>
      </c>
    </row>
    <row r="388" spans="1:100" hidden="1" x14ac:dyDescent="0.25">
      <c r="A388" s="335">
        <f>B386</f>
        <v>36745</v>
      </c>
      <c r="B388" s="345">
        <v>36753</v>
      </c>
      <c r="C388" s="317">
        <f t="shared" si="127"/>
        <v>8</v>
      </c>
      <c r="E388" s="346">
        <v>4.3560000000000001E-2</v>
      </c>
      <c r="F388" s="339">
        <f>ROUND(((F386*SUM($C$10:C386))+(E388*C388))/SUM($C$10:C388),5)</f>
        <v>3.2890000000000003E-2</v>
      </c>
      <c r="G388" s="316">
        <v>123.7</v>
      </c>
      <c r="I388" s="335">
        <f>J386</f>
        <v>35699</v>
      </c>
      <c r="J388" s="345">
        <v>35710</v>
      </c>
      <c r="K388" s="317">
        <f t="shared" si="128"/>
        <v>11</v>
      </c>
      <c r="M388" s="346">
        <v>3.7560000000000003E-2</v>
      </c>
      <c r="N388" s="339">
        <f>ROUND(((N386*SUM($K$10:K386))+(M388*K388))/SUM($K$10:K388),5)</f>
        <v>3.227E-2</v>
      </c>
      <c r="O388" s="348">
        <v>77.2</v>
      </c>
      <c r="Q388" s="335">
        <f>R386</f>
        <v>36626</v>
      </c>
      <c r="R388" s="345">
        <v>36630</v>
      </c>
      <c r="S388" s="317">
        <f t="shared" si="129"/>
        <v>4</v>
      </c>
      <c r="U388" s="346">
        <v>3.6954000000000001E-2</v>
      </c>
      <c r="V388" s="339">
        <f>ROUND(((V386*SUM($S$10:S386))+(U388*S388))/SUM($S$10:S388),5)</f>
        <v>3.4169999999999999E-2</v>
      </c>
      <c r="W388" s="348">
        <v>64.62</v>
      </c>
      <c r="BB388" s="352"/>
      <c r="BE388" s="335">
        <f>BF386</f>
        <v>36032</v>
      </c>
      <c r="BF388" s="345">
        <v>36039</v>
      </c>
      <c r="BG388" s="317">
        <f t="shared" si="125"/>
        <v>7</v>
      </c>
      <c r="BH388" s="346">
        <v>3.3500000000000002E-2</v>
      </c>
      <c r="BI388" s="337">
        <f t="shared" si="126"/>
        <v>9636.9850000000006</v>
      </c>
      <c r="BJ388" s="341">
        <f>SUM(BI383:BI388)</f>
        <v>42994.520000000004</v>
      </c>
      <c r="BK388" s="364">
        <v>44361.02</v>
      </c>
      <c r="BL388" s="341">
        <f>BJ388-BK388</f>
        <v>-1366.4999999999927</v>
      </c>
      <c r="BM388" s="341">
        <f>BM382+BL388</f>
        <v>26580.450000000048</v>
      </c>
      <c r="BO388" s="335">
        <f>BP387</f>
        <v>37987</v>
      </c>
      <c r="BP388" s="345">
        <v>37988</v>
      </c>
      <c r="BQ388" s="317">
        <f t="shared" si="137"/>
        <v>1</v>
      </c>
      <c r="BR388" s="347">
        <v>1.14E-2</v>
      </c>
      <c r="BS388" s="337">
        <f>ROUND($BS$5*BR388*BQ388/366,6)</f>
        <v>529.508197</v>
      </c>
      <c r="BT388" s="341" t="s">
        <v>35</v>
      </c>
      <c r="CH388" s="337"/>
      <c r="CL388" s="335">
        <f t="shared" si="130"/>
        <v>38946</v>
      </c>
      <c r="CM388" s="361">
        <v>38953</v>
      </c>
      <c r="CN388" s="317">
        <f t="shared" si="138"/>
        <v>7</v>
      </c>
      <c r="CO388" s="346">
        <v>3.6499999999999998E-2</v>
      </c>
      <c r="CP388" s="346">
        <f t="shared" si="139"/>
        <v>0.2555</v>
      </c>
      <c r="CQ388" s="365">
        <v>3.5264499999999997E-2</v>
      </c>
      <c r="CR388" s="337">
        <f t="shared" si="140"/>
        <v>56359.917130000002</v>
      </c>
      <c r="CS388" s="346"/>
      <c r="CT388" s="346"/>
      <c r="CU388" s="346"/>
      <c r="CV388" s="337">
        <f t="shared" si="141"/>
        <v>58334.5</v>
      </c>
    </row>
    <row r="389" spans="1:100" hidden="1" x14ac:dyDescent="0.25">
      <c r="A389" s="335">
        <f t="shared" si="133"/>
        <v>36753</v>
      </c>
      <c r="B389" s="345">
        <v>36760</v>
      </c>
      <c r="C389" s="317">
        <f t="shared" si="127"/>
        <v>7</v>
      </c>
      <c r="E389" s="346">
        <v>4.3725E-2</v>
      </c>
      <c r="F389" s="339">
        <f>ROUND(((F388*SUM($C$10:C388))+(E389*C389))/SUM($C$10:C389),5)</f>
        <v>3.2919999999999998E-2</v>
      </c>
      <c r="G389" s="316">
        <v>124.1</v>
      </c>
      <c r="I389" s="335">
        <f t="shared" si="134"/>
        <v>35710</v>
      </c>
      <c r="J389" s="345">
        <v>35711</v>
      </c>
      <c r="K389" s="317">
        <f t="shared" si="128"/>
        <v>1</v>
      </c>
      <c r="M389" s="346">
        <v>3.7490000000000002E-2</v>
      </c>
      <c r="N389" s="339">
        <f>ROUND(((N388*SUM($K$10:K388))+(M389*K389))/SUM($K$10:K389),5)</f>
        <v>3.227E-2</v>
      </c>
      <c r="O389" s="348">
        <v>80.3</v>
      </c>
      <c r="Q389" s="335">
        <f t="shared" si="136"/>
        <v>36630</v>
      </c>
      <c r="R389" s="345">
        <v>36636</v>
      </c>
      <c r="S389" s="317">
        <f t="shared" si="129"/>
        <v>6</v>
      </c>
      <c r="U389" s="346">
        <v>3.7157000000000003E-2</v>
      </c>
      <c r="V389" s="339">
        <f>ROUND(((V388*SUM($S$10:S388))+(U389*S389))/SUM($S$10:S389),5)</f>
        <v>3.4180000000000002E-2</v>
      </c>
      <c r="W389" s="348">
        <v>60.69</v>
      </c>
      <c r="BB389" s="352"/>
      <c r="BE389" s="335">
        <f t="shared" si="131"/>
        <v>36039</v>
      </c>
      <c r="BF389" s="345">
        <v>36046</v>
      </c>
      <c r="BG389" s="317">
        <f t="shared" si="125"/>
        <v>7</v>
      </c>
      <c r="BH389" s="346">
        <v>3.0200000000000001E-2</v>
      </c>
      <c r="BI389" s="337">
        <f t="shared" si="126"/>
        <v>8687.67</v>
      </c>
      <c r="BK389" s="364"/>
      <c r="BO389" s="335">
        <f t="shared" si="132"/>
        <v>37988</v>
      </c>
      <c r="BP389" s="345">
        <v>37994</v>
      </c>
      <c r="BQ389" s="317">
        <f t="shared" si="137"/>
        <v>6</v>
      </c>
      <c r="BR389" s="347">
        <v>1.14E-2</v>
      </c>
      <c r="BS389" s="337">
        <f>ROUND($BS$5*BR389*BQ389/366,6)</f>
        <v>3177.04918</v>
      </c>
      <c r="CH389" s="337"/>
      <c r="CL389" s="335">
        <f t="shared" si="130"/>
        <v>38953</v>
      </c>
      <c r="CM389" s="361">
        <v>38960</v>
      </c>
      <c r="CN389" s="317">
        <f t="shared" si="138"/>
        <v>7</v>
      </c>
      <c r="CO389" s="346">
        <v>3.5799999999999998E-2</v>
      </c>
      <c r="CP389" s="346">
        <f t="shared" si="139"/>
        <v>0.25059999999999999</v>
      </c>
      <c r="CQ389" s="365">
        <v>3.5264499999999997E-2</v>
      </c>
      <c r="CR389" s="337">
        <f t="shared" si="140"/>
        <v>56359.917130000002</v>
      </c>
      <c r="CS389" s="346"/>
      <c r="CT389" s="346"/>
      <c r="CU389" s="346"/>
      <c r="CV389" s="337">
        <f t="shared" si="141"/>
        <v>57215.8</v>
      </c>
    </row>
    <row r="390" spans="1:100" hidden="1" x14ac:dyDescent="0.25">
      <c r="A390" s="335">
        <f t="shared" si="133"/>
        <v>36760</v>
      </c>
      <c r="B390" s="345">
        <v>36767</v>
      </c>
      <c r="C390" s="317">
        <f t="shared" si="127"/>
        <v>7</v>
      </c>
      <c r="E390" s="346">
        <v>4.3727000000000002E-2</v>
      </c>
      <c r="F390" s="339">
        <f>ROUND(((F389*SUM($C$10:C389))+(E390*C390))/SUM($C$10:C390),5)</f>
        <v>3.295E-2</v>
      </c>
      <c r="G390" s="316">
        <v>124.1</v>
      </c>
      <c r="I390" s="335">
        <f t="shared" si="134"/>
        <v>35711</v>
      </c>
      <c r="J390" s="345">
        <v>35717</v>
      </c>
      <c r="K390" s="317">
        <f t="shared" si="128"/>
        <v>6</v>
      </c>
      <c r="M390" s="346">
        <v>3.7479999999999999E-2</v>
      </c>
      <c r="N390" s="339">
        <f>ROUND(((N389*SUM($K$10:K389))+(M390*K390))/SUM($K$10:K390),5)</f>
        <v>3.2289999999999999E-2</v>
      </c>
      <c r="O390" s="348">
        <v>84.7</v>
      </c>
      <c r="Q390" s="335">
        <f t="shared" si="136"/>
        <v>36636</v>
      </c>
      <c r="R390" s="345">
        <v>36647</v>
      </c>
      <c r="S390" s="317">
        <f t="shared" si="129"/>
        <v>11</v>
      </c>
      <c r="U390" s="346">
        <v>3.8129000000000003E-2</v>
      </c>
      <c r="V390" s="339">
        <f>ROUND(((V389*SUM($S$10:S389))+(U390*S390))/SUM($S$10:S390),5)</f>
        <v>3.4200000000000001E-2</v>
      </c>
      <c r="W390" s="348">
        <v>61.84</v>
      </c>
      <c r="BB390" s="352"/>
      <c r="BE390" s="335">
        <f t="shared" si="131"/>
        <v>36046</v>
      </c>
      <c r="BF390" s="345">
        <v>36053</v>
      </c>
      <c r="BG390" s="317">
        <f t="shared" si="125"/>
        <v>7</v>
      </c>
      <c r="BH390" s="346">
        <v>3.3500000000000002E-2</v>
      </c>
      <c r="BI390" s="337">
        <f t="shared" si="126"/>
        <v>9636.9850000000006</v>
      </c>
      <c r="BK390" s="364"/>
      <c r="BO390" s="335">
        <f t="shared" si="132"/>
        <v>37994</v>
      </c>
      <c r="BP390" s="345">
        <v>38001</v>
      </c>
      <c r="BQ390" s="317">
        <f t="shared" si="137"/>
        <v>7</v>
      </c>
      <c r="BR390" s="347">
        <v>9.1000000000000004E-3</v>
      </c>
      <c r="BS390" s="337">
        <f t="shared" ref="BS390:BS439" si="142">ROUND($BS$5*BR390*BQ390/366,6)</f>
        <v>2958.7431689999999</v>
      </c>
      <c r="CH390" s="337"/>
      <c r="CL390" s="335">
        <f t="shared" si="130"/>
        <v>38960</v>
      </c>
      <c r="CM390" s="361">
        <v>38961</v>
      </c>
      <c r="CN390" s="317">
        <f t="shared" si="138"/>
        <v>1</v>
      </c>
      <c r="CO390" s="346">
        <v>3.4099999999999998E-2</v>
      </c>
      <c r="CP390" s="346">
        <f t="shared" si="139"/>
        <v>3.4099999999999998E-2</v>
      </c>
      <c r="CQ390" s="365">
        <f>ROUND(SUM(CP385:CP390)/31,7)</f>
        <v>3.5264499999999997E-2</v>
      </c>
      <c r="CR390" s="337">
        <f t="shared" si="140"/>
        <v>8051.4167299999999</v>
      </c>
      <c r="CS390" s="337">
        <f>SUM(CR385:CR390)</f>
        <v>249593.91872000002</v>
      </c>
      <c r="CT390" s="337">
        <f>$CR$5*0.05495*30/360</f>
        <v>381604.85416666669</v>
      </c>
      <c r="CU390" s="366">
        <f>CS390-CT390+0.01</f>
        <v>-132010.92544666666</v>
      </c>
      <c r="CV390" s="337">
        <f t="shared" si="141"/>
        <v>7785.5</v>
      </c>
    </row>
    <row r="391" spans="1:100" hidden="1" x14ac:dyDescent="0.25">
      <c r="A391" s="335">
        <f t="shared" si="133"/>
        <v>36767</v>
      </c>
      <c r="B391" s="345">
        <v>36780</v>
      </c>
      <c r="C391" s="317">
        <f t="shared" si="127"/>
        <v>13</v>
      </c>
      <c r="E391" s="346">
        <v>4.3737999999999999E-2</v>
      </c>
      <c r="F391" s="339">
        <f>ROUND(((F390*SUM($C$10:C390))+(E391*C391))/SUM($C$10:C391),5)</f>
        <v>3.3000000000000002E-2</v>
      </c>
      <c r="G391" s="316">
        <v>124.6</v>
      </c>
      <c r="I391" s="335">
        <f t="shared" si="134"/>
        <v>35717</v>
      </c>
      <c r="J391" s="345">
        <v>35718</v>
      </c>
      <c r="K391" s="317">
        <f t="shared" si="128"/>
        <v>1</v>
      </c>
      <c r="M391" s="346">
        <v>3.7629999999999997E-2</v>
      </c>
      <c r="N391" s="339">
        <f>ROUND(((N390*SUM($K$10:K390))+(M391*K391))/SUM($K$10:K391),5)</f>
        <v>3.2289999999999999E-2</v>
      </c>
      <c r="O391" s="348">
        <v>89.4</v>
      </c>
      <c r="Q391" s="335">
        <f t="shared" si="136"/>
        <v>36647</v>
      </c>
      <c r="R391" s="345">
        <v>36648</v>
      </c>
      <c r="S391" s="317">
        <f t="shared" si="129"/>
        <v>1</v>
      </c>
      <c r="U391" s="346">
        <v>3.8669000000000002E-2</v>
      </c>
      <c r="V391" s="339">
        <f>ROUND(((V390*SUM($S$10:S390))+(U391*S391))/SUM($S$10:S391),5)</f>
        <v>3.4200000000000001E-2</v>
      </c>
      <c r="W391" s="348">
        <v>63.44</v>
      </c>
      <c r="BB391" s="352"/>
      <c r="BE391" s="335">
        <f t="shared" si="131"/>
        <v>36053</v>
      </c>
      <c r="BF391" s="345">
        <v>36060</v>
      </c>
      <c r="BG391" s="317">
        <f t="shared" si="125"/>
        <v>7</v>
      </c>
      <c r="BH391" s="346">
        <v>3.6799999999999999E-2</v>
      </c>
      <c r="BI391" s="337">
        <f t="shared" si="126"/>
        <v>10586.3</v>
      </c>
      <c r="BK391" s="364"/>
      <c r="BO391" s="335">
        <f t="shared" si="132"/>
        <v>38001</v>
      </c>
      <c r="BP391" s="345">
        <v>38008</v>
      </c>
      <c r="BQ391" s="317">
        <f t="shared" si="137"/>
        <v>7</v>
      </c>
      <c r="BR391" s="347">
        <v>9.4999999999999998E-3</v>
      </c>
      <c r="BS391" s="337">
        <f t="shared" si="142"/>
        <v>3088.797814</v>
      </c>
      <c r="CH391" s="337"/>
      <c r="CL391" s="335">
        <f t="shared" si="130"/>
        <v>38961</v>
      </c>
      <c r="CM391" s="361">
        <v>38967</v>
      </c>
      <c r="CN391" s="317">
        <f t="shared" si="138"/>
        <v>6</v>
      </c>
      <c r="CO391" s="346">
        <v>3.4099999999999998E-2</v>
      </c>
      <c r="CP391" s="346">
        <f t="shared" si="139"/>
        <v>0.2046</v>
      </c>
      <c r="CQ391" s="365">
        <v>3.54065E-2</v>
      </c>
      <c r="CR391" s="337">
        <f t="shared" si="140"/>
        <v>48503.024839999998</v>
      </c>
      <c r="CS391" s="346"/>
      <c r="CT391" s="346"/>
      <c r="CU391" s="346"/>
      <c r="CV391" s="337">
        <f t="shared" si="141"/>
        <v>46713.3</v>
      </c>
    </row>
    <row r="392" spans="1:100" hidden="1" x14ac:dyDescent="0.25">
      <c r="A392" s="335">
        <f t="shared" si="133"/>
        <v>36780</v>
      </c>
      <c r="B392" s="345">
        <v>36782</v>
      </c>
      <c r="C392" s="317">
        <f t="shared" si="127"/>
        <v>2</v>
      </c>
      <c r="E392" s="346">
        <v>4.3692000000000002E-2</v>
      </c>
      <c r="F392" s="339">
        <f>ROUND(((F391*SUM($C$10:C391))+(E392*C392))/SUM($C$10:C392),5)</f>
        <v>3.3009999999999998E-2</v>
      </c>
      <c r="G392" s="316">
        <v>124.5</v>
      </c>
      <c r="I392" s="335">
        <f t="shared" si="134"/>
        <v>35718</v>
      </c>
      <c r="J392" s="345">
        <v>35726</v>
      </c>
      <c r="K392" s="317">
        <f t="shared" si="128"/>
        <v>8</v>
      </c>
      <c r="M392" s="346">
        <v>3.7620000000000001E-2</v>
      </c>
      <c r="N392" s="339">
        <f>ROUND(((N391*SUM($K$10:K391))+(M392*K392))/SUM($K$10:K392),5)</f>
        <v>3.2309999999999998E-2</v>
      </c>
      <c r="O392" s="348">
        <v>87.5</v>
      </c>
      <c r="Q392" s="335">
        <f t="shared" si="136"/>
        <v>36648</v>
      </c>
      <c r="R392" s="345">
        <v>36649</v>
      </c>
      <c r="S392" s="317">
        <f t="shared" si="129"/>
        <v>1</v>
      </c>
      <c r="U392" s="346">
        <v>3.8703000000000001E-2</v>
      </c>
      <c r="V392" s="339">
        <f>ROUND(((V391*SUM($S$10:S391))+(U392*S392))/SUM($S$10:S392),5)</f>
        <v>3.4200000000000001E-2</v>
      </c>
      <c r="W392" s="348">
        <v>60.51</v>
      </c>
      <c r="BB392" s="352"/>
      <c r="BE392" s="335">
        <f t="shared" si="131"/>
        <v>36060</v>
      </c>
      <c r="BF392" s="345">
        <v>36067</v>
      </c>
      <c r="BG392" s="317">
        <f t="shared" si="125"/>
        <v>7</v>
      </c>
      <c r="BH392" s="346">
        <v>3.9E-2</v>
      </c>
      <c r="BI392" s="337">
        <f t="shared" si="126"/>
        <v>11219.18</v>
      </c>
      <c r="BK392" s="364"/>
      <c r="BO392" s="335">
        <f t="shared" si="132"/>
        <v>38008</v>
      </c>
      <c r="BP392" s="345">
        <v>38015</v>
      </c>
      <c r="BQ392" s="317">
        <f t="shared" si="137"/>
        <v>7</v>
      </c>
      <c r="BR392" s="347">
        <v>9.4000000000000004E-3</v>
      </c>
      <c r="BS392" s="337">
        <f t="shared" si="142"/>
        <v>3056.2841530000001</v>
      </c>
      <c r="CH392" s="337"/>
      <c r="CL392" s="335">
        <f t="shared" si="130"/>
        <v>38967</v>
      </c>
      <c r="CM392" s="361">
        <v>38974</v>
      </c>
      <c r="CN392" s="317">
        <f t="shared" si="138"/>
        <v>7</v>
      </c>
      <c r="CO392" s="346">
        <v>3.3500000000000002E-2</v>
      </c>
      <c r="CP392" s="346">
        <f t="shared" si="139"/>
        <v>0.23450000000000001</v>
      </c>
      <c r="CQ392" s="365">
        <v>3.54065E-2</v>
      </c>
      <c r="CR392" s="337">
        <f t="shared" si="140"/>
        <v>56586.862309999997</v>
      </c>
      <c r="CS392" s="346"/>
      <c r="CT392" s="346"/>
      <c r="CU392" s="346"/>
      <c r="CV392" s="337">
        <f t="shared" si="141"/>
        <v>53539.9</v>
      </c>
    </row>
    <row r="393" spans="1:100" hidden="1" x14ac:dyDescent="0.25">
      <c r="A393" s="335">
        <f t="shared" si="133"/>
        <v>36782</v>
      </c>
      <c r="B393" s="345">
        <v>36811</v>
      </c>
      <c r="C393" s="317">
        <f t="shared" si="127"/>
        <v>29</v>
      </c>
      <c r="E393" s="346">
        <v>4.4303000000000002E-2</v>
      </c>
      <c r="F393" s="339">
        <f>ROUND(((F392*SUM($C$10:C392))+(E393*C393))/SUM($C$10:C393),5)</f>
        <v>3.3119999999999997E-2</v>
      </c>
      <c r="G393" s="316">
        <v>105.3</v>
      </c>
      <c r="I393" s="335">
        <f t="shared" si="134"/>
        <v>35726</v>
      </c>
      <c r="J393" s="345">
        <v>35733</v>
      </c>
      <c r="K393" s="317">
        <f t="shared" si="128"/>
        <v>7</v>
      </c>
      <c r="M393" s="346">
        <v>3.7620000000000001E-2</v>
      </c>
      <c r="N393" s="339">
        <f>ROUND(((N392*SUM($K$10:K392))+(M393*K393))/SUM($K$10:K393),5)</f>
        <v>3.2329999999999998E-2</v>
      </c>
      <c r="O393" s="348">
        <v>86.6</v>
      </c>
      <c r="Q393" s="335">
        <f t="shared" si="136"/>
        <v>36649</v>
      </c>
      <c r="R393" s="345">
        <v>36650</v>
      </c>
      <c r="S393" s="317">
        <f t="shared" si="129"/>
        <v>1</v>
      </c>
      <c r="U393" s="346">
        <v>3.9141000000000002E-2</v>
      </c>
      <c r="V393" s="339">
        <f>ROUND(((V392*SUM($S$10:S392))+(U393*S393))/SUM($S$10:S393),5)</f>
        <v>3.4200000000000001E-2</v>
      </c>
      <c r="W393" s="348">
        <v>60.7</v>
      </c>
      <c r="BB393" s="352"/>
      <c r="BE393" s="335">
        <f t="shared" si="131"/>
        <v>36067</v>
      </c>
      <c r="BF393" s="345">
        <v>36069</v>
      </c>
      <c r="BG393" s="317">
        <f t="shared" ref="BG393:BG454" si="143">BF393-BE393</f>
        <v>2</v>
      </c>
      <c r="BH393" s="346">
        <v>3.6999999999999998E-2</v>
      </c>
      <c r="BI393" s="337">
        <f t="shared" ref="BI393:BI454" si="144">ROUND($BI$5*BH393*BG393/365,2)/2</f>
        <v>3041.0949999999998</v>
      </c>
      <c r="BJ393" s="341">
        <f>SUM(BI389:BI393)</f>
        <v>43171.229999999996</v>
      </c>
      <c r="BK393" s="364">
        <v>42596.55</v>
      </c>
      <c r="BL393" s="341">
        <f>BJ393-BK393</f>
        <v>574.67999999999302</v>
      </c>
      <c r="BM393" s="341">
        <f>BM388+BL393</f>
        <v>27155.130000000041</v>
      </c>
      <c r="BO393" s="335">
        <f t="shared" si="132"/>
        <v>38015</v>
      </c>
      <c r="BP393" s="345">
        <v>38018</v>
      </c>
      <c r="BQ393" s="317">
        <f t="shared" si="137"/>
        <v>3</v>
      </c>
      <c r="BR393" s="347">
        <v>9.4999999999999998E-3</v>
      </c>
      <c r="BS393" s="337">
        <f>ROUND($BS$5*BR393*BQ393/366,6)</f>
        <v>1323.7704920000001</v>
      </c>
      <c r="BT393" s="341">
        <f>SUM(BS388:BS393)</f>
        <v>14134.153005</v>
      </c>
      <c r="CH393" s="337"/>
      <c r="CL393" s="335">
        <f t="shared" si="130"/>
        <v>38974</v>
      </c>
      <c r="CM393" s="361">
        <v>38981</v>
      </c>
      <c r="CN393" s="317">
        <f t="shared" si="138"/>
        <v>7</v>
      </c>
      <c r="CO393" s="346">
        <v>3.5400000000000001E-2</v>
      </c>
      <c r="CP393" s="346">
        <f t="shared" si="139"/>
        <v>0.24780000000000002</v>
      </c>
      <c r="CQ393" s="365">
        <v>3.54065E-2</v>
      </c>
      <c r="CR393" s="337">
        <f t="shared" si="140"/>
        <v>56586.862309999997</v>
      </c>
      <c r="CS393" s="346"/>
      <c r="CT393" s="346"/>
      <c r="CU393" s="346"/>
      <c r="CV393" s="337">
        <f t="shared" si="141"/>
        <v>56576.5</v>
      </c>
    </row>
    <row r="394" spans="1:100" hidden="1" x14ac:dyDescent="0.25">
      <c r="A394" s="335">
        <f t="shared" si="133"/>
        <v>36811</v>
      </c>
      <c r="B394" s="345">
        <v>36824</v>
      </c>
      <c r="C394" s="317">
        <f t="shared" ref="C394:C425" si="145">B394-A394</f>
        <v>13</v>
      </c>
      <c r="E394" s="346">
        <v>4.4227000000000002E-2</v>
      </c>
      <c r="F394" s="339">
        <f>ROUND(((F393*SUM($C$10:C393))+(E394*C394))/SUM($C$10:C394),5)</f>
        <v>3.3169999999999998E-2</v>
      </c>
      <c r="G394" s="348">
        <v>99.03</v>
      </c>
      <c r="I394" s="335">
        <f t="shared" si="134"/>
        <v>35733</v>
      </c>
      <c r="J394" s="345">
        <v>35738</v>
      </c>
      <c r="K394" s="317">
        <f t="shared" ref="K394:K457" si="146">J394-I394</f>
        <v>5</v>
      </c>
      <c r="M394" s="346">
        <v>3.7620000000000001E-2</v>
      </c>
      <c r="N394" s="339">
        <f>ROUND(((N393*SUM($K$10:K393))+(M394*K394))/SUM($K$10:K394),5)</f>
        <v>3.2340000000000001E-2</v>
      </c>
      <c r="O394" s="348">
        <v>84.2</v>
      </c>
      <c r="Q394" s="335">
        <f t="shared" si="136"/>
        <v>36650</v>
      </c>
      <c r="R394" s="345">
        <v>36651</v>
      </c>
      <c r="S394" s="317">
        <f t="shared" ref="S394:S411" si="147">R394-Q394</f>
        <v>1</v>
      </c>
      <c r="U394" s="346">
        <v>3.9142999999999997E-2</v>
      </c>
      <c r="V394" s="339">
        <f>ROUND(((V393*SUM($S$10:S393))+(U394*S394))/SUM($S$10:S394),5)</f>
        <v>3.4200000000000001E-2</v>
      </c>
      <c r="W394" s="348">
        <v>60.7</v>
      </c>
      <c r="BB394" s="352"/>
      <c r="BE394" s="335">
        <f t="shared" si="131"/>
        <v>36069</v>
      </c>
      <c r="BF394" s="345">
        <v>36074</v>
      </c>
      <c r="BG394" s="317">
        <f t="shared" si="143"/>
        <v>5</v>
      </c>
      <c r="BH394" s="346">
        <v>3.6999999999999998E-2</v>
      </c>
      <c r="BI394" s="337">
        <f t="shared" si="144"/>
        <v>7602.74</v>
      </c>
      <c r="BK394" s="364"/>
      <c r="BO394" s="335">
        <f t="shared" si="132"/>
        <v>38018</v>
      </c>
      <c r="BP394" s="345">
        <v>38022</v>
      </c>
      <c r="BQ394" s="317">
        <f t="shared" si="137"/>
        <v>4</v>
      </c>
      <c r="BR394" s="347">
        <v>9.4999999999999998E-3</v>
      </c>
      <c r="BS394" s="337">
        <f t="shared" si="142"/>
        <v>1765.0273219999999</v>
      </c>
      <c r="BT394" s="350" t="s">
        <v>35</v>
      </c>
      <c r="CH394" s="337"/>
      <c r="CL394" s="335">
        <f>CM393</f>
        <v>38981</v>
      </c>
      <c r="CM394" s="361">
        <v>38988</v>
      </c>
      <c r="CN394" s="317">
        <f t="shared" si="138"/>
        <v>7</v>
      </c>
      <c r="CO394" s="346">
        <v>3.73E-2</v>
      </c>
      <c r="CP394" s="346">
        <f t="shared" si="139"/>
        <v>0.2611</v>
      </c>
      <c r="CQ394" s="365">
        <v>3.54065E-2</v>
      </c>
      <c r="CR394" s="337">
        <f t="shared" si="140"/>
        <v>56586.862309999997</v>
      </c>
      <c r="CS394" s="346"/>
      <c r="CT394" s="346"/>
      <c r="CU394" s="346"/>
      <c r="CV394" s="337">
        <f t="shared" si="141"/>
        <v>59613.1</v>
      </c>
    </row>
    <row r="395" spans="1:100" hidden="1" x14ac:dyDescent="0.25">
      <c r="A395" s="335">
        <f t="shared" si="133"/>
        <v>36824</v>
      </c>
      <c r="B395" s="345">
        <v>36837</v>
      </c>
      <c r="C395" s="317">
        <f t="shared" si="145"/>
        <v>13</v>
      </c>
      <c r="E395" s="346">
        <v>4.4061999999999997E-2</v>
      </c>
      <c r="F395" s="339">
        <f>ROUND(((F394*SUM($C$10:C394))+(E395*C395))/SUM($C$10:C395),5)</f>
        <v>3.322E-2</v>
      </c>
      <c r="G395" s="348">
        <v>90.61</v>
      </c>
      <c r="I395" s="335">
        <f t="shared" si="134"/>
        <v>35738</v>
      </c>
      <c r="J395" s="345">
        <v>35744</v>
      </c>
      <c r="K395" s="317">
        <f t="shared" si="146"/>
        <v>6</v>
      </c>
      <c r="M395" s="346">
        <v>3.7620000000000001E-2</v>
      </c>
      <c r="N395" s="339">
        <f>ROUND(((N394*SUM($K$10:K394))+(M395*K395))/SUM($K$10:K395),5)</f>
        <v>3.236E-2</v>
      </c>
      <c r="O395" s="348">
        <v>85.1</v>
      </c>
      <c r="Q395" s="335">
        <f t="shared" si="136"/>
        <v>36651</v>
      </c>
      <c r="R395" s="345">
        <v>36654</v>
      </c>
      <c r="S395" s="317">
        <f t="shared" si="147"/>
        <v>3</v>
      </c>
      <c r="U395" s="346">
        <v>4.1026E-2</v>
      </c>
      <c r="V395" s="339">
        <f>ROUND(((V394*SUM($S$10:S394))+(U395*S395))/SUM($S$10:S395),5)</f>
        <v>3.4209999999999997E-2</v>
      </c>
      <c r="W395" s="348">
        <v>65.14</v>
      </c>
      <c r="BB395" s="352"/>
      <c r="BE395" s="335">
        <f t="shared" si="131"/>
        <v>36074</v>
      </c>
      <c r="BF395" s="345">
        <v>36081</v>
      </c>
      <c r="BG395" s="317">
        <f t="shared" si="143"/>
        <v>7</v>
      </c>
      <c r="BH395" s="346">
        <v>3.2500000000000001E-2</v>
      </c>
      <c r="BI395" s="337">
        <f t="shared" si="144"/>
        <v>9349.3150000000005</v>
      </c>
      <c r="BK395" s="364"/>
      <c r="BO395" s="335">
        <f t="shared" si="132"/>
        <v>38022</v>
      </c>
      <c r="BP395" s="345">
        <v>38029</v>
      </c>
      <c r="BQ395" s="317">
        <f t="shared" si="137"/>
        <v>7</v>
      </c>
      <c r="BR395" s="347">
        <v>8.8000000000000005E-3</v>
      </c>
      <c r="BS395" s="337">
        <f t="shared" si="142"/>
        <v>2861.202186</v>
      </c>
      <c r="CH395" s="337"/>
      <c r="CL395" s="335">
        <f>CM394</f>
        <v>38988</v>
      </c>
      <c r="CM395" s="361">
        <v>38992</v>
      </c>
      <c r="CN395" s="317">
        <f t="shared" si="138"/>
        <v>4</v>
      </c>
      <c r="CO395" s="346">
        <v>3.7400000000000003E-2</v>
      </c>
      <c r="CP395" s="346">
        <f t="shared" si="139"/>
        <v>0.14960000000000001</v>
      </c>
      <c r="CQ395" s="365">
        <f>ROUND(SUM(CP391:CP395)/31,7)</f>
        <v>3.54065E-2</v>
      </c>
      <c r="CR395" s="337">
        <f t="shared" si="140"/>
        <v>32335.349890000001</v>
      </c>
      <c r="CS395" s="337">
        <f>SUM(CR391:CR395)</f>
        <v>250598.96166</v>
      </c>
      <c r="CT395" s="337">
        <f>$CR$5*0.05495*31/360</f>
        <v>394325.0159722222</v>
      </c>
      <c r="CU395" s="366">
        <f>CS395-CT395-0.01</f>
        <v>-143726.06431222221</v>
      </c>
      <c r="CV395" s="337">
        <f t="shared" si="141"/>
        <v>34155.9</v>
      </c>
    </row>
    <row r="396" spans="1:100" hidden="1" x14ac:dyDescent="0.25">
      <c r="A396" s="335">
        <f t="shared" si="133"/>
        <v>36837</v>
      </c>
      <c r="B396" s="345">
        <v>36838</v>
      </c>
      <c r="C396" s="317">
        <f t="shared" si="145"/>
        <v>1</v>
      </c>
      <c r="E396" s="346">
        <v>4.4070999999999999E-2</v>
      </c>
      <c r="F396" s="339">
        <f>ROUND(((F395*SUM($C$10:C395))+(E396*C396))/SUM($C$10:C396),5)</f>
        <v>3.322E-2</v>
      </c>
      <c r="G396" s="348">
        <v>95.55</v>
      </c>
      <c r="I396" s="335">
        <f t="shared" si="134"/>
        <v>35744</v>
      </c>
      <c r="J396" s="345">
        <v>35747</v>
      </c>
      <c r="K396" s="317">
        <f t="shared" si="146"/>
        <v>3</v>
      </c>
      <c r="M396" s="346">
        <v>3.764E-2</v>
      </c>
      <c r="N396" s="339">
        <f>ROUND(((N395*SUM($K$10:K395))+(M396*K396))/SUM($K$10:K396),5)</f>
        <v>3.2370000000000003E-2</v>
      </c>
      <c r="O396" s="348">
        <v>85.6</v>
      </c>
      <c r="Q396" s="335">
        <f t="shared" si="136"/>
        <v>36654</v>
      </c>
      <c r="R396" s="345">
        <v>36679</v>
      </c>
      <c r="S396" s="317">
        <f t="shared" si="147"/>
        <v>25</v>
      </c>
      <c r="U396" s="346">
        <v>4.2757999999999997E-2</v>
      </c>
      <c r="V396" s="339">
        <f>ROUND(((V395*SUM($S$10:S395))+(U396*S396))/SUM($S$10:S396),5)</f>
        <v>3.4299999999999997E-2</v>
      </c>
      <c r="W396" s="348">
        <v>68.89</v>
      </c>
      <c r="BB396" s="352"/>
      <c r="BE396" s="335">
        <f t="shared" si="131"/>
        <v>36081</v>
      </c>
      <c r="BF396" s="345">
        <v>36088</v>
      </c>
      <c r="BG396" s="317">
        <f t="shared" si="143"/>
        <v>7</v>
      </c>
      <c r="BH396" s="346">
        <v>3.3500000000000002E-2</v>
      </c>
      <c r="BI396" s="337">
        <f t="shared" si="144"/>
        <v>9636.9850000000006</v>
      </c>
      <c r="BK396" s="364"/>
      <c r="BO396" s="335">
        <f t="shared" si="132"/>
        <v>38029</v>
      </c>
      <c r="BP396" s="345">
        <v>38036</v>
      </c>
      <c r="BQ396" s="317">
        <f t="shared" si="137"/>
        <v>7</v>
      </c>
      <c r="BR396" s="347">
        <v>9.4000000000000004E-3</v>
      </c>
      <c r="BS396" s="337">
        <f t="shared" si="142"/>
        <v>3056.2841530000001</v>
      </c>
      <c r="CH396" s="337"/>
      <c r="CL396" s="335">
        <f t="shared" ref="CL396:CL459" si="148">CM395</f>
        <v>38992</v>
      </c>
      <c r="CM396" s="361">
        <v>38995</v>
      </c>
      <c r="CN396" s="317">
        <f t="shared" si="138"/>
        <v>3</v>
      </c>
      <c r="CO396" s="346">
        <v>3.7400000000000003E-2</v>
      </c>
      <c r="CP396" s="346">
        <f t="shared" si="139"/>
        <v>0.11220000000000001</v>
      </c>
      <c r="CQ396" s="367">
        <v>3.5243299999999998E-2</v>
      </c>
      <c r="CR396" s="337">
        <f t="shared" si="140"/>
        <v>24139.729360000001</v>
      </c>
      <c r="CS396" s="346"/>
      <c r="CT396" s="346"/>
      <c r="CU396" s="346"/>
      <c r="CV396" s="337">
        <f t="shared" si="141"/>
        <v>25617</v>
      </c>
    </row>
    <row r="397" spans="1:100" hidden="1" x14ac:dyDescent="0.25">
      <c r="A397" s="335">
        <f t="shared" si="133"/>
        <v>36838</v>
      </c>
      <c r="B397" s="345">
        <v>36844</v>
      </c>
      <c r="C397" s="317">
        <f t="shared" si="145"/>
        <v>6</v>
      </c>
      <c r="E397" s="346">
        <v>4.4011000000000002E-2</v>
      </c>
      <c r="F397" s="339">
        <f>ROUND(((F396*SUM($C$10:C396))+(E397*C397))/SUM($C$10:C397),5)</f>
        <v>3.3239999999999999E-2</v>
      </c>
      <c r="G397" s="348">
        <v>97.81</v>
      </c>
      <c r="I397" s="335">
        <f t="shared" si="134"/>
        <v>35747</v>
      </c>
      <c r="J397" s="345">
        <v>35748</v>
      </c>
      <c r="K397" s="317">
        <f t="shared" si="146"/>
        <v>1</v>
      </c>
      <c r="M397" s="346">
        <v>3.7650000000000003E-2</v>
      </c>
      <c r="N397" s="339">
        <f>ROUND(((N396*SUM($K$10:K396))+(M397*K397))/SUM($K$10:K397),5)</f>
        <v>3.2370000000000003E-2</v>
      </c>
      <c r="O397" s="348">
        <v>84.8</v>
      </c>
      <c r="Q397" s="335">
        <f t="shared" si="136"/>
        <v>36679</v>
      </c>
      <c r="R397" s="345">
        <v>36684</v>
      </c>
      <c r="S397" s="317">
        <f t="shared" si="147"/>
        <v>5</v>
      </c>
      <c r="U397" s="346">
        <v>4.2581000000000001E-2</v>
      </c>
      <c r="V397" s="339">
        <f>ROUND(((V396*SUM($S$10:S396))+(U397*S397))/SUM($S$10:S397),5)</f>
        <v>3.4320000000000003E-2</v>
      </c>
      <c r="W397" s="348">
        <v>69.37</v>
      </c>
      <c r="BB397" s="352"/>
      <c r="BE397" s="335">
        <f t="shared" si="131"/>
        <v>36088</v>
      </c>
      <c r="BF397" s="345">
        <v>36095</v>
      </c>
      <c r="BG397" s="317">
        <f t="shared" si="143"/>
        <v>7</v>
      </c>
      <c r="BH397" s="346">
        <v>3.15E-2</v>
      </c>
      <c r="BI397" s="337">
        <f t="shared" si="144"/>
        <v>9061.6450000000004</v>
      </c>
      <c r="BJ397" s="341" t="s">
        <v>35</v>
      </c>
      <c r="BK397" s="364" t="s">
        <v>35</v>
      </c>
      <c r="BL397" s="341" t="s">
        <v>35</v>
      </c>
      <c r="BM397" s="341" t="s">
        <v>35</v>
      </c>
      <c r="BO397" s="335">
        <f t="shared" si="132"/>
        <v>38036</v>
      </c>
      <c r="BP397" s="345">
        <v>38043</v>
      </c>
      <c r="BQ397" s="317">
        <f t="shared" si="137"/>
        <v>7</v>
      </c>
      <c r="BR397" s="347">
        <v>9.4999999999999998E-3</v>
      </c>
      <c r="BS397" s="337">
        <f t="shared" si="142"/>
        <v>3088.797814</v>
      </c>
      <c r="CH397" s="337"/>
      <c r="CL397" s="335">
        <f t="shared" si="148"/>
        <v>38995</v>
      </c>
      <c r="CM397" s="361">
        <v>39002</v>
      </c>
      <c r="CN397" s="317">
        <f t="shared" si="138"/>
        <v>7</v>
      </c>
      <c r="CO397" s="346">
        <v>3.3700000000000001E-2</v>
      </c>
      <c r="CP397" s="346">
        <f t="shared" si="139"/>
        <v>0.2359</v>
      </c>
      <c r="CQ397" s="367">
        <v>3.5243299999999998E-2</v>
      </c>
      <c r="CR397" s="337">
        <f t="shared" si="140"/>
        <v>56326.035170000003</v>
      </c>
      <c r="CV397" s="337">
        <f t="shared" si="141"/>
        <v>53859.5</v>
      </c>
    </row>
    <row r="398" spans="1:100" hidden="1" x14ac:dyDescent="0.25">
      <c r="A398" s="335">
        <f t="shared" si="133"/>
        <v>36844</v>
      </c>
      <c r="B398" s="345">
        <v>36867</v>
      </c>
      <c r="C398" s="317">
        <f t="shared" si="145"/>
        <v>23</v>
      </c>
      <c r="E398" s="346">
        <v>4.4400000000000002E-2</v>
      </c>
      <c r="F398" s="339">
        <f>ROUND(((F397*SUM($C$10:C397))+(E398*C398))/SUM($C$10:C398),5)</f>
        <v>3.3329999999999999E-2</v>
      </c>
      <c r="G398" s="348">
        <v>81.52</v>
      </c>
      <c r="I398" s="335">
        <f t="shared" si="134"/>
        <v>35748</v>
      </c>
      <c r="J398" s="345">
        <v>35751</v>
      </c>
      <c r="K398" s="317">
        <f t="shared" si="146"/>
        <v>3</v>
      </c>
      <c r="M398" s="346">
        <v>3.7670000000000002E-2</v>
      </c>
      <c r="N398" s="339">
        <f>ROUND(((N397*SUM($K$10:K397))+(M398*K398))/SUM($K$10:K398),5)</f>
        <v>3.2379999999999999E-2</v>
      </c>
      <c r="O398" s="348">
        <v>86.2</v>
      </c>
      <c r="Q398" s="335">
        <f t="shared" si="136"/>
        <v>36684</v>
      </c>
      <c r="R398" s="345">
        <v>36685</v>
      </c>
      <c r="S398" s="317">
        <f t="shared" si="147"/>
        <v>1</v>
      </c>
      <c r="U398" s="346">
        <v>4.2425999999999998E-2</v>
      </c>
      <c r="V398" s="339">
        <f>ROUND(((V397*SUM($S$10:S397))+(U398*S398))/SUM($S$10:S398),5)</f>
        <v>3.4320000000000003E-2</v>
      </c>
      <c r="W398" s="348">
        <v>68.98</v>
      </c>
      <c r="BB398" s="352"/>
      <c r="BE398" s="335">
        <f t="shared" si="131"/>
        <v>36095</v>
      </c>
      <c r="BF398" s="345">
        <v>36100</v>
      </c>
      <c r="BG398" s="317">
        <f t="shared" si="143"/>
        <v>5</v>
      </c>
      <c r="BH398" s="347">
        <v>3.2000000000000001E-2</v>
      </c>
      <c r="BI398" s="337">
        <f t="shared" si="144"/>
        <v>6575.34</v>
      </c>
      <c r="BJ398" s="341">
        <f>SUM(BI394:BI398)</f>
        <v>42226.024999999994</v>
      </c>
      <c r="BK398" s="364">
        <v>43389.3</v>
      </c>
      <c r="BL398" s="341">
        <f>BJ398-BK398</f>
        <v>-1163.2750000000087</v>
      </c>
      <c r="BM398" s="341">
        <f>BM393+BL398</f>
        <v>25991.855000000032</v>
      </c>
      <c r="BO398" s="335">
        <f t="shared" si="132"/>
        <v>38043</v>
      </c>
      <c r="BP398" s="345">
        <v>38047</v>
      </c>
      <c r="BQ398" s="317">
        <f t="shared" si="137"/>
        <v>4</v>
      </c>
      <c r="BR398" s="347">
        <v>9.4000000000000004E-3</v>
      </c>
      <c r="BS398" s="337">
        <f t="shared" si="142"/>
        <v>1746.448087</v>
      </c>
      <c r="BT398" s="341">
        <f>SUM(BS394:BS398)</f>
        <v>12517.759562000001</v>
      </c>
      <c r="CH398" s="337"/>
      <c r="CL398" s="335">
        <f t="shared" si="148"/>
        <v>39002</v>
      </c>
      <c r="CM398" s="361">
        <v>39009</v>
      </c>
      <c r="CN398" s="317">
        <f t="shared" si="138"/>
        <v>7</v>
      </c>
      <c r="CO398" s="346">
        <v>3.5099999999999999E-2</v>
      </c>
      <c r="CP398" s="346">
        <f t="shared" si="139"/>
        <v>0.2457</v>
      </c>
      <c r="CQ398" s="367">
        <v>3.5243299999999998E-2</v>
      </c>
      <c r="CR398" s="337">
        <f t="shared" si="140"/>
        <v>56326.035170000003</v>
      </c>
      <c r="CV398" s="337">
        <f t="shared" si="141"/>
        <v>56097</v>
      </c>
    </row>
    <row r="399" spans="1:100" hidden="1" x14ac:dyDescent="0.25">
      <c r="A399" s="335">
        <f t="shared" si="133"/>
        <v>36867</v>
      </c>
      <c r="B399" s="345">
        <v>36871</v>
      </c>
      <c r="C399" s="317">
        <f t="shared" si="145"/>
        <v>4</v>
      </c>
      <c r="E399" s="346">
        <v>4.4309000000000001E-2</v>
      </c>
      <c r="F399" s="339">
        <f>ROUND(((F398*SUM($C$10:C398))+(E399*C399))/SUM($C$10:C399),5)</f>
        <v>3.3340000000000002E-2</v>
      </c>
      <c r="G399" s="348">
        <v>78.709999999999994</v>
      </c>
      <c r="I399" s="335">
        <f t="shared" si="134"/>
        <v>35751</v>
      </c>
      <c r="J399" s="345">
        <v>35753</v>
      </c>
      <c r="K399" s="317">
        <f t="shared" si="146"/>
        <v>2</v>
      </c>
      <c r="M399" s="346">
        <v>3.7780000000000001E-2</v>
      </c>
      <c r="N399" s="339">
        <f>ROUND(((N398*SUM($K$10:K398))+(M399*K399))/SUM($K$10:K399),5)</f>
        <v>3.2390000000000002E-2</v>
      </c>
      <c r="O399" s="348">
        <v>90.7</v>
      </c>
      <c r="Q399" s="335">
        <f t="shared" si="136"/>
        <v>36685</v>
      </c>
      <c r="R399" s="345">
        <v>36686</v>
      </c>
      <c r="S399" s="317">
        <f t="shared" si="147"/>
        <v>1</v>
      </c>
      <c r="U399" s="346">
        <v>4.0596E-2</v>
      </c>
      <c r="V399" s="339">
        <f>ROUND(((V398*SUM($S$10:S398))+(U399*S399))/SUM($S$10:S399),5)</f>
        <v>3.4320000000000003E-2</v>
      </c>
      <c r="W399" s="348">
        <v>69.84</v>
      </c>
      <c r="BB399" s="352"/>
      <c r="BE399" s="335">
        <f t="shared" si="131"/>
        <v>36100</v>
      </c>
      <c r="BF399" s="345">
        <v>36102</v>
      </c>
      <c r="BG399" s="317">
        <f t="shared" si="143"/>
        <v>2</v>
      </c>
      <c r="BH399" s="347">
        <v>3.2000000000000001E-2</v>
      </c>
      <c r="BI399" s="337">
        <f t="shared" si="144"/>
        <v>2630.1350000000002</v>
      </c>
      <c r="BK399" s="364"/>
      <c r="BO399" s="335">
        <f t="shared" si="132"/>
        <v>38047</v>
      </c>
      <c r="BP399" s="345">
        <v>38050</v>
      </c>
      <c r="BQ399" s="317">
        <f t="shared" si="137"/>
        <v>3</v>
      </c>
      <c r="BR399" s="347">
        <v>9.4000000000000004E-3</v>
      </c>
      <c r="BS399" s="337">
        <f t="shared" si="142"/>
        <v>1309.8360660000001</v>
      </c>
      <c r="CH399" s="337"/>
      <c r="CL399" s="335">
        <f t="shared" si="148"/>
        <v>39009</v>
      </c>
      <c r="CM399" s="361">
        <v>39016</v>
      </c>
      <c r="CN399" s="317">
        <f t="shared" si="138"/>
        <v>7</v>
      </c>
      <c r="CO399" s="346">
        <v>3.5699999999999996E-2</v>
      </c>
      <c r="CP399" s="346">
        <f t="shared" si="139"/>
        <v>0.24989999999999996</v>
      </c>
      <c r="CQ399" s="367">
        <v>3.5243299999999998E-2</v>
      </c>
      <c r="CR399" s="337">
        <f t="shared" si="140"/>
        <v>56326.035170000003</v>
      </c>
      <c r="CV399" s="337">
        <f t="shared" si="141"/>
        <v>57055.9</v>
      </c>
    </row>
    <row r="400" spans="1:100" hidden="1" x14ac:dyDescent="0.25">
      <c r="A400" s="335">
        <f t="shared" si="133"/>
        <v>36871</v>
      </c>
      <c r="B400" s="345">
        <v>36874</v>
      </c>
      <c r="C400" s="317">
        <f t="shared" si="145"/>
        <v>3</v>
      </c>
      <c r="E400" s="346">
        <v>4.4493999999999999E-2</v>
      </c>
      <c r="F400" s="339">
        <f>ROUND(((F399*SUM($C$10:C399))+(E400*C400))/SUM($C$10:C400),5)</f>
        <v>3.3349999999999998E-2</v>
      </c>
      <c r="G400" s="348">
        <v>66.13</v>
      </c>
      <c r="I400" s="335">
        <f t="shared" si="134"/>
        <v>35753</v>
      </c>
      <c r="J400" s="345">
        <v>35754</v>
      </c>
      <c r="K400" s="317">
        <f t="shared" si="146"/>
        <v>1</v>
      </c>
      <c r="M400" s="346">
        <v>3.7769999999999998E-2</v>
      </c>
      <c r="N400" s="339">
        <f>ROUND(((N399*SUM($K$10:K399))+(M400*K400))/SUM($K$10:K400),5)</f>
        <v>3.2390000000000002E-2</v>
      </c>
      <c r="O400" s="348">
        <v>89.5</v>
      </c>
      <c r="Q400" s="335">
        <f t="shared" si="136"/>
        <v>36686</v>
      </c>
      <c r="R400" s="345">
        <v>36691</v>
      </c>
      <c r="S400" s="317">
        <f t="shared" si="147"/>
        <v>5</v>
      </c>
      <c r="U400" s="346">
        <v>3.9802999999999998E-2</v>
      </c>
      <c r="V400" s="339">
        <f>ROUND(((V399*SUM($S$10:S399))+(U400*S400))/SUM($S$10:S400),5)</f>
        <v>3.4329999999999999E-2</v>
      </c>
      <c r="W400" s="348">
        <v>69.48</v>
      </c>
      <c r="BB400" s="352"/>
      <c r="BE400" s="335">
        <f t="shared" si="131"/>
        <v>36102</v>
      </c>
      <c r="BF400" s="345">
        <v>36109</v>
      </c>
      <c r="BG400" s="317">
        <f t="shared" si="143"/>
        <v>7</v>
      </c>
      <c r="BH400" s="347">
        <v>3.0300000000000001E-2</v>
      </c>
      <c r="BI400" s="337">
        <f t="shared" si="144"/>
        <v>8716.44</v>
      </c>
      <c r="BK400" s="364"/>
      <c r="BO400" s="335">
        <f t="shared" si="132"/>
        <v>38050</v>
      </c>
      <c r="BP400" s="345">
        <v>38057</v>
      </c>
      <c r="BQ400" s="317">
        <f t="shared" si="137"/>
        <v>7</v>
      </c>
      <c r="BR400" s="347">
        <v>8.6999999999999994E-3</v>
      </c>
      <c r="BS400" s="337">
        <f t="shared" si="142"/>
        <v>2828.688525</v>
      </c>
      <c r="CH400" s="337"/>
      <c r="CL400" s="335">
        <f t="shared" si="148"/>
        <v>39016</v>
      </c>
      <c r="CM400" s="361">
        <v>39022</v>
      </c>
      <c r="CN400" s="317">
        <f t="shared" si="138"/>
        <v>6</v>
      </c>
      <c r="CO400" s="346">
        <v>3.56E-2</v>
      </c>
      <c r="CP400" s="346">
        <f t="shared" si="139"/>
        <v>0.21360000000000001</v>
      </c>
      <c r="CQ400" s="365">
        <f>ROUND(SUM(CP396:CP400)/30,7)</f>
        <v>3.5243299999999998E-2</v>
      </c>
      <c r="CR400" s="337">
        <f t="shared" si="140"/>
        <v>48279.458720000002</v>
      </c>
      <c r="CS400" s="337">
        <f>SUM(CR396:CR400)</f>
        <v>241397.29359000002</v>
      </c>
      <c r="CT400" s="337">
        <f>$CR$5*0.05495*29/360</f>
        <v>368884.69236111111</v>
      </c>
      <c r="CU400" s="366">
        <f>CS400-CT400</f>
        <v>-127487.3987711111</v>
      </c>
      <c r="CV400" s="337">
        <f t="shared" si="141"/>
        <v>48768.1</v>
      </c>
    </row>
    <row r="401" spans="1:100" hidden="1" x14ac:dyDescent="0.25">
      <c r="A401" s="335">
        <f t="shared" si="133"/>
        <v>36874</v>
      </c>
      <c r="B401" s="345">
        <v>36881</v>
      </c>
      <c r="C401" s="317">
        <f t="shared" si="145"/>
        <v>7</v>
      </c>
      <c r="E401" s="346">
        <v>4.4534999999999998E-2</v>
      </c>
      <c r="F401" s="339">
        <f>ROUND(((F400*SUM($C$10:C400))+(E401*C401))/SUM($C$10:C401),5)</f>
        <v>3.338E-2</v>
      </c>
      <c r="G401" s="348">
        <v>66.13</v>
      </c>
      <c r="I401" s="335">
        <f t="shared" si="134"/>
        <v>35754</v>
      </c>
      <c r="J401" s="345">
        <v>35755</v>
      </c>
      <c r="K401" s="317">
        <f t="shared" si="146"/>
        <v>1</v>
      </c>
      <c r="M401" s="346">
        <v>3.7740000000000003E-2</v>
      </c>
      <c r="N401" s="339">
        <f>ROUND(((N400*SUM($K$10:K400))+(M401*K401))/SUM($K$10:K401),5)</f>
        <v>3.2390000000000002E-2</v>
      </c>
      <c r="O401" s="348">
        <v>78.7</v>
      </c>
      <c r="Q401" s="335">
        <f t="shared" si="136"/>
        <v>36691</v>
      </c>
      <c r="R401" s="345">
        <v>36700</v>
      </c>
      <c r="S401" s="317">
        <f t="shared" si="147"/>
        <v>9</v>
      </c>
      <c r="U401" s="346">
        <v>4.4566000000000001E-2</v>
      </c>
      <c r="V401" s="339">
        <f>ROUND(((V400*SUM($S$10:S400))+(U401*S401))/SUM($S$10:S401),5)</f>
        <v>3.4369999999999998E-2</v>
      </c>
      <c r="W401" s="348">
        <v>46.65</v>
      </c>
      <c r="BB401" s="352"/>
      <c r="BE401" s="335">
        <f t="shared" ref="BE401:BE454" si="149">BF400</f>
        <v>36109</v>
      </c>
      <c r="BF401" s="345">
        <v>36116</v>
      </c>
      <c r="BG401" s="317">
        <f t="shared" si="143"/>
        <v>7</v>
      </c>
      <c r="BH401" s="347">
        <v>3.2500000000000001E-2</v>
      </c>
      <c r="BI401" s="337">
        <f t="shared" si="144"/>
        <v>9349.3150000000005</v>
      </c>
      <c r="BK401" s="364"/>
      <c r="BO401" s="335">
        <f t="shared" ref="BO401:BO457" si="150">BP400</f>
        <v>38057</v>
      </c>
      <c r="BP401" s="345">
        <v>38064</v>
      </c>
      <c r="BQ401" s="317">
        <f t="shared" si="137"/>
        <v>7</v>
      </c>
      <c r="BR401" s="347">
        <v>9.1999999999999998E-3</v>
      </c>
      <c r="BS401" s="337">
        <f t="shared" si="142"/>
        <v>2991.2568310000001</v>
      </c>
      <c r="CH401" s="337"/>
      <c r="CL401" s="335">
        <f t="shared" si="148"/>
        <v>39022</v>
      </c>
      <c r="CM401" s="361">
        <v>39023</v>
      </c>
      <c r="CN401" s="317">
        <f t="shared" si="138"/>
        <v>1</v>
      </c>
      <c r="CO401" s="346">
        <v>3.56E-2</v>
      </c>
      <c r="CP401" s="346">
        <f t="shared" si="139"/>
        <v>3.56E-2</v>
      </c>
      <c r="CQ401" s="365">
        <f>$CQ$406</f>
        <v>3.576E-2</v>
      </c>
      <c r="CR401" s="337">
        <f t="shared" si="140"/>
        <v>8164.5468499999997</v>
      </c>
      <c r="CV401" s="337">
        <f t="shared" si="141"/>
        <v>8128</v>
      </c>
    </row>
    <row r="402" spans="1:100" hidden="1" x14ac:dyDescent="0.25">
      <c r="A402" s="335">
        <f>B401</f>
        <v>36881</v>
      </c>
      <c r="B402" s="345">
        <v>36902</v>
      </c>
      <c r="C402" s="317">
        <f t="shared" si="145"/>
        <v>21</v>
      </c>
      <c r="E402" s="346">
        <v>4.4975000000000001E-2</v>
      </c>
      <c r="F402" s="339">
        <f>ROUND(((F401*SUM($C$10:C401))+(E402*C402))/SUM($C$10:C402),5)</f>
        <v>3.3459999999999997E-2</v>
      </c>
      <c r="G402" s="348">
        <v>77.94</v>
      </c>
      <c r="I402" s="335">
        <f t="shared" ref="I402:I465" si="151">J401</f>
        <v>35755</v>
      </c>
      <c r="J402" s="345">
        <v>35758</v>
      </c>
      <c r="K402" s="317">
        <f t="shared" si="146"/>
        <v>3</v>
      </c>
      <c r="M402" s="346">
        <v>3.7780000000000001E-2</v>
      </c>
      <c r="N402" s="339">
        <f>ROUND(((N401*SUM($K$10:K401))+(M402*K402))/SUM($K$10:K402),5)</f>
        <v>3.2399999999999998E-2</v>
      </c>
      <c r="O402" s="348">
        <v>76.400000000000006</v>
      </c>
      <c r="Q402" s="335">
        <f t="shared" si="136"/>
        <v>36700</v>
      </c>
      <c r="R402" s="345">
        <v>36714</v>
      </c>
      <c r="S402" s="317">
        <f t="shared" si="147"/>
        <v>14</v>
      </c>
      <c r="U402" s="346">
        <v>4.5296000000000003E-2</v>
      </c>
      <c r="V402" s="339">
        <f>ROUND(((V401*SUM($S$10:S401))+(U402*S402))/SUM($S$10:S402),5)</f>
        <v>3.4430000000000002E-2</v>
      </c>
      <c r="W402" s="348">
        <v>38.21</v>
      </c>
      <c r="BB402" s="352"/>
      <c r="BE402" s="335">
        <f t="shared" si="149"/>
        <v>36116</v>
      </c>
      <c r="BF402" s="345">
        <v>36123</v>
      </c>
      <c r="BG402" s="317">
        <f t="shared" si="143"/>
        <v>7</v>
      </c>
      <c r="BH402" s="347">
        <v>3.5000000000000003E-2</v>
      </c>
      <c r="BI402" s="337">
        <f t="shared" si="144"/>
        <v>10068.495000000001</v>
      </c>
      <c r="BK402" s="364"/>
      <c r="BO402" s="335">
        <f t="shared" si="150"/>
        <v>38064</v>
      </c>
      <c r="BP402" s="345">
        <v>38071</v>
      </c>
      <c r="BQ402" s="317">
        <f t="shared" si="137"/>
        <v>7</v>
      </c>
      <c r="BR402" s="347">
        <v>9.7999999999999997E-3</v>
      </c>
      <c r="BS402" s="337">
        <f t="shared" si="142"/>
        <v>3186.3387980000002</v>
      </c>
      <c r="CH402" s="337"/>
      <c r="CL402" s="335">
        <f t="shared" si="148"/>
        <v>39023</v>
      </c>
      <c r="CM402" s="361">
        <v>39030</v>
      </c>
      <c r="CN402" s="317">
        <f t="shared" si="138"/>
        <v>7</v>
      </c>
      <c r="CO402" s="346">
        <v>3.39E-2</v>
      </c>
      <c r="CP402" s="346">
        <f t="shared" si="139"/>
        <v>0.23730000000000001</v>
      </c>
      <c r="CQ402" s="365">
        <f>$CQ$406</f>
        <v>3.576E-2</v>
      </c>
      <c r="CR402" s="337">
        <f t="shared" si="140"/>
        <v>57151.827949999999</v>
      </c>
      <c r="CV402" s="337">
        <f t="shared" si="141"/>
        <v>54179.199999999997</v>
      </c>
    </row>
    <row r="403" spans="1:100" hidden="1" x14ac:dyDescent="0.25">
      <c r="A403" s="335">
        <f t="shared" ref="A403:A426" si="152">B402</f>
        <v>36902</v>
      </c>
      <c r="B403" s="345">
        <v>36909</v>
      </c>
      <c r="C403" s="317">
        <f t="shared" si="145"/>
        <v>7</v>
      </c>
      <c r="E403" s="346">
        <v>4.3341999999999999E-2</v>
      </c>
      <c r="F403" s="339">
        <f>ROUND(((F402*SUM($C$10:C402))+(E403*C403))/SUM($C$10:C403),5)</f>
        <v>3.3480000000000003E-2</v>
      </c>
      <c r="G403" s="348">
        <v>77.61</v>
      </c>
      <c r="I403" s="335">
        <f t="shared" si="151"/>
        <v>35758</v>
      </c>
      <c r="J403" s="345">
        <v>35768</v>
      </c>
      <c r="K403" s="317">
        <f t="shared" si="146"/>
        <v>10</v>
      </c>
      <c r="M403" s="346">
        <v>3.7909999999999999E-2</v>
      </c>
      <c r="N403" s="339">
        <f>ROUND(((N402*SUM($K$10:K402))+(M403*K403))/SUM($K$10:K403),5)</f>
        <v>3.243E-2</v>
      </c>
      <c r="O403" s="348">
        <v>91.4</v>
      </c>
      <c r="Q403" s="335">
        <f t="shared" si="136"/>
        <v>36714</v>
      </c>
      <c r="R403" s="345">
        <v>36718</v>
      </c>
      <c r="S403" s="317">
        <f t="shared" si="147"/>
        <v>4</v>
      </c>
      <c r="U403" s="346">
        <v>4.4985999999999998E-2</v>
      </c>
      <c r="V403" s="339">
        <f>ROUND(((V402*SUM($S$10:S402))+(U403*S403))/SUM($S$10:S403),5)</f>
        <v>3.4450000000000001E-2</v>
      </c>
      <c r="W403" s="348">
        <v>37.82</v>
      </c>
      <c r="BB403" s="352"/>
      <c r="BE403" s="335">
        <f t="shared" si="149"/>
        <v>36123</v>
      </c>
      <c r="BF403" s="345">
        <v>36130</v>
      </c>
      <c r="BG403" s="317">
        <f t="shared" si="143"/>
        <v>7</v>
      </c>
      <c r="BH403" s="347">
        <v>3.2300000000000002E-2</v>
      </c>
      <c r="BI403" s="337">
        <f t="shared" si="144"/>
        <v>9291.7800000000007</v>
      </c>
      <c r="BJ403" s="341">
        <f>SUM(BI399:BI403)</f>
        <v>40056.165000000001</v>
      </c>
      <c r="BK403" s="364">
        <v>40957.050000000003</v>
      </c>
      <c r="BL403" s="341">
        <f>BJ403-BK403</f>
        <v>-900.88500000000204</v>
      </c>
      <c r="BM403" s="341">
        <f>BM398+BL403</f>
        <v>25090.97000000003</v>
      </c>
      <c r="BO403" s="335">
        <f t="shared" si="150"/>
        <v>38071</v>
      </c>
      <c r="BP403" s="345">
        <v>38078</v>
      </c>
      <c r="BQ403" s="317">
        <f t="shared" si="137"/>
        <v>7</v>
      </c>
      <c r="BR403" s="347">
        <v>1.0200000000000001E-2</v>
      </c>
      <c r="BS403" s="337">
        <f t="shared" si="142"/>
        <v>3316.3934429999999</v>
      </c>
      <c r="BT403" s="341">
        <f>SUM(BS399:BS403)</f>
        <v>13632.513663000002</v>
      </c>
      <c r="CH403" s="337"/>
      <c r="CL403" s="335">
        <f t="shared" si="148"/>
        <v>39030</v>
      </c>
      <c r="CM403" s="361">
        <v>39037</v>
      </c>
      <c r="CN403" s="317">
        <f t="shared" si="138"/>
        <v>7</v>
      </c>
      <c r="CO403" s="346">
        <v>3.6299999999999999E-2</v>
      </c>
      <c r="CP403" s="346">
        <f t="shared" si="139"/>
        <v>0.25409999999999999</v>
      </c>
      <c r="CQ403" s="365">
        <f>$CQ$406</f>
        <v>3.576E-2</v>
      </c>
      <c r="CR403" s="337">
        <f t="shared" si="140"/>
        <v>57151.827949999999</v>
      </c>
      <c r="CV403" s="337">
        <f t="shared" si="141"/>
        <v>58014.9</v>
      </c>
    </row>
    <row r="404" spans="1:100" hidden="1" x14ac:dyDescent="0.25">
      <c r="A404" s="335">
        <f t="shared" si="152"/>
        <v>36909</v>
      </c>
      <c r="B404" s="345">
        <v>36930</v>
      </c>
      <c r="C404" s="317">
        <f t="shared" si="145"/>
        <v>21</v>
      </c>
      <c r="E404" s="346">
        <v>4.1382000000000002E-2</v>
      </c>
      <c r="F404" s="339">
        <f>ROUND(((F403*SUM($C$10:C403))+(E404*C404))/SUM($C$10:C404),5)</f>
        <v>3.3529999999999997E-2</v>
      </c>
      <c r="G404" s="348">
        <v>75.42</v>
      </c>
      <c r="I404" s="335">
        <f t="shared" si="151"/>
        <v>35768</v>
      </c>
      <c r="J404" s="345">
        <v>35769</v>
      </c>
      <c r="K404" s="317">
        <f t="shared" si="146"/>
        <v>1</v>
      </c>
      <c r="M404" s="346">
        <v>3.7909999999999999E-2</v>
      </c>
      <c r="N404" s="339">
        <f>ROUND(((N403*SUM($K$10:K403))+(M404*K404))/SUM($K$10:K404),5)</f>
        <v>3.243E-2</v>
      </c>
      <c r="O404" s="348">
        <v>91.3</v>
      </c>
      <c r="Q404" s="335">
        <f t="shared" ref="Q404:Q467" si="153">R403</f>
        <v>36718</v>
      </c>
      <c r="R404" s="345">
        <v>36719</v>
      </c>
      <c r="S404" s="317">
        <f t="shared" si="147"/>
        <v>1</v>
      </c>
      <c r="U404" s="346">
        <v>4.4583999999999999E-2</v>
      </c>
      <c r="V404" s="339">
        <f>ROUND(((V403*SUM($S$10:S403))+(U404*S404))/SUM($S$10:S404),5)</f>
        <v>3.4450000000000001E-2</v>
      </c>
      <c r="W404" s="348">
        <v>33.79</v>
      </c>
      <c r="BB404" s="352"/>
      <c r="BE404" s="335">
        <f t="shared" si="149"/>
        <v>36130</v>
      </c>
      <c r="BF404" s="345">
        <v>36137</v>
      </c>
      <c r="BG404" s="317">
        <f t="shared" si="143"/>
        <v>7</v>
      </c>
      <c r="BH404" s="347">
        <v>2.93E-2</v>
      </c>
      <c r="BI404" s="337">
        <f t="shared" si="144"/>
        <v>8428.7649999999994</v>
      </c>
      <c r="BK404" s="364"/>
      <c r="BO404" s="335">
        <f t="shared" si="150"/>
        <v>38078</v>
      </c>
      <c r="BP404" s="345">
        <v>38085</v>
      </c>
      <c r="BQ404" s="317">
        <f t="shared" si="137"/>
        <v>7</v>
      </c>
      <c r="BR404" s="347">
        <v>1.03E-2</v>
      </c>
      <c r="BS404" s="337">
        <f t="shared" si="142"/>
        <v>3348.9071039999999</v>
      </c>
      <c r="CH404" s="337"/>
      <c r="CL404" s="335">
        <f t="shared" si="148"/>
        <v>39037</v>
      </c>
      <c r="CM404" s="361">
        <v>39044</v>
      </c>
      <c r="CN404" s="317">
        <f t="shared" si="138"/>
        <v>7</v>
      </c>
      <c r="CO404" s="346">
        <v>3.6699999999999997E-2</v>
      </c>
      <c r="CP404" s="346">
        <f t="shared" si="139"/>
        <v>0.25689999999999996</v>
      </c>
      <c r="CQ404" s="365">
        <f>$CQ$406</f>
        <v>3.576E-2</v>
      </c>
      <c r="CR404" s="337">
        <f t="shared" si="140"/>
        <v>57151.827949999999</v>
      </c>
      <c r="CV404" s="337">
        <f t="shared" si="141"/>
        <v>58654.1</v>
      </c>
    </row>
    <row r="405" spans="1:100" hidden="1" x14ac:dyDescent="0.25">
      <c r="A405" s="335">
        <f t="shared" si="152"/>
        <v>36930</v>
      </c>
      <c r="B405" s="345">
        <v>36937</v>
      </c>
      <c r="C405" s="317">
        <f t="shared" si="145"/>
        <v>7</v>
      </c>
      <c r="E405" s="346">
        <v>3.9586999999999997E-2</v>
      </c>
      <c r="F405" s="339">
        <f>ROUND(((F404*SUM($C$10:C404))+(E405*C405))/SUM($C$10:C405),5)</f>
        <v>3.354E-2</v>
      </c>
      <c r="G405" s="348">
        <v>79.77</v>
      </c>
      <c r="I405" s="335">
        <f t="shared" si="151"/>
        <v>35769</v>
      </c>
      <c r="J405" s="345">
        <v>35780</v>
      </c>
      <c r="K405" s="317">
        <f t="shared" si="146"/>
        <v>11</v>
      </c>
      <c r="M405" s="346">
        <v>3.7879999999999997E-2</v>
      </c>
      <c r="N405" s="339">
        <f>ROUND(((N404*SUM($K$10:K404))+(M405*K405))/SUM($K$10:K405),5)</f>
        <v>3.2460000000000003E-2</v>
      </c>
      <c r="O405" s="348">
        <v>92.1</v>
      </c>
      <c r="Q405" s="335">
        <f t="shared" si="153"/>
        <v>36719</v>
      </c>
      <c r="R405" s="345">
        <v>36726</v>
      </c>
      <c r="S405" s="317">
        <f t="shared" si="147"/>
        <v>7</v>
      </c>
      <c r="U405" s="346">
        <v>4.4352000000000003E-2</v>
      </c>
      <c r="V405" s="339">
        <f>ROUND(((V404*SUM($S$10:S404))+(U405*S405))/SUM($S$10:S405),5)</f>
        <v>3.4479999999999997E-2</v>
      </c>
      <c r="W405" s="348">
        <v>31.48</v>
      </c>
      <c r="BB405" s="352"/>
      <c r="BE405" s="335">
        <f t="shared" si="149"/>
        <v>36137</v>
      </c>
      <c r="BF405" s="345">
        <v>36144</v>
      </c>
      <c r="BG405" s="317">
        <f t="shared" si="143"/>
        <v>7</v>
      </c>
      <c r="BH405" s="347">
        <v>3.1899999999999998E-2</v>
      </c>
      <c r="BI405" s="337">
        <f t="shared" si="144"/>
        <v>9176.7099999999991</v>
      </c>
      <c r="BK405" s="364"/>
      <c r="BO405" s="335">
        <f t="shared" si="150"/>
        <v>38085</v>
      </c>
      <c r="BP405" s="345">
        <v>38092</v>
      </c>
      <c r="BQ405" s="317">
        <f t="shared" si="137"/>
        <v>7</v>
      </c>
      <c r="BR405" s="347">
        <v>1.01E-2</v>
      </c>
      <c r="BS405" s="337">
        <f t="shared" si="142"/>
        <v>3283.8797810000001</v>
      </c>
      <c r="CH405" s="337"/>
      <c r="CL405" s="335">
        <f t="shared" si="148"/>
        <v>39044</v>
      </c>
      <c r="CM405" s="361">
        <v>39051</v>
      </c>
      <c r="CN405" s="317">
        <f t="shared" si="138"/>
        <v>7</v>
      </c>
      <c r="CO405" s="346">
        <v>3.6299999999999999E-2</v>
      </c>
      <c r="CP405" s="346">
        <f t="shared" si="139"/>
        <v>0.25409999999999999</v>
      </c>
      <c r="CQ405" s="365">
        <f>$CQ$406</f>
        <v>3.576E-2</v>
      </c>
      <c r="CR405" s="337">
        <f t="shared" si="140"/>
        <v>57151.827949999999</v>
      </c>
      <c r="CV405" s="337">
        <f t="shared" si="141"/>
        <v>58014.9</v>
      </c>
    </row>
    <row r="406" spans="1:100" hidden="1" x14ac:dyDescent="0.25">
      <c r="A406" s="335">
        <f t="shared" si="152"/>
        <v>36937</v>
      </c>
      <c r="B406" s="345">
        <v>36949</v>
      </c>
      <c r="C406" s="317">
        <f t="shared" si="145"/>
        <v>12</v>
      </c>
      <c r="E406" s="346">
        <v>3.7506999999999999E-2</v>
      </c>
      <c r="F406" s="339">
        <f>ROUND(((F405*SUM($C$10:C405))+(E406*C406))/SUM($C$10:C406),5)</f>
        <v>3.356E-2</v>
      </c>
      <c r="G406" s="348">
        <v>81.87</v>
      </c>
      <c r="I406" s="335">
        <f t="shared" si="151"/>
        <v>35780</v>
      </c>
      <c r="J406" s="345">
        <v>35781</v>
      </c>
      <c r="K406" s="317">
        <f t="shared" si="146"/>
        <v>1</v>
      </c>
      <c r="M406" s="346">
        <v>3.7870000000000001E-2</v>
      </c>
      <c r="N406" s="339">
        <f>ROUND(((N405*SUM($K$10:K405))+(M406*K406))/SUM($K$10:K406),5)</f>
        <v>3.2460000000000003E-2</v>
      </c>
      <c r="O406" s="348">
        <v>92.6</v>
      </c>
      <c r="Q406" s="335">
        <f t="shared" si="153"/>
        <v>36726</v>
      </c>
      <c r="R406" s="345">
        <v>36728</v>
      </c>
      <c r="S406" s="317">
        <f t="shared" si="147"/>
        <v>2</v>
      </c>
      <c r="U406" s="346">
        <v>4.4503000000000001E-2</v>
      </c>
      <c r="V406" s="339">
        <f>ROUND(((V405*SUM($S$10:S405))+(U406*S406))/SUM($S$10:S406),5)</f>
        <v>3.449E-2</v>
      </c>
      <c r="W406" s="348">
        <v>34.25</v>
      </c>
      <c r="BB406" s="352"/>
      <c r="BE406" s="335">
        <f t="shared" si="149"/>
        <v>36144</v>
      </c>
      <c r="BF406" s="345">
        <v>36151</v>
      </c>
      <c r="BG406" s="317">
        <f t="shared" si="143"/>
        <v>7</v>
      </c>
      <c r="BH406" s="347">
        <v>3.4799999999999998E-2</v>
      </c>
      <c r="BI406" s="337">
        <f t="shared" si="144"/>
        <v>10010.959999999999</v>
      </c>
      <c r="BK406" s="364"/>
      <c r="BO406" s="335">
        <f t="shared" si="150"/>
        <v>38092</v>
      </c>
      <c r="BP406" s="345">
        <v>38099</v>
      </c>
      <c r="BQ406" s="317">
        <f t="shared" si="137"/>
        <v>7</v>
      </c>
      <c r="BR406" s="347">
        <v>1.0800000000000001E-2</v>
      </c>
      <c r="BS406" s="337">
        <f t="shared" si="142"/>
        <v>3511.47541</v>
      </c>
      <c r="CH406" s="337"/>
      <c r="CL406" s="335">
        <f t="shared" si="148"/>
        <v>39051</v>
      </c>
      <c r="CM406" s="361">
        <v>39052</v>
      </c>
      <c r="CN406" s="317">
        <f t="shared" si="138"/>
        <v>1</v>
      </c>
      <c r="CO406" s="346">
        <v>3.4799999999999998E-2</v>
      </c>
      <c r="CP406" s="346">
        <f t="shared" si="139"/>
        <v>3.4799999999999998E-2</v>
      </c>
      <c r="CQ406" s="365">
        <f>ROUND(SUM(CP401:CP406)/30,7)</f>
        <v>3.576E-2</v>
      </c>
      <c r="CR406" s="337">
        <f>ROUND($CR$5*CQ406*CN406/365,5)</f>
        <v>8164.5468499999997</v>
      </c>
      <c r="CS406" s="337">
        <f>SUM(CR401:CR406)</f>
        <v>244936.40550000002</v>
      </c>
      <c r="CT406" s="337">
        <f>$CR$5*0.05495*30/360</f>
        <v>381604.85416666669</v>
      </c>
      <c r="CU406" s="366">
        <f>CS406-CT406+0.01</f>
        <v>-136668.43866666665</v>
      </c>
      <c r="CV406" s="337">
        <f t="shared" si="141"/>
        <v>7945.4</v>
      </c>
    </row>
    <row r="407" spans="1:100" hidden="1" x14ac:dyDescent="0.25">
      <c r="A407" s="335">
        <f t="shared" si="152"/>
        <v>36949</v>
      </c>
      <c r="B407" s="345">
        <v>36957</v>
      </c>
      <c r="C407" s="317">
        <f t="shared" si="145"/>
        <v>8</v>
      </c>
      <c r="E407" s="346">
        <v>3.5910999999999998E-2</v>
      </c>
      <c r="F407" s="339">
        <f>ROUND(((F406*SUM($C$10:C406))+(E407*C407))/SUM($C$10:C407),5)</f>
        <v>3.3570000000000003E-2</v>
      </c>
      <c r="G407" s="348">
        <v>88.84</v>
      </c>
      <c r="I407" s="335">
        <f t="shared" si="151"/>
        <v>35781</v>
      </c>
      <c r="J407" s="345">
        <v>35783</v>
      </c>
      <c r="K407" s="317">
        <f t="shared" si="146"/>
        <v>2</v>
      </c>
      <c r="M407" s="346">
        <v>3.7870000000000001E-2</v>
      </c>
      <c r="N407" s="339">
        <f>ROUND(((N406*SUM($K$10:K406))+(M407*K407))/SUM($K$10:K407),5)</f>
        <v>3.2469999999999999E-2</v>
      </c>
      <c r="O407" s="348">
        <v>89.8</v>
      </c>
      <c r="Q407" s="335">
        <f t="shared" si="153"/>
        <v>36728</v>
      </c>
      <c r="R407" s="345">
        <v>36731</v>
      </c>
      <c r="S407" s="317">
        <f t="shared" si="147"/>
        <v>3</v>
      </c>
      <c r="U407" s="346">
        <v>4.4070999999999999E-2</v>
      </c>
      <c r="V407" s="339">
        <f>ROUND(((V406*SUM($S$10:S406))+(U407*S407))/SUM($S$10:S407),5)</f>
        <v>3.4500000000000003E-2</v>
      </c>
      <c r="W407" s="348">
        <v>37.58</v>
      </c>
      <c r="BB407" s="352"/>
      <c r="BE407" s="335">
        <f t="shared" si="149"/>
        <v>36151</v>
      </c>
      <c r="BF407" s="345">
        <v>36158</v>
      </c>
      <c r="BG407" s="317">
        <f t="shared" si="143"/>
        <v>7</v>
      </c>
      <c r="BH407" s="347">
        <v>3.7499999999999999E-2</v>
      </c>
      <c r="BI407" s="337">
        <f t="shared" si="144"/>
        <v>10787.67</v>
      </c>
      <c r="BK407" s="364"/>
      <c r="BO407" s="335">
        <f t="shared" si="150"/>
        <v>38099</v>
      </c>
      <c r="BP407" s="345">
        <v>38106</v>
      </c>
      <c r="BQ407" s="317">
        <f t="shared" si="137"/>
        <v>7</v>
      </c>
      <c r="BR407" s="347">
        <v>1.09E-2</v>
      </c>
      <c r="BS407" s="337">
        <f t="shared" si="142"/>
        <v>3543.989071</v>
      </c>
      <c r="CH407" s="337"/>
      <c r="CL407" s="335">
        <f t="shared" si="148"/>
        <v>39052</v>
      </c>
      <c r="CM407" s="361">
        <v>39058</v>
      </c>
      <c r="CN407" s="317">
        <f t="shared" si="138"/>
        <v>6</v>
      </c>
      <c r="CO407" s="346">
        <v>3.4799999999999998E-2</v>
      </c>
      <c r="CP407" s="346">
        <f t="shared" si="139"/>
        <v>0.20879999999999999</v>
      </c>
      <c r="CQ407" s="365">
        <f>$CQ$411</f>
        <v>3.6434399999999999E-2</v>
      </c>
      <c r="CR407" s="337">
        <f>ROUND($CR$5*CQ407*CN407/365,5)</f>
        <v>49911.135190000001</v>
      </c>
      <c r="CV407" s="337">
        <f t="shared" si="141"/>
        <v>47672.2</v>
      </c>
    </row>
    <row r="408" spans="1:100" hidden="1" x14ac:dyDescent="0.25">
      <c r="A408" s="335">
        <f t="shared" si="152"/>
        <v>36957</v>
      </c>
      <c r="B408" s="345">
        <v>36958</v>
      </c>
      <c r="C408" s="317">
        <f t="shared" si="145"/>
        <v>1</v>
      </c>
      <c r="E408" s="346">
        <v>3.3945000000000003E-2</v>
      </c>
      <c r="F408" s="339">
        <f>ROUND(((F407*SUM($C$10:C407))+(E408*C408))/SUM($C$10:C408),5)</f>
        <v>3.3570000000000003E-2</v>
      </c>
      <c r="G408" s="348">
        <v>89.81</v>
      </c>
      <c r="I408" s="335">
        <f t="shared" si="151"/>
        <v>35783</v>
      </c>
      <c r="J408" s="345">
        <v>35800</v>
      </c>
      <c r="K408" s="317">
        <f t="shared" si="146"/>
        <v>17</v>
      </c>
      <c r="M408" s="346">
        <v>3.7969999999999997E-2</v>
      </c>
      <c r="N408" s="339">
        <f>ROUND(((N407*SUM($K$10:K407))+(M408*K408))/SUM($K$10:K408),5)</f>
        <v>3.252E-2</v>
      </c>
      <c r="O408" s="348">
        <v>88.6</v>
      </c>
      <c r="Q408" s="335">
        <f t="shared" si="153"/>
        <v>36731</v>
      </c>
      <c r="R408" s="345">
        <v>36745</v>
      </c>
      <c r="S408" s="317">
        <f t="shared" si="147"/>
        <v>14</v>
      </c>
      <c r="U408" s="346">
        <v>4.4233000000000001E-2</v>
      </c>
      <c r="V408" s="339">
        <f>ROUND(((V407*SUM($S$10:S407))+(U408*S408))/SUM($S$10:S408),5)</f>
        <v>3.4549999999999997E-2</v>
      </c>
      <c r="W408" s="348">
        <v>45.54</v>
      </c>
      <c r="BB408" s="352"/>
      <c r="BE408" s="335">
        <f t="shared" si="149"/>
        <v>36158</v>
      </c>
      <c r="BF408" s="345">
        <v>36161</v>
      </c>
      <c r="BG408" s="317">
        <f t="shared" si="143"/>
        <v>3</v>
      </c>
      <c r="BH408" s="347">
        <v>4.0300000000000002E-2</v>
      </c>
      <c r="BI408" s="337">
        <f t="shared" si="144"/>
        <v>4968.4949999999999</v>
      </c>
      <c r="BJ408" s="341">
        <f>SUM(BI404:BI408)</f>
        <v>43372.6</v>
      </c>
      <c r="BK408" s="364">
        <v>40289.879999999997</v>
      </c>
      <c r="BL408" s="341">
        <f>BJ408-BK408</f>
        <v>3082.7200000000012</v>
      </c>
      <c r="BM408" s="341">
        <f>BM403+BL408</f>
        <v>28173.690000000031</v>
      </c>
      <c r="BO408" s="335">
        <f t="shared" si="150"/>
        <v>38106</v>
      </c>
      <c r="BP408" s="345">
        <v>38108</v>
      </c>
      <c r="BQ408" s="317">
        <f t="shared" si="137"/>
        <v>2</v>
      </c>
      <c r="BR408" s="347">
        <v>1.09E-2</v>
      </c>
      <c r="BS408" s="337">
        <f t="shared" si="142"/>
        <v>1012.568306</v>
      </c>
      <c r="BT408" s="341">
        <f>SUM(BS404:BS408)</f>
        <v>14700.819672</v>
      </c>
      <c r="CH408" s="337"/>
      <c r="CL408" s="335">
        <f t="shared" si="148"/>
        <v>39058</v>
      </c>
      <c r="CM408" s="361">
        <v>39065</v>
      </c>
      <c r="CN408" s="317">
        <f t="shared" si="138"/>
        <v>7</v>
      </c>
      <c r="CO408" s="346">
        <v>3.4000000000000002E-2</v>
      </c>
      <c r="CP408" s="346">
        <f t="shared" si="139"/>
        <v>0.23800000000000002</v>
      </c>
      <c r="CQ408" s="365">
        <f>$CQ$411</f>
        <v>3.6434399999999999E-2</v>
      </c>
      <c r="CR408" s="337">
        <f>ROUND($CR$5*CQ408*CN408/365,5)</f>
        <v>58229.657720000003</v>
      </c>
      <c r="CV408" s="337">
        <f t="shared" si="141"/>
        <v>54339</v>
      </c>
    </row>
    <row r="409" spans="1:100" hidden="1" x14ac:dyDescent="0.25">
      <c r="A409" s="335">
        <f t="shared" si="152"/>
        <v>36958</v>
      </c>
      <c r="B409" s="345">
        <v>36990</v>
      </c>
      <c r="C409" s="317">
        <f t="shared" si="145"/>
        <v>32</v>
      </c>
      <c r="E409" s="346">
        <v>3.4140999999999998E-2</v>
      </c>
      <c r="F409" s="339">
        <f>ROUND(((F408*SUM($C$10:C408))+(E409*C409))/SUM($C$10:C409),5)</f>
        <v>3.3579999999999999E-2</v>
      </c>
      <c r="G409" s="348">
        <v>93.19</v>
      </c>
      <c r="I409" s="335">
        <f t="shared" si="151"/>
        <v>35800</v>
      </c>
      <c r="J409" s="345">
        <v>35803</v>
      </c>
      <c r="K409" s="317">
        <f t="shared" si="146"/>
        <v>3</v>
      </c>
      <c r="M409" s="346">
        <v>3.7929999999999998E-2</v>
      </c>
      <c r="N409" s="339">
        <f>ROUND(((N408*SUM($K$10:K408))+(M409*K409))/SUM($K$10:K409),5)</f>
        <v>3.2530000000000003E-2</v>
      </c>
      <c r="O409" s="348">
        <v>88.2</v>
      </c>
      <c r="Q409" s="335">
        <f t="shared" si="153"/>
        <v>36745</v>
      </c>
      <c r="R409" s="345">
        <v>36747</v>
      </c>
      <c r="S409" s="317">
        <f t="shared" si="147"/>
        <v>2</v>
      </c>
      <c r="U409" s="346">
        <v>4.4589999999999998E-2</v>
      </c>
      <c r="V409" s="339">
        <f>ROUND(((V408*SUM($S$10:S408))+(U409*S409))/SUM($S$10:S409),5)</f>
        <v>3.456E-2</v>
      </c>
      <c r="W409" s="348">
        <v>50.51</v>
      </c>
      <c r="BB409" s="352"/>
      <c r="BE409" s="335">
        <f t="shared" si="149"/>
        <v>36161</v>
      </c>
      <c r="BF409" s="345">
        <v>36165</v>
      </c>
      <c r="BG409" s="317">
        <f t="shared" si="143"/>
        <v>4</v>
      </c>
      <c r="BH409" s="347">
        <v>4.0300000000000002E-2</v>
      </c>
      <c r="BI409" s="337">
        <f t="shared" si="144"/>
        <v>6624.66</v>
      </c>
      <c r="BK409" s="364"/>
      <c r="BO409" s="335">
        <f t="shared" si="150"/>
        <v>38108</v>
      </c>
      <c r="BP409" s="345">
        <v>38113</v>
      </c>
      <c r="BQ409" s="317">
        <f t="shared" si="137"/>
        <v>5</v>
      </c>
      <c r="BR409" s="347">
        <v>1.09E-2</v>
      </c>
      <c r="BS409" s="337">
        <f t="shared" si="142"/>
        <v>2531.4207649999998</v>
      </c>
      <c r="CH409" s="337"/>
      <c r="CL409" s="335">
        <f t="shared" si="148"/>
        <v>39065</v>
      </c>
      <c r="CM409" s="361">
        <v>39072</v>
      </c>
      <c r="CN409" s="317">
        <f t="shared" si="138"/>
        <v>7</v>
      </c>
      <c r="CO409" s="346">
        <v>3.5900000000000001E-2</v>
      </c>
      <c r="CP409" s="346">
        <f t="shared" si="139"/>
        <v>0.25130000000000002</v>
      </c>
      <c r="CQ409" s="365">
        <f>$CQ$411</f>
        <v>3.6434399999999999E-2</v>
      </c>
      <c r="CR409" s="337">
        <f>ROUND($CR$5*CQ409*CN409/365,5)</f>
        <v>58229.657720000003</v>
      </c>
      <c r="CV409" s="337">
        <f t="shared" si="141"/>
        <v>57375.6</v>
      </c>
    </row>
    <row r="410" spans="1:100" hidden="1" x14ac:dyDescent="0.25">
      <c r="A410" s="335">
        <f t="shared" si="152"/>
        <v>36990</v>
      </c>
      <c r="B410" s="345">
        <v>37014</v>
      </c>
      <c r="C410" s="317">
        <f t="shared" si="145"/>
        <v>24</v>
      </c>
      <c r="E410" s="346">
        <v>3.4712E-2</v>
      </c>
      <c r="F410" s="339">
        <f>ROUND(((F409*SUM($C$10:C409))+(E410*C410))/SUM($C$10:C410),5)</f>
        <v>3.3590000000000002E-2</v>
      </c>
      <c r="G410" s="348">
        <v>85.84</v>
      </c>
      <c r="I410" s="335">
        <f t="shared" si="151"/>
        <v>35803</v>
      </c>
      <c r="J410" s="345">
        <v>35804</v>
      </c>
      <c r="K410" s="317">
        <f t="shared" si="146"/>
        <v>1</v>
      </c>
      <c r="M410" s="346">
        <v>3.7769999999999998E-2</v>
      </c>
      <c r="N410" s="339">
        <f>ROUND(((N409*SUM($K$10:K409))+(M410*K410))/SUM($K$10:K410),5)</f>
        <v>3.2530000000000003E-2</v>
      </c>
      <c r="O410" s="348">
        <v>90.4</v>
      </c>
      <c r="Q410" s="335">
        <f t="shared" si="153"/>
        <v>36747</v>
      </c>
      <c r="R410" s="345">
        <v>36755</v>
      </c>
      <c r="S410" s="317">
        <f t="shared" si="147"/>
        <v>8</v>
      </c>
      <c r="U410" s="346">
        <v>4.4474E-2</v>
      </c>
      <c r="V410" s="339">
        <f>ROUND(((V409*SUM($S$10:S409))+(U410*S410))/SUM($S$10:S410),5)</f>
        <v>3.4590000000000003E-2</v>
      </c>
      <c r="W410" s="348">
        <v>74.97</v>
      </c>
      <c r="BB410" s="352"/>
      <c r="BE410" s="335">
        <f t="shared" si="149"/>
        <v>36165</v>
      </c>
      <c r="BF410" s="345">
        <v>36172</v>
      </c>
      <c r="BG410" s="317">
        <f t="shared" si="143"/>
        <v>7</v>
      </c>
      <c r="BH410" s="347">
        <v>0.03</v>
      </c>
      <c r="BI410" s="337">
        <f t="shared" si="144"/>
        <v>8630.1350000000002</v>
      </c>
      <c r="BK410" s="364"/>
      <c r="BO410" s="335">
        <f t="shared" si="150"/>
        <v>38113</v>
      </c>
      <c r="BP410" s="345">
        <v>38120</v>
      </c>
      <c r="BQ410" s="317">
        <f t="shared" si="137"/>
        <v>7</v>
      </c>
      <c r="BR410" s="347">
        <v>1.0500000000000001E-2</v>
      </c>
      <c r="BS410" s="337">
        <f t="shared" si="142"/>
        <v>3413.9344259999998</v>
      </c>
      <c r="CH410" s="337"/>
      <c r="CL410" s="335">
        <f t="shared" si="148"/>
        <v>39072</v>
      </c>
      <c r="CM410" s="361">
        <v>39079</v>
      </c>
      <c r="CN410" s="317">
        <f t="shared" si="138"/>
        <v>7</v>
      </c>
      <c r="CO410" s="346">
        <v>3.8900000000000004E-2</v>
      </c>
      <c r="CP410" s="346">
        <f t="shared" si="139"/>
        <v>0.27230000000000004</v>
      </c>
      <c r="CQ410" s="365">
        <f>$CQ$411</f>
        <v>3.6434399999999999E-2</v>
      </c>
      <c r="CR410" s="337">
        <f>ROUND($CR$5*CQ410*CN410/365,5)</f>
        <v>58229.657720000003</v>
      </c>
      <c r="CV410" s="337">
        <f t="shared" si="141"/>
        <v>62170.2</v>
      </c>
    </row>
    <row r="411" spans="1:100" hidden="1" x14ac:dyDescent="0.25">
      <c r="A411" s="335">
        <f t="shared" si="152"/>
        <v>37014</v>
      </c>
      <c r="B411" s="345">
        <v>37020</v>
      </c>
      <c r="C411" s="317">
        <f t="shared" si="145"/>
        <v>6</v>
      </c>
      <c r="E411" s="346">
        <v>3.4625000000000003E-2</v>
      </c>
      <c r="F411" s="339">
        <f>ROUND(((F410*SUM($C$10:C410))+(E411*C411))/SUM($C$10:C411),5)</f>
        <v>3.3590000000000002E-2</v>
      </c>
      <c r="G411" s="348">
        <v>87.9</v>
      </c>
      <c r="I411" s="335">
        <f t="shared" si="151"/>
        <v>35804</v>
      </c>
      <c r="J411" s="345">
        <v>35808</v>
      </c>
      <c r="K411" s="317">
        <f t="shared" si="146"/>
        <v>4</v>
      </c>
      <c r="M411" s="346">
        <v>3.7679999999999998E-2</v>
      </c>
      <c r="N411" s="339">
        <f>ROUND(((N410*SUM($K$10:K410))+(M411*K411))/SUM($K$10:K411),5)</f>
        <v>3.2539999999999999E-2</v>
      </c>
      <c r="O411" s="348">
        <v>92.5</v>
      </c>
      <c r="Q411" s="335">
        <f t="shared" si="153"/>
        <v>36755</v>
      </c>
      <c r="R411" s="345">
        <v>36782</v>
      </c>
      <c r="S411" s="317">
        <f t="shared" si="147"/>
        <v>27</v>
      </c>
      <c r="U411" s="346">
        <v>4.4443999999999997E-2</v>
      </c>
      <c r="V411" s="339">
        <f>ROUND(((V410*SUM($S$10:S410))+(U411*S411))/SUM($S$10:S411),5)</f>
        <v>3.4689999999999999E-2</v>
      </c>
      <c r="W411" s="348">
        <v>75.77</v>
      </c>
      <c r="BB411" s="352"/>
      <c r="BE411" s="335">
        <f t="shared" si="149"/>
        <v>36172</v>
      </c>
      <c r="BF411" s="345">
        <v>36179</v>
      </c>
      <c r="BG411" s="317">
        <f t="shared" si="143"/>
        <v>7</v>
      </c>
      <c r="BH411" s="347">
        <v>3.0499999999999999E-2</v>
      </c>
      <c r="BI411" s="337">
        <f t="shared" si="144"/>
        <v>8773.9750000000004</v>
      </c>
      <c r="BK411" s="364"/>
      <c r="BO411" s="335">
        <f t="shared" si="150"/>
        <v>38120</v>
      </c>
      <c r="BP411" s="345">
        <v>38127</v>
      </c>
      <c r="BQ411" s="317">
        <f t="shared" si="137"/>
        <v>7</v>
      </c>
      <c r="BR411" s="347">
        <v>1.0699999999999999E-2</v>
      </c>
      <c r="BS411" s="337">
        <f t="shared" si="142"/>
        <v>3478.9617490000001</v>
      </c>
      <c r="CH411" s="337"/>
      <c r="CL411" s="335">
        <f t="shared" si="148"/>
        <v>39079</v>
      </c>
      <c r="CM411" s="361">
        <v>39084</v>
      </c>
      <c r="CN411" s="317">
        <f t="shared" si="138"/>
        <v>5</v>
      </c>
      <c r="CO411" s="346">
        <v>3.9100000000000003E-2</v>
      </c>
      <c r="CP411" s="346">
        <f t="shared" si="139"/>
        <v>0.19550000000000001</v>
      </c>
      <c r="CQ411" s="365">
        <f>ROUND(SUM(CP407:CP411)/32,7)</f>
        <v>3.6434399999999999E-2</v>
      </c>
      <c r="CR411" s="337">
        <f t="shared" ref="CR411:CR472" si="154">ROUND($CR$5*CQ411*CN411/365,4)</f>
        <v>41592.612699999998</v>
      </c>
      <c r="CS411" s="337">
        <f>SUM(CR407:CR411)</f>
        <v>266192.72104999999</v>
      </c>
      <c r="CT411" s="337">
        <f>$CR$5*0.05495*31/360</f>
        <v>394325.0159722222</v>
      </c>
      <c r="CU411" s="366">
        <f>CS411-CT411-0.01</f>
        <v>-128132.3049222222</v>
      </c>
      <c r="CV411" s="337">
        <f t="shared" si="141"/>
        <v>44635.6</v>
      </c>
    </row>
    <row r="412" spans="1:100" hidden="1" x14ac:dyDescent="0.25">
      <c r="A412" s="335">
        <f t="shared" si="152"/>
        <v>37020</v>
      </c>
      <c r="B412" s="345">
        <v>37032</v>
      </c>
      <c r="C412" s="317">
        <f t="shared" si="145"/>
        <v>12</v>
      </c>
      <c r="E412" s="346">
        <v>3.4946999999999999E-2</v>
      </c>
      <c r="F412" s="339">
        <f>ROUND(((F411*SUM($C$10:C411))+(E412*C412))/SUM($C$10:C412),5)</f>
        <v>3.3599999999999998E-2</v>
      </c>
      <c r="G412" s="348">
        <v>75.319999999999993</v>
      </c>
      <c r="I412" s="335">
        <f t="shared" si="151"/>
        <v>35808</v>
      </c>
      <c r="J412" s="345">
        <v>35810</v>
      </c>
      <c r="K412" s="317">
        <f t="shared" si="146"/>
        <v>2</v>
      </c>
      <c r="M412" s="346">
        <v>3.764E-2</v>
      </c>
      <c r="N412" s="339">
        <f>ROUND(((N411*SUM($K$10:K411))+(M412*K412))/SUM($K$10:K412),5)</f>
        <v>3.2550000000000003E-2</v>
      </c>
      <c r="O412" s="348">
        <v>92.1</v>
      </c>
      <c r="Q412" s="335">
        <f t="shared" si="153"/>
        <v>36782</v>
      </c>
      <c r="R412" s="345">
        <v>36790</v>
      </c>
      <c r="S412" s="317">
        <f>R412-Q412</f>
        <v>8</v>
      </c>
      <c r="U412" s="346">
        <v>4.5018000000000002E-2</v>
      </c>
      <c r="V412" s="339">
        <f>ROUND(((V411*SUM($S$10:S411))+(U412*S412))/SUM($S$10:S412),5)</f>
        <v>3.4720000000000001E-2</v>
      </c>
      <c r="W412" s="348">
        <v>81.86</v>
      </c>
      <c r="BB412" s="352"/>
      <c r="BE412" s="335">
        <f t="shared" si="149"/>
        <v>36179</v>
      </c>
      <c r="BF412" s="345">
        <v>36186</v>
      </c>
      <c r="BG412" s="317">
        <f t="shared" si="143"/>
        <v>7</v>
      </c>
      <c r="BH412" s="347">
        <v>2.9899999999999999E-2</v>
      </c>
      <c r="BI412" s="337">
        <f t="shared" si="144"/>
        <v>8601.3700000000008</v>
      </c>
      <c r="BK412" s="364"/>
      <c r="BO412" s="335">
        <f t="shared" si="150"/>
        <v>38127</v>
      </c>
      <c r="BP412" s="345">
        <v>38134</v>
      </c>
      <c r="BQ412" s="317">
        <f t="shared" si="137"/>
        <v>7</v>
      </c>
      <c r="BR412" s="347">
        <v>1.0699999999999999E-2</v>
      </c>
      <c r="BS412" s="337">
        <f t="shared" si="142"/>
        <v>3478.9617490000001</v>
      </c>
      <c r="CH412" s="337"/>
      <c r="CL412" s="335">
        <f t="shared" si="148"/>
        <v>39084</v>
      </c>
      <c r="CM412" s="361">
        <v>39086</v>
      </c>
      <c r="CN412" s="317">
        <f t="shared" si="138"/>
        <v>2</v>
      </c>
      <c r="CO412" s="346">
        <v>3.9100000000000003E-2</v>
      </c>
      <c r="CP412" s="346">
        <f t="shared" si="139"/>
        <v>7.8200000000000006E-2</v>
      </c>
      <c r="CQ412" s="367">
        <v>3.59967E-2</v>
      </c>
      <c r="CR412" s="337">
        <f t="shared" si="154"/>
        <v>16437.178100000001</v>
      </c>
      <c r="CV412" s="337">
        <f t="shared" si="141"/>
        <v>17854.2</v>
      </c>
    </row>
    <row r="413" spans="1:100" hidden="1" x14ac:dyDescent="0.25">
      <c r="A413" s="335">
        <f t="shared" si="152"/>
        <v>37032</v>
      </c>
      <c r="B413" s="345">
        <v>37035</v>
      </c>
      <c r="C413" s="317">
        <f t="shared" si="145"/>
        <v>3</v>
      </c>
      <c r="E413" s="346">
        <v>3.4674000000000003E-2</v>
      </c>
      <c r="F413" s="339">
        <f>ROUND(((F412*SUM($C$10:C412))+(E413*C413))/SUM($C$10:C413),5)</f>
        <v>3.3599999999999998E-2</v>
      </c>
      <c r="G413" s="348">
        <v>82.58</v>
      </c>
      <c r="I413" s="335">
        <f t="shared" si="151"/>
        <v>35810</v>
      </c>
      <c r="J413" s="345">
        <v>35811</v>
      </c>
      <c r="K413" s="317">
        <f t="shared" si="146"/>
        <v>1</v>
      </c>
      <c r="M413" s="346">
        <v>3.7589999999999998E-2</v>
      </c>
      <c r="N413" s="339">
        <f>ROUND(((N412*SUM($K$10:K412))+(M413*K413))/SUM($K$10:K413),5)</f>
        <v>3.2550000000000003E-2</v>
      </c>
      <c r="O413" s="348">
        <v>91.7</v>
      </c>
      <c r="Q413" s="335">
        <f t="shared" si="153"/>
        <v>36790</v>
      </c>
      <c r="R413" s="345">
        <v>36831</v>
      </c>
      <c r="S413" s="317">
        <f>R413-Q413</f>
        <v>41</v>
      </c>
      <c r="U413" s="346">
        <v>4.5191000000000002E-2</v>
      </c>
      <c r="V413" s="339">
        <f>ROUND(((V412*SUM($S$10:S412))+(U413*S413))/SUM($S$10:S413),5)</f>
        <v>3.4880000000000001E-2</v>
      </c>
      <c r="W413" s="348">
        <v>87.91</v>
      </c>
      <c r="BB413" s="352"/>
      <c r="BE413" s="335">
        <f t="shared" si="149"/>
        <v>36186</v>
      </c>
      <c r="BF413" s="345">
        <v>36192</v>
      </c>
      <c r="BG413" s="317">
        <f t="shared" si="143"/>
        <v>6</v>
      </c>
      <c r="BH413" s="347">
        <v>2.8000000000000001E-2</v>
      </c>
      <c r="BI413" s="337">
        <f t="shared" si="144"/>
        <v>6904.11</v>
      </c>
      <c r="BJ413" s="341">
        <f>SUM(BI409:BI413)</f>
        <v>39534.25</v>
      </c>
      <c r="BK413" s="364">
        <v>39413.61</v>
      </c>
      <c r="BL413" s="341">
        <f>BJ413-BK413</f>
        <v>120.63999999999942</v>
      </c>
      <c r="BM413" s="341">
        <f>BM408+BL413</f>
        <v>28294.330000000031</v>
      </c>
      <c r="BO413" s="335">
        <f t="shared" si="150"/>
        <v>38134</v>
      </c>
      <c r="BP413" s="345">
        <v>38139</v>
      </c>
      <c r="BQ413" s="317">
        <f t="shared" si="137"/>
        <v>5</v>
      </c>
      <c r="BR413" s="347">
        <v>1.06E-2</v>
      </c>
      <c r="BS413" s="337">
        <f t="shared" si="142"/>
        <v>2461.748634</v>
      </c>
      <c r="BT413" s="341">
        <f>SUM(BS409:BS413)</f>
        <v>15365.027323</v>
      </c>
      <c r="CH413" s="337"/>
      <c r="CL413" s="335">
        <f t="shared" si="148"/>
        <v>39086</v>
      </c>
      <c r="CM413" s="361">
        <v>39093</v>
      </c>
      <c r="CN413" s="317">
        <f t="shared" si="138"/>
        <v>7</v>
      </c>
      <c r="CO413" s="346">
        <v>3.4500000000000003E-2</v>
      </c>
      <c r="CP413" s="346">
        <f t="shared" si="139"/>
        <v>0.24150000000000002</v>
      </c>
      <c r="CQ413" s="367">
        <v>3.59967E-2</v>
      </c>
      <c r="CR413" s="337">
        <f t="shared" si="154"/>
        <v>57530.123200000002</v>
      </c>
      <c r="CV413" s="337">
        <f t="shared" si="141"/>
        <v>55138.1</v>
      </c>
    </row>
    <row r="414" spans="1:100" hidden="1" x14ac:dyDescent="0.25">
      <c r="A414" s="335">
        <f t="shared" si="152"/>
        <v>37035</v>
      </c>
      <c r="B414" s="345">
        <v>37048</v>
      </c>
      <c r="C414" s="317">
        <f t="shared" si="145"/>
        <v>13</v>
      </c>
      <c r="E414" s="346">
        <v>3.3933999999999999E-2</v>
      </c>
      <c r="F414" s="339">
        <f>ROUND(((F413*SUM($C$10:C413))+(E414*C414))/SUM($C$10:C414),5)</f>
        <v>3.3599999999999998E-2</v>
      </c>
      <c r="G414" s="348">
        <v>85.48</v>
      </c>
      <c r="I414" s="335">
        <f t="shared" si="151"/>
        <v>35811</v>
      </c>
      <c r="J414" s="345">
        <v>35815</v>
      </c>
      <c r="K414" s="317">
        <f t="shared" si="146"/>
        <v>4</v>
      </c>
      <c r="M414" s="346">
        <v>3.7539999999999997E-2</v>
      </c>
      <c r="N414" s="339">
        <f>ROUND(((N413*SUM($K$10:K413))+(M414*K414))/SUM($K$10:K414),5)</f>
        <v>3.2559999999999999E-2</v>
      </c>
      <c r="O414" s="348">
        <v>92.6</v>
      </c>
      <c r="Q414" s="335">
        <f t="shared" si="153"/>
        <v>36831</v>
      </c>
      <c r="R414" s="345">
        <v>36846</v>
      </c>
      <c r="S414" s="317">
        <f>R414-Q414</f>
        <v>15</v>
      </c>
      <c r="U414" s="346">
        <v>4.5449000000000003E-2</v>
      </c>
      <c r="V414" s="339">
        <f>ROUND(((V413*SUM($S$10:S413))+(U414*S414))/SUM($S$10:S414),5)</f>
        <v>3.4939999999999999E-2</v>
      </c>
      <c r="W414" s="348">
        <v>80.81</v>
      </c>
      <c r="BB414" s="352"/>
      <c r="BE414" s="335">
        <f t="shared" si="149"/>
        <v>36192</v>
      </c>
      <c r="BF414" s="345">
        <v>36193</v>
      </c>
      <c r="BG414" s="317">
        <f t="shared" si="143"/>
        <v>1</v>
      </c>
      <c r="BH414" s="347">
        <v>2.8000000000000001E-2</v>
      </c>
      <c r="BI414" s="337">
        <f t="shared" si="144"/>
        <v>1150.6849999999999</v>
      </c>
      <c r="BK414" s="364"/>
      <c r="BO414" s="335">
        <f t="shared" si="150"/>
        <v>38139</v>
      </c>
      <c r="BP414" s="361">
        <v>38141</v>
      </c>
      <c r="BQ414" s="317">
        <f t="shared" si="137"/>
        <v>2</v>
      </c>
      <c r="BR414" s="346">
        <v>1.06E-2</v>
      </c>
      <c r="BS414" s="337">
        <f t="shared" si="142"/>
        <v>984.69945399999995</v>
      </c>
      <c r="CH414" s="337"/>
      <c r="CL414" s="335">
        <f t="shared" si="148"/>
        <v>39093</v>
      </c>
      <c r="CM414" s="361">
        <v>39100</v>
      </c>
      <c r="CN414" s="317">
        <f t="shared" si="138"/>
        <v>7</v>
      </c>
      <c r="CO414" s="346">
        <v>3.6299999999999999E-2</v>
      </c>
      <c r="CP414" s="346">
        <f t="shared" si="139"/>
        <v>0.25409999999999999</v>
      </c>
      <c r="CQ414" s="367">
        <v>3.59967E-2</v>
      </c>
      <c r="CR414" s="337">
        <f t="shared" si="154"/>
        <v>57530.123200000002</v>
      </c>
      <c r="CV414" s="337">
        <f t="shared" si="141"/>
        <v>58014.9</v>
      </c>
    </row>
    <row r="415" spans="1:100" hidden="1" x14ac:dyDescent="0.25">
      <c r="A415" s="335">
        <f t="shared" si="152"/>
        <v>37048</v>
      </c>
      <c r="B415" s="345">
        <v>37049</v>
      </c>
      <c r="C415" s="317">
        <f t="shared" si="145"/>
        <v>1</v>
      </c>
      <c r="E415" s="346">
        <v>3.2850999999999998E-2</v>
      </c>
      <c r="F415" s="339">
        <f>ROUND(((F414*SUM($C$10:C414))+(E415*C415))/SUM($C$10:C415),5)</f>
        <v>3.3599999999999998E-2</v>
      </c>
      <c r="G415" s="348">
        <v>86.65</v>
      </c>
      <c r="I415" s="335">
        <f t="shared" si="151"/>
        <v>35815</v>
      </c>
      <c r="J415" s="345">
        <v>35816</v>
      </c>
      <c r="K415" s="317">
        <f t="shared" si="146"/>
        <v>1</v>
      </c>
      <c r="M415" s="346">
        <v>3.7510000000000002E-2</v>
      </c>
      <c r="N415" s="339">
        <f>ROUND(((N414*SUM($K$10:K414))+(M415*K415))/SUM($K$10:K415),5)</f>
        <v>3.2559999999999999E-2</v>
      </c>
      <c r="O415" s="348">
        <v>91.2</v>
      </c>
      <c r="Q415" s="335">
        <f t="shared" si="153"/>
        <v>36846</v>
      </c>
      <c r="R415" s="345">
        <v>36866</v>
      </c>
      <c r="S415" s="317">
        <f>R415-Q415</f>
        <v>20</v>
      </c>
      <c r="U415" s="346">
        <v>4.5745000000000001E-2</v>
      </c>
      <c r="V415" s="339">
        <f>ROUND(((V414*SUM($S$10:S414))+(U415*S415))/SUM($S$10:S415),5)</f>
        <v>3.5020000000000003E-2</v>
      </c>
      <c r="W415" s="348">
        <v>73.22</v>
      </c>
      <c r="BB415" s="352"/>
      <c r="BE415" s="335">
        <f t="shared" si="149"/>
        <v>36193</v>
      </c>
      <c r="BF415" s="345">
        <v>36200</v>
      </c>
      <c r="BG415" s="317">
        <f t="shared" si="143"/>
        <v>7</v>
      </c>
      <c r="BH415" s="347">
        <v>2.4500000000000001E-2</v>
      </c>
      <c r="BI415" s="337">
        <f t="shared" si="144"/>
        <v>7047.9449999999997</v>
      </c>
      <c r="BK415" s="364"/>
      <c r="BO415" s="335">
        <f t="shared" si="150"/>
        <v>38141</v>
      </c>
      <c r="BP415" s="361">
        <v>38148</v>
      </c>
      <c r="BQ415" s="317">
        <f t="shared" si="137"/>
        <v>7</v>
      </c>
      <c r="BR415" s="346">
        <v>1.03E-2</v>
      </c>
      <c r="BS415" s="337">
        <f t="shared" si="142"/>
        <v>3348.9071039999999</v>
      </c>
      <c r="CH415" s="337"/>
      <c r="CL415" s="335">
        <f t="shared" si="148"/>
        <v>39100</v>
      </c>
      <c r="CM415" s="361">
        <v>39107</v>
      </c>
      <c r="CN415" s="317">
        <f t="shared" si="138"/>
        <v>7</v>
      </c>
      <c r="CO415" s="346">
        <v>3.6200000000000003E-2</v>
      </c>
      <c r="CP415" s="346">
        <f t="shared" si="139"/>
        <v>0.25340000000000001</v>
      </c>
      <c r="CQ415" s="367">
        <v>3.59967E-2</v>
      </c>
      <c r="CR415" s="337">
        <f t="shared" si="154"/>
        <v>57530.123200000002</v>
      </c>
      <c r="CV415" s="337">
        <f t="shared" si="141"/>
        <v>57855</v>
      </c>
    </row>
    <row r="416" spans="1:100" hidden="1" x14ac:dyDescent="0.25">
      <c r="A416" s="335">
        <f t="shared" si="152"/>
        <v>37049</v>
      </c>
      <c r="B416" s="345">
        <v>37053</v>
      </c>
      <c r="C416" s="317">
        <f t="shared" si="145"/>
        <v>4</v>
      </c>
      <c r="E416" s="346">
        <v>3.2045999999999998E-2</v>
      </c>
      <c r="F416" s="339">
        <f>ROUND(((F415*SUM($C$10:C415))+(E416*C416))/SUM($C$10:C416),5)</f>
        <v>3.3599999999999998E-2</v>
      </c>
      <c r="G416" s="348">
        <v>78.58</v>
      </c>
      <c r="I416" s="335">
        <f t="shared" si="151"/>
        <v>35816</v>
      </c>
      <c r="J416" s="345">
        <v>35817</v>
      </c>
      <c r="K416" s="317">
        <f t="shared" si="146"/>
        <v>1</v>
      </c>
      <c r="M416" s="346">
        <v>3.7510000000000002E-2</v>
      </c>
      <c r="N416" s="339">
        <f>ROUND(((N415*SUM($K$10:K415))+(M416*K416))/SUM($K$10:K416),5)</f>
        <v>3.2559999999999999E-2</v>
      </c>
      <c r="O416" s="348">
        <v>91.2</v>
      </c>
      <c r="Q416" s="335">
        <f t="shared" si="153"/>
        <v>36866</v>
      </c>
      <c r="R416" s="345">
        <v>36871</v>
      </c>
      <c r="S416" s="317">
        <f t="shared" ref="S416:S480" si="155">R416-Q416</f>
        <v>5</v>
      </c>
      <c r="U416" s="346">
        <v>4.5851000000000003E-2</v>
      </c>
      <c r="V416" s="339">
        <f>ROUND(((V415*SUM($S$10:S415))+(U416*S416))/SUM($S$10:S416),5)</f>
        <v>3.5040000000000002E-2</v>
      </c>
      <c r="W416" s="348">
        <v>72.709999999999994</v>
      </c>
      <c r="BB416" s="352"/>
      <c r="BE416" s="335">
        <f t="shared" si="149"/>
        <v>36200</v>
      </c>
      <c r="BF416" s="345">
        <v>36207</v>
      </c>
      <c r="BG416" s="317">
        <f t="shared" si="143"/>
        <v>7</v>
      </c>
      <c r="BH416" s="347">
        <v>2.1999999999999999E-2</v>
      </c>
      <c r="BI416" s="337">
        <f t="shared" si="144"/>
        <v>6328.7650000000003</v>
      </c>
      <c r="BK416" s="364"/>
      <c r="BO416" s="335">
        <f t="shared" si="150"/>
        <v>38148</v>
      </c>
      <c r="BP416" s="361">
        <v>38155</v>
      </c>
      <c r="BQ416" s="317">
        <f t="shared" si="137"/>
        <v>7</v>
      </c>
      <c r="BR416" s="346">
        <v>1.0699999999999999E-2</v>
      </c>
      <c r="BS416" s="337">
        <f t="shared" si="142"/>
        <v>3478.9617490000001</v>
      </c>
      <c r="CH416" s="337"/>
      <c r="CL416" s="335">
        <f t="shared" si="148"/>
        <v>39107</v>
      </c>
      <c r="CM416" s="361">
        <v>39114</v>
      </c>
      <c r="CN416" s="317">
        <f t="shared" si="138"/>
        <v>7</v>
      </c>
      <c r="CO416" s="346">
        <v>3.61E-2</v>
      </c>
      <c r="CP416" s="346">
        <f t="shared" si="139"/>
        <v>0.25269999999999998</v>
      </c>
      <c r="CQ416" s="365">
        <f>ROUND(SUM(CP412:CP416)/30,7)</f>
        <v>3.59967E-2</v>
      </c>
      <c r="CR416" s="337">
        <f t="shared" si="154"/>
        <v>57530.123200000002</v>
      </c>
      <c r="CS416" s="337">
        <f>SUM(CR412:CR416)</f>
        <v>246557.67090000003</v>
      </c>
      <c r="CT416" s="337">
        <f>$CR$5*0.05495*29/360</f>
        <v>368884.69236111111</v>
      </c>
      <c r="CU416" s="366">
        <f>CS416-CT416</f>
        <v>-122327.02146111109</v>
      </c>
      <c r="CV416" s="337">
        <f t="shared" si="141"/>
        <v>57695.199999999997</v>
      </c>
    </row>
    <row r="417" spans="1:100" hidden="1" x14ac:dyDescent="0.25">
      <c r="A417" s="335">
        <f t="shared" si="152"/>
        <v>37053</v>
      </c>
      <c r="B417" s="345">
        <v>37054</v>
      </c>
      <c r="C417" s="317">
        <f t="shared" si="145"/>
        <v>1</v>
      </c>
      <c r="E417" s="346">
        <v>3.0401000000000001E-2</v>
      </c>
      <c r="F417" s="339">
        <f>ROUND(((F416*SUM($C$10:C416))+(E417*C417))/SUM($C$10:C417),5)</f>
        <v>3.3599999999999998E-2</v>
      </c>
      <c r="G417" s="348">
        <v>59.23</v>
      </c>
      <c r="I417" s="335">
        <f t="shared" si="151"/>
        <v>35817</v>
      </c>
      <c r="J417" s="345">
        <v>35818</v>
      </c>
      <c r="K417" s="317">
        <f t="shared" si="146"/>
        <v>1</v>
      </c>
      <c r="M417" s="346">
        <v>3.7510000000000002E-2</v>
      </c>
      <c r="N417" s="339">
        <f>ROUND(((N416*SUM($K$10:K416))+(M417*K417))/SUM($K$10:K417),5)</f>
        <v>3.2559999999999999E-2</v>
      </c>
      <c r="O417" s="348">
        <v>91.2</v>
      </c>
      <c r="Q417" s="335">
        <f t="shared" si="153"/>
        <v>36871</v>
      </c>
      <c r="R417" s="345">
        <v>36879</v>
      </c>
      <c r="S417" s="317">
        <f t="shared" si="155"/>
        <v>8</v>
      </c>
      <c r="U417" s="346">
        <v>4.5727999999999998E-2</v>
      </c>
      <c r="V417" s="339">
        <f>ROUND(((V416*SUM($S$10:S416))+(U417*S417))/SUM($S$10:S417),5)</f>
        <v>3.5069999999999997E-2</v>
      </c>
      <c r="W417" s="348">
        <v>63.1</v>
      </c>
      <c r="BB417" s="352"/>
      <c r="BE417" s="335">
        <f t="shared" si="149"/>
        <v>36207</v>
      </c>
      <c r="BF417" s="345">
        <v>36214</v>
      </c>
      <c r="BG417" s="317">
        <f t="shared" si="143"/>
        <v>7</v>
      </c>
      <c r="BH417" s="347">
        <v>2.7E-2</v>
      </c>
      <c r="BI417" s="337">
        <f t="shared" si="144"/>
        <v>7767.125</v>
      </c>
      <c r="BK417" s="364"/>
      <c r="BO417" s="335">
        <f t="shared" si="150"/>
        <v>38155</v>
      </c>
      <c r="BP417" s="361">
        <v>38162</v>
      </c>
      <c r="BQ417" s="317">
        <f t="shared" si="137"/>
        <v>7</v>
      </c>
      <c r="BR417" s="346">
        <v>1.0699999999999999E-2</v>
      </c>
      <c r="BS417" s="337">
        <f t="shared" si="142"/>
        <v>3478.9617490000001</v>
      </c>
      <c r="CH417" s="337"/>
      <c r="CL417" s="335">
        <f t="shared" si="148"/>
        <v>39114</v>
      </c>
      <c r="CM417" s="361">
        <v>39121</v>
      </c>
      <c r="CN417" s="317">
        <f t="shared" si="138"/>
        <v>7</v>
      </c>
      <c r="CO417" s="346">
        <v>3.5000000000000003E-2</v>
      </c>
      <c r="CP417" s="346">
        <f t="shared" si="139"/>
        <v>0.24500000000000002</v>
      </c>
      <c r="CQ417" s="365">
        <v>3.5975E-2</v>
      </c>
      <c r="CR417" s="337">
        <f t="shared" si="154"/>
        <v>57495.4421</v>
      </c>
      <c r="CV417" s="337">
        <f t="shared" si="141"/>
        <v>55937.2</v>
      </c>
    </row>
    <row r="418" spans="1:100" hidden="1" x14ac:dyDescent="0.25">
      <c r="A418" s="335">
        <f t="shared" si="152"/>
        <v>37054</v>
      </c>
      <c r="B418" s="345">
        <v>37057</v>
      </c>
      <c r="C418" s="317">
        <f t="shared" si="145"/>
        <v>3</v>
      </c>
      <c r="E418" s="346">
        <v>2.9693000000000001E-2</v>
      </c>
      <c r="F418" s="339">
        <f>ROUND(((F417*SUM($C$10:C417))+(E418*C418))/SUM($C$10:C418),5)</f>
        <v>3.3599999999999998E-2</v>
      </c>
      <c r="G418" s="348">
        <v>65.680000000000007</v>
      </c>
      <c r="I418" s="335">
        <f t="shared" si="151"/>
        <v>35818</v>
      </c>
      <c r="J418" s="345">
        <v>35821</v>
      </c>
      <c r="K418" s="317">
        <f t="shared" si="146"/>
        <v>3</v>
      </c>
      <c r="M418" s="346">
        <v>3.7510000000000002E-2</v>
      </c>
      <c r="N418" s="339">
        <f>ROUND(((N417*SUM($K$10:K417))+(M418*K418))/SUM($K$10:K418),5)</f>
        <v>3.2570000000000002E-2</v>
      </c>
      <c r="O418" s="348">
        <v>91.2</v>
      </c>
      <c r="Q418" s="335">
        <f t="shared" si="153"/>
        <v>36879</v>
      </c>
      <c r="R418" s="345">
        <v>36900</v>
      </c>
      <c r="S418" s="317">
        <f t="shared" si="155"/>
        <v>21</v>
      </c>
      <c r="U418" s="346">
        <v>4.6025999999999997E-2</v>
      </c>
      <c r="V418" s="339">
        <f>ROUND(((V417*SUM($S$10:S417))+(U418*S418))/SUM($S$10:S418),5)</f>
        <v>3.5159999999999997E-2</v>
      </c>
      <c r="W418" s="348">
        <v>70.48</v>
      </c>
      <c r="BB418" s="352"/>
      <c r="BE418" s="335">
        <f t="shared" si="149"/>
        <v>36214</v>
      </c>
      <c r="BF418" s="345">
        <v>36220</v>
      </c>
      <c r="BG418" s="317">
        <f t="shared" si="143"/>
        <v>6</v>
      </c>
      <c r="BH418" s="347">
        <v>2.9499999999999998E-2</v>
      </c>
      <c r="BI418" s="337">
        <f t="shared" si="144"/>
        <v>7273.9750000000004</v>
      </c>
      <c r="BJ418" s="341">
        <f>SUM(BI414:BI418)</f>
        <v>29568.495000000003</v>
      </c>
      <c r="BK418" s="364">
        <v>33950.51</v>
      </c>
      <c r="BL418" s="341">
        <f>BJ418-BK418</f>
        <v>-4382.0149999999994</v>
      </c>
      <c r="BM418" s="341">
        <f>BM413+BL418</f>
        <v>23912.315000000031</v>
      </c>
      <c r="BO418" s="335">
        <f t="shared" si="150"/>
        <v>38162</v>
      </c>
      <c r="BP418" s="361">
        <v>38169</v>
      </c>
      <c r="BQ418" s="317">
        <f t="shared" si="137"/>
        <v>7</v>
      </c>
      <c r="BR418" s="346">
        <v>1.0800000000000001E-2</v>
      </c>
      <c r="BS418" s="337">
        <f t="shared" si="142"/>
        <v>3511.47541</v>
      </c>
      <c r="BT418" s="341">
        <f>SUM(BS414:BS418)</f>
        <v>14803.005465999999</v>
      </c>
      <c r="CH418" s="337"/>
      <c r="CL418" s="335">
        <f t="shared" si="148"/>
        <v>39121</v>
      </c>
      <c r="CM418" s="361">
        <v>39128</v>
      </c>
      <c r="CN418" s="317">
        <f t="shared" si="138"/>
        <v>7</v>
      </c>
      <c r="CO418" s="346">
        <v>3.5900000000000001E-2</v>
      </c>
      <c r="CP418" s="346">
        <f t="shared" si="139"/>
        <v>0.25130000000000002</v>
      </c>
      <c r="CQ418" s="365">
        <v>3.5975E-2</v>
      </c>
      <c r="CR418" s="337">
        <f t="shared" si="154"/>
        <v>57495.4421</v>
      </c>
      <c r="CV418" s="337">
        <f t="shared" si="141"/>
        <v>57375.6</v>
      </c>
    </row>
    <row r="419" spans="1:100" hidden="1" x14ac:dyDescent="0.25">
      <c r="A419" s="335">
        <f t="shared" si="152"/>
        <v>37057</v>
      </c>
      <c r="B419" s="345">
        <v>37082</v>
      </c>
      <c r="C419" s="317">
        <f t="shared" si="145"/>
        <v>25</v>
      </c>
      <c r="E419" s="346">
        <v>2.9898000000000001E-2</v>
      </c>
      <c r="F419" s="339">
        <f>ROUND(((F418*SUM($C$10:C418))+(E419*C419))/SUM($C$10:C419),5)</f>
        <v>3.3570000000000003E-2</v>
      </c>
      <c r="G419" s="348">
        <v>69.739999999999995</v>
      </c>
      <c r="I419" s="335">
        <f t="shared" si="151"/>
        <v>35821</v>
      </c>
      <c r="J419" s="345">
        <v>35822</v>
      </c>
      <c r="K419" s="317">
        <f t="shared" si="146"/>
        <v>1</v>
      </c>
      <c r="M419" s="346">
        <v>3.7510000000000002E-2</v>
      </c>
      <c r="N419" s="339">
        <f>ROUND(((N418*SUM($K$10:K418))+(M419*K419))/SUM($K$10:K419),5)</f>
        <v>3.2570000000000002E-2</v>
      </c>
      <c r="O419" s="348">
        <v>91.2</v>
      </c>
      <c r="Q419" s="335">
        <f t="shared" si="153"/>
        <v>36900</v>
      </c>
      <c r="R419" s="345">
        <v>36903</v>
      </c>
      <c r="S419" s="317">
        <f t="shared" si="155"/>
        <v>3</v>
      </c>
      <c r="U419" s="346">
        <v>4.5712999999999997E-2</v>
      </c>
      <c r="V419" s="339">
        <f>ROUND(((V418*SUM($S$10:S418))+(U419*S419))/SUM($S$10:S419),5)</f>
        <v>3.517E-2</v>
      </c>
      <c r="W419" s="348">
        <v>57.28</v>
      </c>
      <c r="BB419" s="352"/>
      <c r="BE419" s="335">
        <f t="shared" si="149"/>
        <v>36220</v>
      </c>
      <c r="BF419" s="345">
        <v>36221</v>
      </c>
      <c r="BG419" s="317">
        <f t="shared" si="143"/>
        <v>1</v>
      </c>
      <c r="BH419" s="347">
        <v>2.9499999999999998E-2</v>
      </c>
      <c r="BI419" s="337">
        <f t="shared" si="144"/>
        <v>1212.33</v>
      </c>
      <c r="BK419" s="364"/>
      <c r="BO419" s="335">
        <f t="shared" si="150"/>
        <v>38169</v>
      </c>
      <c r="BP419" s="345">
        <v>38176</v>
      </c>
      <c r="BQ419" s="317">
        <f t="shared" si="137"/>
        <v>7</v>
      </c>
      <c r="BR419" s="347">
        <v>1.0500000000000001E-2</v>
      </c>
      <c r="BS419" s="337">
        <f t="shared" si="142"/>
        <v>3413.9344259999998</v>
      </c>
      <c r="CH419" s="337"/>
      <c r="CL419" s="335">
        <f t="shared" si="148"/>
        <v>39128</v>
      </c>
      <c r="CM419" s="361">
        <v>39135</v>
      </c>
      <c r="CN419" s="317">
        <f t="shared" si="138"/>
        <v>7</v>
      </c>
      <c r="CO419" s="346">
        <v>3.6499999999999998E-2</v>
      </c>
      <c r="CP419" s="346">
        <f t="shared" si="139"/>
        <v>0.2555</v>
      </c>
      <c r="CQ419" s="365">
        <v>3.5975E-2</v>
      </c>
      <c r="CR419" s="337">
        <f t="shared" si="154"/>
        <v>57495.4421</v>
      </c>
      <c r="CV419" s="337">
        <f t="shared" si="141"/>
        <v>58334.5</v>
      </c>
    </row>
    <row r="420" spans="1:100" hidden="1" x14ac:dyDescent="0.25">
      <c r="A420" s="335">
        <f t="shared" si="152"/>
        <v>37082</v>
      </c>
      <c r="B420" s="345">
        <v>37089</v>
      </c>
      <c r="C420" s="317">
        <f t="shared" si="145"/>
        <v>7</v>
      </c>
      <c r="E420" s="346">
        <v>2.9666999999999999E-2</v>
      </c>
      <c r="F420" s="339">
        <f>ROUND(((F419*SUM($C$10:C419))+(E420*C420))/SUM($C$10:C420),5)</f>
        <v>3.356E-2</v>
      </c>
      <c r="G420" s="348">
        <v>72.06</v>
      </c>
      <c r="I420" s="335">
        <f t="shared" si="151"/>
        <v>35822</v>
      </c>
      <c r="J420" s="345">
        <v>35823</v>
      </c>
      <c r="K420" s="317">
        <f t="shared" si="146"/>
        <v>1</v>
      </c>
      <c r="M420" s="346">
        <v>3.7510000000000002E-2</v>
      </c>
      <c r="N420" s="339">
        <f>ROUND(((N419*SUM($K$10:K419))+(M420*K420))/SUM($K$10:K420),5)</f>
        <v>3.2570000000000002E-2</v>
      </c>
      <c r="O420" s="348">
        <v>91.2</v>
      </c>
      <c r="Q420" s="335">
        <f t="shared" si="153"/>
        <v>36903</v>
      </c>
      <c r="R420" s="345">
        <v>36908</v>
      </c>
      <c r="S420" s="317">
        <f t="shared" si="155"/>
        <v>5</v>
      </c>
      <c r="U420" s="346">
        <v>4.3936999999999997E-2</v>
      </c>
      <c r="V420" s="339">
        <f>ROUND(((V419*SUM($S$10:S419))+(U420*S420))/SUM($S$10:S420),5)</f>
        <v>3.5189999999999999E-2</v>
      </c>
      <c r="W420" s="348">
        <v>54.47</v>
      </c>
      <c r="BB420" s="352"/>
      <c r="BE420" s="335">
        <f t="shared" si="149"/>
        <v>36221</v>
      </c>
      <c r="BF420" s="345">
        <v>36228</v>
      </c>
      <c r="BG420" s="317">
        <f t="shared" si="143"/>
        <v>7</v>
      </c>
      <c r="BH420" s="347">
        <v>2.75E-2</v>
      </c>
      <c r="BI420" s="337">
        <f t="shared" si="144"/>
        <v>7910.96</v>
      </c>
      <c r="BJ420" s="350" t="s">
        <v>35</v>
      </c>
      <c r="BK420" s="364"/>
      <c r="BO420" s="335">
        <f t="shared" si="150"/>
        <v>38176</v>
      </c>
      <c r="BP420" s="345">
        <v>38183</v>
      </c>
      <c r="BQ420" s="317">
        <f t="shared" si="137"/>
        <v>7</v>
      </c>
      <c r="BR420" s="347">
        <v>0.01</v>
      </c>
      <c r="BS420" s="337">
        <f t="shared" si="142"/>
        <v>3251.3661200000001</v>
      </c>
      <c r="CH420" s="337"/>
      <c r="CL420" s="335">
        <f t="shared" si="148"/>
        <v>39135</v>
      </c>
      <c r="CM420" s="361">
        <v>39142</v>
      </c>
      <c r="CN420" s="317">
        <f t="shared" si="138"/>
        <v>7</v>
      </c>
      <c r="CO420" s="346">
        <v>3.6499999999999998E-2</v>
      </c>
      <c r="CP420" s="346">
        <f t="shared" si="139"/>
        <v>0.2555</v>
      </c>
      <c r="CQ420" s="365">
        <f>ROUND(SUM(CP417:CP420)/28,7)</f>
        <v>3.5975E-2</v>
      </c>
      <c r="CR420" s="337">
        <f t="shared" si="154"/>
        <v>57495.4421</v>
      </c>
      <c r="CS420" s="337">
        <f>SUM(CR417:CR420)</f>
        <v>229981.7684</v>
      </c>
      <c r="CT420" s="337">
        <f>$CR$5*0.05495*30/360</f>
        <v>381604.85416666669</v>
      </c>
      <c r="CU420" s="366">
        <f>CS420-CT420+0.01</f>
        <v>-151623.07576666668</v>
      </c>
      <c r="CV420" s="337">
        <f t="shared" si="141"/>
        <v>58334.5</v>
      </c>
    </row>
    <row r="421" spans="1:100" hidden="1" x14ac:dyDescent="0.25">
      <c r="A421" s="335">
        <f t="shared" si="152"/>
        <v>37089</v>
      </c>
      <c r="B421" s="345">
        <v>37110</v>
      </c>
      <c r="C421" s="317">
        <f t="shared" si="145"/>
        <v>21</v>
      </c>
      <c r="E421" s="346">
        <v>2.9367000000000001E-2</v>
      </c>
      <c r="F421" s="339">
        <f>ROUND(((F420*SUM($C$10:C420))+(E421*C421))/SUM($C$10:C421),5)</f>
        <v>3.3529999999999997E-2</v>
      </c>
      <c r="G421" s="348">
        <v>66.260000000000005</v>
      </c>
      <c r="I421" s="335">
        <f t="shared" si="151"/>
        <v>35823</v>
      </c>
      <c r="J421" s="345">
        <v>35832</v>
      </c>
      <c r="K421" s="317">
        <f t="shared" si="146"/>
        <v>9</v>
      </c>
      <c r="M421" s="346">
        <v>3.7490000000000002E-2</v>
      </c>
      <c r="N421" s="339">
        <f>ROUND(((N420*SUM($K$10:K420))+(M421*K421))/SUM($K$10:K421),5)</f>
        <v>3.2590000000000001E-2</v>
      </c>
      <c r="O421" s="348">
        <v>93.6</v>
      </c>
      <c r="Q421" s="335">
        <f t="shared" si="153"/>
        <v>36908</v>
      </c>
      <c r="R421" s="345">
        <v>36915</v>
      </c>
      <c r="S421" s="317">
        <f t="shared" si="155"/>
        <v>7</v>
      </c>
      <c r="U421" s="346">
        <v>3.6225E-2</v>
      </c>
      <c r="V421" s="339">
        <f>ROUND(((V420*SUM($S$10:S420))+(U421*S421))/SUM($S$10:S421),5)</f>
        <v>3.5189999999999999E-2</v>
      </c>
      <c r="W421" s="348">
        <v>34.39</v>
      </c>
      <c r="BB421" s="352"/>
      <c r="BE421" s="335">
        <f t="shared" si="149"/>
        <v>36228</v>
      </c>
      <c r="BF421" s="345">
        <v>36235</v>
      </c>
      <c r="BG421" s="317">
        <f t="shared" si="143"/>
        <v>7</v>
      </c>
      <c r="BH421" s="347">
        <v>3.1E-2</v>
      </c>
      <c r="BI421" s="337">
        <f t="shared" si="144"/>
        <v>8917.81</v>
      </c>
      <c r="BK421" s="364"/>
      <c r="BO421" s="335">
        <f t="shared" si="150"/>
        <v>38183</v>
      </c>
      <c r="BP421" s="345">
        <v>38190</v>
      </c>
      <c r="BQ421" s="317">
        <f t="shared" si="137"/>
        <v>7</v>
      </c>
      <c r="BR421" s="347">
        <v>1.01E-2</v>
      </c>
      <c r="BS421" s="337">
        <f t="shared" si="142"/>
        <v>3283.8797810000001</v>
      </c>
      <c r="CH421" s="337"/>
      <c r="CL421" s="335">
        <f t="shared" si="148"/>
        <v>39142</v>
      </c>
      <c r="CM421" s="361">
        <v>39149</v>
      </c>
      <c r="CN421" s="317">
        <f t="shared" si="138"/>
        <v>7</v>
      </c>
      <c r="CO421" s="346">
        <v>3.5099999999999999E-2</v>
      </c>
      <c r="CP421" s="346">
        <f t="shared" si="139"/>
        <v>0.2457</v>
      </c>
      <c r="CQ421" s="367">
        <v>3.5799999999999998E-2</v>
      </c>
      <c r="CR421" s="337">
        <f t="shared" si="154"/>
        <v>57215.756200000003</v>
      </c>
      <c r="CV421" s="337">
        <f t="shared" si="141"/>
        <v>56097</v>
      </c>
    </row>
    <row r="422" spans="1:100" hidden="1" x14ac:dyDescent="0.25">
      <c r="A422" s="335">
        <f t="shared" si="152"/>
        <v>37110</v>
      </c>
      <c r="B422" s="345">
        <v>37111</v>
      </c>
      <c r="C422" s="317">
        <f t="shared" si="145"/>
        <v>1</v>
      </c>
      <c r="E422" s="346">
        <v>2.9135000000000001E-2</v>
      </c>
      <c r="F422" s="339">
        <f>ROUND(((F421*SUM($C$10:C421))+(E422*C422))/SUM($C$10:C422),5)</f>
        <v>3.3529999999999997E-2</v>
      </c>
      <c r="G422" s="348">
        <v>67.39</v>
      </c>
      <c r="I422" s="335">
        <f t="shared" si="151"/>
        <v>35832</v>
      </c>
      <c r="J422" s="345">
        <v>35837</v>
      </c>
      <c r="K422" s="317">
        <f t="shared" si="146"/>
        <v>5</v>
      </c>
      <c r="M422" s="346">
        <v>3.712E-2</v>
      </c>
      <c r="N422" s="339">
        <f>ROUND(((N421*SUM($K$10:K421))+(M422*K422))/SUM($K$10:K422),5)</f>
        <v>3.2599999999999997E-2</v>
      </c>
      <c r="O422" s="348">
        <v>84.9</v>
      </c>
      <c r="Q422" s="335">
        <f t="shared" si="153"/>
        <v>36915</v>
      </c>
      <c r="R422" s="345">
        <v>36923</v>
      </c>
      <c r="S422" s="317">
        <f t="shared" si="155"/>
        <v>8</v>
      </c>
      <c r="U422" s="346">
        <v>3.7151999999999998E-2</v>
      </c>
      <c r="V422" s="339">
        <f>ROUND(((V421*SUM($S$10:S421))+(U422*S422))/SUM($S$10:S422),5)</f>
        <v>3.5200000000000002E-2</v>
      </c>
      <c r="W422" s="348">
        <v>34.9</v>
      </c>
      <c r="BB422" s="352"/>
      <c r="BE422" s="335">
        <f t="shared" si="149"/>
        <v>36235</v>
      </c>
      <c r="BF422" s="345">
        <v>36242</v>
      </c>
      <c r="BG422" s="317">
        <f t="shared" si="143"/>
        <v>7</v>
      </c>
      <c r="BH422" s="347">
        <v>3.15E-2</v>
      </c>
      <c r="BI422" s="337">
        <f t="shared" si="144"/>
        <v>9061.6450000000004</v>
      </c>
      <c r="BK422" s="364"/>
      <c r="BO422" s="335">
        <f t="shared" si="150"/>
        <v>38190</v>
      </c>
      <c r="BP422" s="345">
        <v>38197</v>
      </c>
      <c r="BQ422" s="317">
        <f t="shared" si="137"/>
        <v>7</v>
      </c>
      <c r="BR422" s="347">
        <v>1.04E-2</v>
      </c>
      <c r="BS422" s="337">
        <f t="shared" si="142"/>
        <v>3381.4207649999998</v>
      </c>
      <c r="CH422" s="337"/>
      <c r="CL422" s="335">
        <f t="shared" si="148"/>
        <v>39149</v>
      </c>
      <c r="CM422" s="361">
        <v>39156</v>
      </c>
      <c r="CN422" s="317">
        <f t="shared" si="138"/>
        <v>7</v>
      </c>
      <c r="CO422" s="346">
        <v>3.5200000000000002E-2</v>
      </c>
      <c r="CP422" s="346">
        <f t="shared" si="139"/>
        <v>0.24640000000000001</v>
      </c>
      <c r="CQ422" s="367">
        <v>3.5799999999999998E-2</v>
      </c>
      <c r="CR422" s="337">
        <f t="shared" si="154"/>
        <v>57215.756200000003</v>
      </c>
      <c r="CV422" s="337">
        <f t="shared" si="141"/>
        <v>56256.800000000003</v>
      </c>
    </row>
    <row r="423" spans="1:100" hidden="1" x14ac:dyDescent="0.25">
      <c r="A423" s="335">
        <f t="shared" si="152"/>
        <v>37111</v>
      </c>
      <c r="B423" s="345">
        <v>37027</v>
      </c>
      <c r="C423" s="317">
        <f t="shared" si="145"/>
        <v>-84</v>
      </c>
      <c r="E423" s="346">
        <v>2.8764000000000001E-2</v>
      </c>
      <c r="F423" s="339">
        <f>ROUND(((F422*SUM($C$10:C422))+(E423*C423))/SUM($C$10:C423),5)</f>
        <v>3.3660000000000002E-2</v>
      </c>
      <c r="G423" s="348">
        <v>67.39</v>
      </c>
      <c r="I423" s="335">
        <f t="shared" si="151"/>
        <v>35837</v>
      </c>
      <c r="J423" s="345">
        <v>35838</v>
      </c>
      <c r="K423" s="317">
        <f t="shared" si="146"/>
        <v>1</v>
      </c>
      <c r="M423" s="346">
        <v>3.6940000000000001E-2</v>
      </c>
      <c r="N423" s="339">
        <f>ROUND(((N422*SUM($K$10:K422))+(M423*K423))/SUM($K$10:K423),5)</f>
        <v>3.2599999999999997E-2</v>
      </c>
      <c r="O423" s="348">
        <v>86</v>
      </c>
      <c r="Q423" s="335">
        <f t="shared" si="153"/>
        <v>36923</v>
      </c>
      <c r="R423" s="345">
        <v>36938</v>
      </c>
      <c r="S423" s="317">
        <f t="shared" si="155"/>
        <v>15</v>
      </c>
      <c r="U423" s="346">
        <v>3.8386999999999998E-2</v>
      </c>
      <c r="V423" s="339">
        <f>ROUND(((V422*SUM($S$10:S422))+(U423*S423))/SUM($S$10:S423),5)</f>
        <v>3.5220000000000001E-2</v>
      </c>
      <c r="W423" s="348">
        <v>43.53</v>
      </c>
      <c r="BB423" s="352"/>
      <c r="BE423" s="335">
        <f t="shared" si="149"/>
        <v>36242</v>
      </c>
      <c r="BF423" s="345">
        <v>36249</v>
      </c>
      <c r="BG423" s="317">
        <f t="shared" si="143"/>
        <v>7</v>
      </c>
      <c r="BH423" s="347">
        <v>3.0700000000000002E-2</v>
      </c>
      <c r="BI423" s="337">
        <f t="shared" si="144"/>
        <v>8831.5049999999992</v>
      </c>
      <c r="BK423" s="364"/>
      <c r="BO423" s="335">
        <f t="shared" si="150"/>
        <v>38197</v>
      </c>
      <c r="BP423" s="345">
        <v>38200</v>
      </c>
      <c r="BQ423" s="317">
        <f t="shared" si="137"/>
        <v>3</v>
      </c>
      <c r="BR423" s="347">
        <v>1.0800000000000001E-2</v>
      </c>
      <c r="BS423" s="337">
        <f t="shared" si="142"/>
        <v>1504.9180329999999</v>
      </c>
      <c r="BT423" s="341">
        <f>SUM(BS419:BS423)</f>
        <v>14835.519125000001</v>
      </c>
      <c r="CH423" s="337"/>
      <c r="CL423" s="335">
        <f t="shared" si="148"/>
        <v>39156</v>
      </c>
      <c r="CM423" s="361">
        <v>39163</v>
      </c>
      <c r="CN423" s="317">
        <f t="shared" si="138"/>
        <v>7</v>
      </c>
      <c r="CO423" s="346">
        <v>3.6000000000000004E-2</v>
      </c>
      <c r="CP423" s="346">
        <f t="shared" si="139"/>
        <v>0.252</v>
      </c>
      <c r="CQ423" s="367">
        <v>3.5799999999999998E-2</v>
      </c>
      <c r="CR423" s="337">
        <f t="shared" si="154"/>
        <v>57215.756200000003</v>
      </c>
      <c r="CV423" s="337">
        <f t="shared" si="141"/>
        <v>57535.4</v>
      </c>
    </row>
    <row r="424" spans="1:100" hidden="1" x14ac:dyDescent="0.25">
      <c r="A424" s="335">
        <f t="shared" si="152"/>
        <v>37027</v>
      </c>
      <c r="B424" s="345">
        <v>37130</v>
      </c>
      <c r="C424" s="317">
        <f t="shared" si="145"/>
        <v>103</v>
      </c>
      <c r="E424" s="346">
        <v>2.8552999999999999E-2</v>
      </c>
      <c r="F424" s="339">
        <f>ROUND(((F423*SUM($C$10:C423))+(E424*C424))/SUM($C$10:C424),5)</f>
        <v>3.3500000000000002E-2</v>
      </c>
      <c r="G424" s="348">
        <v>63.9</v>
      </c>
      <c r="I424" s="335">
        <f t="shared" si="151"/>
        <v>35838</v>
      </c>
      <c r="J424" s="345">
        <v>35844</v>
      </c>
      <c r="K424" s="317">
        <f t="shared" si="146"/>
        <v>6</v>
      </c>
      <c r="M424" s="346">
        <v>3.6810000000000002E-2</v>
      </c>
      <c r="N424" s="339">
        <f>ROUND(((N423*SUM($K$10:K423))+(M424*K424))/SUM($K$10:K424),5)</f>
        <v>3.261E-2</v>
      </c>
      <c r="O424" s="348">
        <v>83.4</v>
      </c>
      <c r="Q424" s="335">
        <f t="shared" si="153"/>
        <v>36938</v>
      </c>
      <c r="R424" s="345">
        <v>36943</v>
      </c>
      <c r="S424" s="317">
        <f t="shared" si="155"/>
        <v>5</v>
      </c>
      <c r="U424" s="346">
        <v>4.0122999999999999E-2</v>
      </c>
      <c r="V424" s="339">
        <f>ROUND(((V423*SUM($S$10:S423))+(U424*S424))/SUM($S$10:S424),5)</f>
        <v>3.5229999999999997E-2</v>
      </c>
      <c r="W424" s="348">
        <v>43.4</v>
      </c>
      <c r="BB424" s="352"/>
      <c r="BE424" s="335">
        <f t="shared" si="149"/>
        <v>36249</v>
      </c>
      <c r="BF424" s="345">
        <v>36251</v>
      </c>
      <c r="BG424" s="317">
        <f t="shared" si="143"/>
        <v>2</v>
      </c>
      <c r="BH424" s="347">
        <v>0.03</v>
      </c>
      <c r="BI424" s="337">
        <f t="shared" si="144"/>
        <v>2465.7550000000001</v>
      </c>
      <c r="BJ424" s="341">
        <f>SUM(BI419:BI424)</f>
        <v>38400.004999999997</v>
      </c>
      <c r="BK424" s="364">
        <v>36924</v>
      </c>
      <c r="BL424" s="341">
        <f>BJ424-BK424</f>
        <v>1476.0049999999974</v>
      </c>
      <c r="BM424" s="341">
        <f>BM418+BL424</f>
        <v>25388.320000000029</v>
      </c>
      <c r="BO424" s="335">
        <f t="shared" si="150"/>
        <v>38200</v>
      </c>
      <c r="BP424" s="345">
        <v>38204</v>
      </c>
      <c r="BQ424" s="317">
        <f t="shared" si="137"/>
        <v>4</v>
      </c>
      <c r="BR424" s="347">
        <v>1.0800000000000001E-2</v>
      </c>
      <c r="BS424" s="337">
        <f t="shared" si="142"/>
        <v>2006.5573770000001</v>
      </c>
      <c r="CH424" s="337"/>
      <c r="CL424" s="335">
        <f t="shared" si="148"/>
        <v>39163</v>
      </c>
      <c r="CM424" s="361">
        <v>39170</v>
      </c>
      <c r="CN424" s="317">
        <f t="shared" si="138"/>
        <v>7</v>
      </c>
      <c r="CO424" s="346">
        <v>3.6499999999999998E-2</v>
      </c>
      <c r="CP424" s="346">
        <f t="shared" si="139"/>
        <v>0.2555</v>
      </c>
      <c r="CQ424" s="367">
        <v>3.5799999999999998E-2</v>
      </c>
      <c r="CR424" s="337">
        <f t="shared" si="154"/>
        <v>57215.756200000003</v>
      </c>
      <c r="CV424" s="337">
        <f t="shared" si="141"/>
        <v>58334.5</v>
      </c>
    </row>
    <row r="425" spans="1:100" hidden="1" x14ac:dyDescent="0.25">
      <c r="A425" s="335">
        <f t="shared" si="152"/>
        <v>37130</v>
      </c>
      <c r="B425" s="345">
        <v>37138</v>
      </c>
      <c r="C425" s="317">
        <f t="shared" si="145"/>
        <v>8</v>
      </c>
      <c r="E425" s="346">
        <v>2.7765000000000001E-2</v>
      </c>
      <c r="F425" s="339">
        <f>ROUND(((F424*SUM($C$10:C424))+(E425*C425))/SUM($C$10:C425),5)</f>
        <v>3.3489999999999999E-2</v>
      </c>
      <c r="G425" s="348">
        <v>55.68</v>
      </c>
      <c r="I425" s="335">
        <f t="shared" si="151"/>
        <v>35844</v>
      </c>
      <c r="J425" s="345">
        <v>35846</v>
      </c>
      <c r="K425" s="317">
        <f t="shared" si="146"/>
        <v>2</v>
      </c>
      <c r="M425" s="346">
        <v>3.6089999999999997E-2</v>
      </c>
      <c r="N425" s="339">
        <f>ROUND(((N424*SUM($K$10:K424))+(M425*K425))/SUM($K$10:K425),5)</f>
        <v>3.261E-2</v>
      </c>
      <c r="O425" s="348">
        <v>87.8</v>
      </c>
      <c r="Q425" s="335">
        <f t="shared" si="153"/>
        <v>36943</v>
      </c>
      <c r="R425" s="345">
        <v>36948</v>
      </c>
      <c r="S425" s="317">
        <f t="shared" si="155"/>
        <v>5</v>
      </c>
      <c r="U425" s="346">
        <v>3.9503999999999997E-2</v>
      </c>
      <c r="V425" s="339">
        <f>ROUND(((V424*SUM($S$10:S424))+(U425*S425))/SUM($S$10:S425),5)</f>
        <v>3.524E-2</v>
      </c>
      <c r="W425" s="348">
        <v>42.35</v>
      </c>
      <c r="BB425" s="352"/>
      <c r="BE425" s="335">
        <f t="shared" si="149"/>
        <v>36251</v>
      </c>
      <c r="BF425" s="345">
        <v>36256</v>
      </c>
      <c r="BG425" s="317">
        <f t="shared" si="143"/>
        <v>5</v>
      </c>
      <c r="BH425" s="347">
        <v>0.03</v>
      </c>
      <c r="BI425" s="337">
        <f t="shared" si="144"/>
        <v>6164.3850000000002</v>
      </c>
      <c r="BK425" s="364"/>
      <c r="BO425" s="335">
        <f t="shared" si="150"/>
        <v>38204</v>
      </c>
      <c r="BP425" s="345">
        <v>38211</v>
      </c>
      <c r="BQ425" s="317">
        <f t="shared" si="137"/>
        <v>7</v>
      </c>
      <c r="BR425" s="347">
        <v>1.0699999999999999E-2</v>
      </c>
      <c r="BS425" s="337">
        <f t="shared" si="142"/>
        <v>3478.9617490000001</v>
      </c>
      <c r="CH425" s="337"/>
      <c r="CL425" s="335">
        <f t="shared" si="148"/>
        <v>39170</v>
      </c>
      <c r="CM425" s="361">
        <v>39174</v>
      </c>
      <c r="CN425" s="317">
        <f t="shared" si="138"/>
        <v>4</v>
      </c>
      <c r="CO425" s="346">
        <v>3.6499999999999998E-2</v>
      </c>
      <c r="CP425" s="346">
        <f t="shared" si="139"/>
        <v>0.14599999999999999</v>
      </c>
      <c r="CQ425" s="365">
        <f>ROUND(SUM(CP421:CP425)/32,7)</f>
        <v>3.5799999999999998E-2</v>
      </c>
      <c r="CR425" s="337">
        <f>ROUND($CR$5*CQ425*CN425/365,4)</f>
        <v>32694.717799999999</v>
      </c>
      <c r="CS425" s="337">
        <f>SUM(CR421:CR425)</f>
        <v>261557.7426</v>
      </c>
      <c r="CT425" s="337">
        <f>$CR$5*0.05495*31/360</f>
        <v>394325.0159722222</v>
      </c>
      <c r="CU425" s="366">
        <f>CS425-CT425-0.01</f>
        <v>-132767.28337222221</v>
      </c>
      <c r="CV425" s="337">
        <f t="shared" si="141"/>
        <v>33334</v>
      </c>
    </row>
    <row r="426" spans="1:100" hidden="1" x14ac:dyDescent="0.25">
      <c r="A426" s="335">
        <f t="shared" si="152"/>
        <v>37138</v>
      </c>
      <c r="B426" s="345"/>
      <c r="E426" s="346"/>
      <c r="F426" s="339">
        <f>ROUND(((F425*SUM($C$10:C425))+(E426*C426))/SUM($C$10:C426),5)</f>
        <v>3.3489999999999999E-2</v>
      </c>
      <c r="G426" s="348"/>
      <c r="I426" s="335">
        <f t="shared" si="151"/>
        <v>35846</v>
      </c>
      <c r="J426" s="345">
        <v>35852</v>
      </c>
      <c r="K426" s="317">
        <f t="shared" si="146"/>
        <v>6</v>
      </c>
      <c r="M426" s="346">
        <v>3.5700000000000003E-2</v>
      </c>
      <c r="N426" s="339">
        <f>ROUND(((N425*SUM($K$10:K425))+(M426*K426))/SUM($K$10:K426),5)</f>
        <v>3.2620000000000003E-2</v>
      </c>
      <c r="O426" s="348">
        <v>90.2</v>
      </c>
      <c r="Q426" s="335">
        <f t="shared" si="153"/>
        <v>36948</v>
      </c>
      <c r="R426" s="345">
        <v>36972</v>
      </c>
      <c r="S426" s="317">
        <f t="shared" si="155"/>
        <v>24</v>
      </c>
      <c r="U426" s="346">
        <v>4.1297E-2</v>
      </c>
      <c r="V426" s="339">
        <f>ROUND(((V425*SUM($S$10:S425))+(U426*S426))/SUM($S$10:S426),5)</f>
        <v>3.5290000000000002E-2</v>
      </c>
      <c r="W426" s="348">
        <v>47.42</v>
      </c>
      <c r="BB426" s="352"/>
      <c r="BE426" s="335">
        <f t="shared" si="149"/>
        <v>36256</v>
      </c>
      <c r="BF426" s="345">
        <v>36263</v>
      </c>
      <c r="BG426" s="317">
        <f t="shared" si="143"/>
        <v>7</v>
      </c>
      <c r="BH426" s="347">
        <v>2.9000000000000001E-2</v>
      </c>
      <c r="BI426" s="337">
        <f t="shared" si="144"/>
        <v>8342.4650000000001</v>
      </c>
      <c r="BK426" s="364"/>
      <c r="BO426" s="335">
        <f t="shared" si="150"/>
        <v>38211</v>
      </c>
      <c r="BP426" s="345">
        <v>38218</v>
      </c>
      <c r="BQ426" s="317">
        <f t="shared" si="137"/>
        <v>7</v>
      </c>
      <c r="BR426" s="347">
        <v>1.0800000000000001E-2</v>
      </c>
      <c r="BS426" s="337">
        <f t="shared" si="142"/>
        <v>3511.47541</v>
      </c>
      <c r="CH426" s="337"/>
      <c r="CL426" s="335">
        <f t="shared" si="148"/>
        <v>39174</v>
      </c>
      <c r="CM426" s="361">
        <v>39177</v>
      </c>
      <c r="CN426" s="317">
        <f t="shared" si="138"/>
        <v>3</v>
      </c>
      <c r="CO426" s="346">
        <v>3.6499999999999998E-2</v>
      </c>
      <c r="CP426" s="346">
        <f t="shared" si="139"/>
        <v>0.10949999999999999</v>
      </c>
      <c r="CQ426" s="367">
        <v>3.73034E-2</v>
      </c>
      <c r="CR426" s="337">
        <f t="shared" si="154"/>
        <v>25550.785</v>
      </c>
      <c r="CV426" s="337">
        <f t="shared" si="141"/>
        <v>25000.5</v>
      </c>
    </row>
    <row r="427" spans="1:100" hidden="1" x14ac:dyDescent="0.25">
      <c r="B427" s="345"/>
      <c r="E427" s="346"/>
      <c r="F427" s="339">
        <f>ROUND(((F426*SUM($C$10:C426))+(E427*C427))/SUM($C$10:C427),5)</f>
        <v>3.3489999999999999E-2</v>
      </c>
      <c r="G427" s="348"/>
      <c r="I427" s="335">
        <f t="shared" si="151"/>
        <v>35852</v>
      </c>
      <c r="J427" s="345">
        <v>35856</v>
      </c>
      <c r="K427" s="317">
        <f t="shared" si="146"/>
        <v>4</v>
      </c>
      <c r="M427" s="346">
        <v>3.5630000000000002E-2</v>
      </c>
      <c r="N427" s="339">
        <f>ROUND(((N426*SUM($K$10:K426))+(M427*K427))/SUM($K$10:K427),5)</f>
        <v>3.2629999999999999E-2</v>
      </c>
      <c r="O427" s="348">
        <v>89.5</v>
      </c>
      <c r="Q427" s="335">
        <f t="shared" si="153"/>
        <v>36972</v>
      </c>
      <c r="R427" s="345">
        <v>36983</v>
      </c>
      <c r="S427" s="317">
        <f t="shared" si="155"/>
        <v>11</v>
      </c>
      <c r="U427" s="346">
        <v>4.1173000000000001E-2</v>
      </c>
      <c r="V427" s="339">
        <f>ROUND(((V426*SUM($S$10:S426))+(U427*S427))/SUM($S$10:S427),5)</f>
        <v>3.5310000000000001E-2</v>
      </c>
      <c r="W427" s="348">
        <v>50.87</v>
      </c>
      <c r="BB427" s="352"/>
      <c r="BE427" s="335">
        <f t="shared" si="149"/>
        <v>36263</v>
      </c>
      <c r="BF427" s="345">
        <v>36270</v>
      </c>
      <c r="BG427" s="317">
        <f t="shared" si="143"/>
        <v>7</v>
      </c>
      <c r="BH427" s="347">
        <v>3.1300000000000001E-2</v>
      </c>
      <c r="BI427" s="337">
        <f t="shared" si="144"/>
        <v>9004.11</v>
      </c>
      <c r="BK427" s="364"/>
      <c r="BO427" s="335">
        <f t="shared" si="150"/>
        <v>38218</v>
      </c>
      <c r="BP427" s="345">
        <v>38225</v>
      </c>
      <c r="BQ427" s="317">
        <f t="shared" si="137"/>
        <v>7</v>
      </c>
      <c r="BR427" s="347">
        <v>1.2500000000000001E-2</v>
      </c>
      <c r="BS427" s="337">
        <f t="shared" si="142"/>
        <v>4064.2076499999998</v>
      </c>
      <c r="CH427" s="337"/>
      <c r="CL427" s="335">
        <f t="shared" si="148"/>
        <v>39177</v>
      </c>
      <c r="CM427" s="361">
        <v>39184</v>
      </c>
      <c r="CN427" s="317">
        <f t="shared" si="138"/>
        <v>7</v>
      </c>
      <c r="CO427" s="346">
        <v>3.61E-2</v>
      </c>
      <c r="CP427" s="346">
        <f t="shared" si="139"/>
        <v>0.25269999999999998</v>
      </c>
      <c r="CQ427" s="367">
        <v>3.73034E-2</v>
      </c>
      <c r="CR427" s="337">
        <f t="shared" si="154"/>
        <v>59618.498299999999</v>
      </c>
      <c r="CV427" s="337">
        <f t="shared" si="141"/>
        <v>57695.199999999997</v>
      </c>
    </row>
    <row r="428" spans="1:100" hidden="1" x14ac:dyDescent="0.25">
      <c r="B428" s="345"/>
      <c r="E428" s="346"/>
      <c r="F428" s="339">
        <f>ROUND(((F427*SUM($C$10:C427))+(E428*C428))/SUM($C$10:C428),5)</f>
        <v>3.3489999999999999E-2</v>
      </c>
      <c r="G428" s="348"/>
      <c r="I428" s="335">
        <f t="shared" si="151"/>
        <v>35856</v>
      </c>
      <c r="J428" s="345">
        <v>35859</v>
      </c>
      <c r="K428" s="317">
        <f t="shared" si="146"/>
        <v>3</v>
      </c>
      <c r="M428" s="346">
        <v>3.5639999999999998E-2</v>
      </c>
      <c r="N428" s="339">
        <f>ROUND(((N427*SUM($K$10:K427))+(M428*K428))/SUM($K$10:K428),5)</f>
        <v>3.2629999999999999E-2</v>
      </c>
      <c r="O428" s="348">
        <v>92.7</v>
      </c>
      <c r="Q428" s="335">
        <f t="shared" si="153"/>
        <v>36983</v>
      </c>
      <c r="R428" s="345">
        <v>36985</v>
      </c>
      <c r="S428" s="317">
        <f t="shared" si="155"/>
        <v>2</v>
      </c>
      <c r="U428" s="346">
        <v>4.1346000000000001E-2</v>
      </c>
      <c r="V428" s="339">
        <f>ROUND(((V427*SUM($S$10:S427))+(U428*S428))/SUM($S$10:S428),5)</f>
        <v>3.5310000000000001E-2</v>
      </c>
      <c r="W428" s="348">
        <v>51.89</v>
      </c>
      <c r="BB428" s="352"/>
      <c r="BE428" s="335">
        <f t="shared" si="149"/>
        <v>36270</v>
      </c>
      <c r="BF428" s="345">
        <v>36277</v>
      </c>
      <c r="BG428" s="317">
        <f t="shared" si="143"/>
        <v>7</v>
      </c>
      <c r="BH428" s="347">
        <v>3.4799999999999998E-2</v>
      </c>
      <c r="BI428" s="337">
        <f t="shared" si="144"/>
        <v>10010.959999999999</v>
      </c>
      <c r="BK428" s="364"/>
      <c r="BO428" s="335">
        <f t="shared" si="150"/>
        <v>38225</v>
      </c>
      <c r="BP428" s="345">
        <v>38231</v>
      </c>
      <c r="BQ428" s="317">
        <f t="shared" si="137"/>
        <v>6</v>
      </c>
      <c r="BR428" s="347">
        <v>1.32E-2</v>
      </c>
      <c r="BS428" s="337">
        <f t="shared" si="142"/>
        <v>3678.688525</v>
      </c>
      <c r="BT428" s="341">
        <f>SUM(BS424:BS428)</f>
        <v>16739.890711</v>
      </c>
      <c r="CH428" s="337"/>
      <c r="CL428" s="335">
        <f t="shared" si="148"/>
        <v>39184</v>
      </c>
      <c r="CM428" s="361">
        <v>39191</v>
      </c>
      <c r="CN428" s="317">
        <f t="shared" si="138"/>
        <v>7</v>
      </c>
      <c r="CO428" s="346">
        <v>3.7000000000000005E-2</v>
      </c>
      <c r="CP428" s="346">
        <f t="shared" si="139"/>
        <v>0.25900000000000001</v>
      </c>
      <c r="CQ428" s="367">
        <v>3.73034E-2</v>
      </c>
      <c r="CR428" s="337">
        <f t="shared" si="154"/>
        <v>59618.498299999999</v>
      </c>
      <c r="CV428" s="337">
        <f t="shared" si="141"/>
        <v>59133.599999999999</v>
      </c>
    </row>
    <row r="429" spans="1:100" hidden="1" x14ac:dyDescent="0.25">
      <c r="B429" s="345"/>
      <c r="E429" s="346"/>
      <c r="F429" s="339">
        <f>ROUND(((F428*SUM($C$10:C428))+(E429*C429))/SUM($C$10:C429),5)</f>
        <v>3.3489999999999999E-2</v>
      </c>
      <c r="G429" s="348"/>
      <c r="I429" s="335">
        <f t="shared" si="151"/>
        <v>35859</v>
      </c>
      <c r="J429" s="345">
        <v>35860</v>
      </c>
      <c r="K429" s="317">
        <f t="shared" si="146"/>
        <v>1</v>
      </c>
      <c r="M429" s="346">
        <v>3.5569999999999997E-2</v>
      </c>
      <c r="N429" s="339">
        <f>ROUND(((N428*SUM($K$10:K428))+(M429*K429))/SUM($K$10:K429),5)</f>
        <v>3.2629999999999999E-2</v>
      </c>
      <c r="O429" s="348">
        <v>93</v>
      </c>
      <c r="Q429" s="335">
        <f t="shared" si="153"/>
        <v>36985</v>
      </c>
      <c r="R429" s="345">
        <v>36999</v>
      </c>
      <c r="S429" s="317">
        <f t="shared" si="155"/>
        <v>14</v>
      </c>
      <c r="U429" s="346">
        <v>4.403E-2</v>
      </c>
      <c r="V429" s="339">
        <f>ROUND(((V428*SUM($S$10:S428))+(U429*S429))/SUM($S$10:S429),5)</f>
        <v>3.5349999999999999E-2</v>
      </c>
      <c r="W429" s="348">
        <v>56.78</v>
      </c>
      <c r="BB429" s="352"/>
      <c r="BE429" s="335">
        <f t="shared" si="149"/>
        <v>36277</v>
      </c>
      <c r="BF429" s="345">
        <v>36281</v>
      </c>
      <c r="BG429" s="317">
        <f t="shared" si="143"/>
        <v>4</v>
      </c>
      <c r="BH429" s="347">
        <v>3.9E-2</v>
      </c>
      <c r="BI429" s="337">
        <f t="shared" si="144"/>
        <v>6410.96</v>
      </c>
      <c r="BJ429" s="341">
        <f>SUM(BI425:BI429)</f>
        <v>39932.879999999997</v>
      </c>
      <c r="BK429" s="364">
        <v>35695.1</v>
      </c>
      <c r="BL429" s="341">
        <f>BJ429-BK429</f>
        <v>4237.7799999999988</v>
      </c>
      <c r="BM429" s="341">
        <f>BM424+BL429</f>
        <v>29626.100000000028</v>
      </c>
      <c r="BO429" s="335">
        <f t="shared" si="150"/>
        <v>38231</v>
      </c>
      <c r="BP429" s="345">
        <v>38232</v>
      </c>
      <c r="BQ429" s="317">
        <f t="shared" si="137"/>
        <v>1</v>
      </c>
      <c r="BR429" s="347">
        <v>1.32E-2</v>
      </c>
      <c r="BS429" s="337">
        <f t="shared" si="142"/>
        <v>613.11475399999995</v>
      </c>
      <c r="CH429" s="337"/>
      <c r="CL429" s="335">
        <f t="shared" si="148"/>
        <v>39191</v>
      </c>
      <c r="CM429" s="361">
        <v>39198</v>
      </c>
      <c r="CN429" s="317">
        <f t="shared" si="138"/>
        <v>7</v>
      </c>
      <c r="CO429" s="346">
        <v>3.78E-2</v>
      </c>
      <c r="CP429" s="346">
        <f t="shared" si="139"/>
        <v>0.2646</v>
      </c>
      <c r="CQ429" s="367">
        <v>3.73034E-2</v>
      </c>
      <c r="CR429" s="337">
        <f t="shared" si="154"/>
        <v>59618.498299999999</v>
      </c>
      <c r="CV429" s="337">
        <f t="shared" si="141"/>
        <v>60412.2</v>
      </c>
    </row>
    <row r="430" spans="1:100" hidden="1" x14ac:dyDescent="0.25">
      <c r="B430" s="345"/>
      <c r="E430" s="346"/>
      <c r="F430" s="339">
        <f>ROUND(((F429*SUM($C$10:C429))+(E430*C430))/SUM($C$10:C430),5)</f>
        <v>3.3489999999999999E-2</v>
      </c>
      <c r="I430" s="335">
        <f t="shared" si="151"/>
        <v>35860</v>
      </c>
      <c r="J430" s="345">
        <v>35864</v>
      </c>
      <c r="K430" s="317">
        <f t="shared" si="146"/>
        <v>4</v>
      </c>
      <c r="M430" s="346">
        <v>3.5159999999999997E-2</v>
      </c>
      <c r="N430" s="339">
        <f>ROUND(((N429*SUM($K$10:K429))+(M430*K430))/SUM($K$10:K430),5)</f>
        <v>3.2640000000000002E-2</v>
      </c>
      <c r="O430" s="348">
        <v>95.2</v>
      </c>
      <c r="Q430" s="335">
        <f t="shared" si="153"/>
        <v>36999</v>
      </c>
      <c r="R430" s="345">
        <v>37020</v>
      </c>
      <c r="S430" s="317">
        <f t="shared" si="155"/>
        <v>21</v>
      </c>
      <c r="U430" s="346">
        <v>4.4511000000000002E-2</v>
      </c>
      <c r="V430" s="339">
        <f>ROUND(((V429*SUM($S$10:S429))+(U430*S430))/SUM($S$10:S430),5)</f>
        <v>3.542E-2</v>
      </c>
      <c r="W430" s="348">
        <v>64.94</v>
      </c>
      <c r="BB430" s="352"/>
      <c r="BE430" s="335">
        <f t="shared" si="149"/>
        <v>36281</v>
      </c>
      <c r="BF430" s="345">
        <v>36284</v>
      </c>
      <c r="BG430" s="317">
        <f t="shared" si="143"/>
        <v>3</v>
      </c>
      <c r="BH430" s="347">
        <v>3.9E-2</v>
      </c>
      <c r="BI430" s="337">
        <f t="shared" si="144"/>
        <v>4808.22</v>
      </c>
      <c r="BK430" s="364"/>
      <c r="BO430" s="335">
        <f t="shared" si="150"/>
        <v>38232</v>
      </c>
      <c r="BP430" s="345">
        <v>38239</v>
      </c>
      <c r="BQ430" s="317">
        <f t="shared" si="137"/>
        <v>7</v>
      </c>
      <c r="BR430" s="347">
        <v>1.3100000000000001E-2</v>
      </c>
      <c r="BS430" s="337">
        <f t="shared" si="142"/>
        <v>4259.2896170000004</v>
      </c>
      <c r="CH430" s="337"/>
      <c r="CL430" s="335">
        <f t="shared" si="148"/>
        <v>39198</v>
      </c>
      <c r="CM430" s="361">
        <v>39203</v>
      </c>
      <c r="CN430" s="317">
        <f t="shared" si="138"/>
        <v>5</v>
      </c>
      <c r="CO430" s="346">
        <v>3.9199999999999999E-2</v>
      </c>
      <c r="CP430" s="346">
        <f t="shared" si="139"/>
        <v>0.19600000000000001</v>
      </c>
      <c r="CQ430" s="365">
        <f>ROUND(SUM(CP426:CP430)/29,7)</f>
        <v>3.73034E-2</v>
      </c>
      <c r="CR430" s="337">
        <f t="shared" si="154"/>
        <v>42584.641600000003</v>
      </c>
      <c r="CS430" s="337">
        <f>SUM(CR426:CR430)</f>
        <v>246990.9215</v>
      </c>
      <c r="CT430" s="337">
        <f>$CR$5*0.05495*29/360</f>
        <v>368884.69236111111</v>
      </c>
      <c r="CU430" s="366">
        <f>CS430-CT430</f>
        <v>-121893.77086111112</v>
      </c>
      <c r="CV430" s="337">
        <f t="shared" si="141"/>
        <v>44749.8</v>
      </c>
    </row>
    <row r="431" spans="1:100" hidden="1" x14ac:dyDescent="0.25">
      <c r="B431" s="345"/>
      <c r="E431" s="346"/>
      <c r="F431" s="339">
        <f>ROUND(((F430*SUM($C$10:C430))+(E431*C431))/SUM($C$10:C431),5)</f>
        <v>3.3489999999999999E-2</v>
      </c>
      <c r="I431" s="335">
        <f t="shared" si="151"/>
        <v>35864</v>
      </c>
      <c r="J431" s="345">
        <v>35881</v>
      </c>
      <c r="K431" s="317">
        <f t="shared" si="146"/>
        <v>17</v>
      </c>
      <c r="M431" s="346">
        <v>3.5340000000000003E-2</v>
      </c>
      <c r="N431" s="339">
        <f>ROUND(((N430*SUM($K$10:K430))+(M431*K431))/SUM($K$10:K431),5)</f>
        <v>3.2660000000000002E-2</v>
      </c>
      <c r="O431" s="348">
        <v>101.9</v>
      </c>
      <c r="Q431" s="335">
        <f t="shared" si="153"/>
        <v>37020</v>
      </c>
      <c r="R431" s="345">
        <v>37033</v>
      </c>
      <c r="S431" s="317">
        <f t="shared" si="155"/>
        <v>13</v>
      </c>
      <c r="U431" s="347">
        <v>4.0543999999999997E-2</v>
      </c>
      <c r="V431" s="339">
        <f>ROUND(((V430*SUM($S$10:S430))+(U431*S431))/SUM($S$10:S431),5)</f>
        <v>3.5439999999999999E-2</v>
      </c>
      <c r="W431" s="348">
        <v>77.63</v>
      </c>
      <c r="BB431" s="352"/>
      <c r="BE431" s="335">
        <f t="shared" si="149"/>
        <v>36284</v>
      </c>
      <c r="BF431" s="345">
        <v>36291</v>
      </c>
      <c r="BG431" s="317">
        <f t="shared" si="143"/>
        <v>7</v>
      </c>
      <c r="BH431" s="347">
        <v>3.6999999999999998E-2</v>
      </c>
      <c r="BI431" s="337">
        <f t="shared" si="144"/>
        <v>10643.834999999999</v>
      </c>
      <c r="BK431" s="364"/>
      <c r="BO431" s="335">
        <f t="shared" si="150"/>
        <v>38239</v>
      </c>
      <c r="BP431" s="345">
        <v>38246</v>
      </c>
      <c r="BQ431" s="317">
        <f t="shared" si="137"/>
        <v>7</v>
      </c>
      <c r="BR431" s="347">
        <v>1.32E-2</v>
      </c>
      <c r="BS431" s="337">
        <f t="shared" si="142"/>
        <v>4291.8032789999997</v>
      </c>
      <c r="CH431" s="337"/>
      <c r="CL431" s="335">
        <f t="shared" si="148"/>
        <v>39203</v>
      </c>
      <c r="CM431" s="361">
        <v>39205</v>
      </c>
      <c r="CN431" s="317">
        <f t="shared" si="138"/>
        <v>2</v>
      </c>
      <c r="CO431" s="346">
        <v>3.9199999999999999E-2</v>
      </c>
      <c r="CP431" s="346">
        <f t="shared" si="139"/>
        <v>7.8399999999999997E-2</v>
      </c>
      <c r="CQ431" s="365">
        <f>CQ$436</f>
        <v>3.87645E-2</v>
      </c>
      <c r="CR431" s="337">
        <f t="shared" si="154"/>
        <v>17701.0389</v>
      </c>
      <c r="CV431" s="337">
        <f t="shared" si="141"/>
        <v>17899.900000000001</v>
      </c>
    </row>
    <row r="432" spans="1:100" hidden="1" x14ac:dyDescent="0.25">
      <c r="B432" s="345"/>
      <c r="E432" s="346"/>
      <c r="F432" s="339">
        <f>ROUND(((F431*SUM($C$10:C431))+(E432*C432))/SUM($C$10:C432),5)</f>
        <v>3.3489999999999999E-2</v>
      </c>
      <c r="I432" s="335">
        <f t="shared" si="151"/>
        <v>35881</v>
      </c>
      <c r="J432" s="345">
        <v>35884</v>
      </c>
      <c r="K432" s="317">
        <f t="shared" si="146"/>
        <v>3</v>
      </c>
      <c r="M432" s="346">
        <v>3.5279999999999999E-2</v>
      </c>
      <c r="N432" s="339">
        <f>ROUND(((N431*SUM($K$10:K431))+(M432*K432))/SUM($K$10:K432),5)</f>
        <v>3.2660000000000002E-2</v>
      </c>
      <c r="O432" s="348">
        <v>99.7</v>
      </c>
      <c r="Q432" s="335">
        <f t="shared" si="153"/>
        <v>37033</v>
      </c>
      <c r="R432" s="345">
        <v>37063</v>
      </c>
      <c r="S432" s="317">
        <f t="shared" si="155"/>
        <v>30</v>
      </c>
      <c r="U432" s="346">
        <v>4.0127000000000003E-2</v>
      </c>
      <c r="V432" s="339">
        <f>ROUND(((V431*SUM($S$10:S431))+(U432*S432))/SUM($S$10:S432),5)</f>
        <v>3.5490000000000001E-2</v>
      </c>
      <c r="W432" s="348">
        <v>73.67</v>
      </c>
      <c r="BB432" s="352"/>
      <c r="BE432" s="335">
        <f t="shared" si="149"/>
        <v>36291</v>
      </c>
      <c r="BF432" s="345">
        <v>36298</v>
      </c>
      <c r="BG432" s="317">
        <f t="shared" si="143"/>
        <v>7</v>
      </c>
      <c r="BH432" s="347">
        <v>3.6200000000000003E-2</v>
      </c>
      <c r="BI432" s="337">
        <f t="shared" si="144"/>
        <v>10413.700000000001</v>
      </c>
      <c r="BK432" s="364"/>
      <c r="BO432" s="335">
        <f t="shared" si="150"/>
        <v>38246</v>
      </c>
      <c r="BP432" s="345">
        <v>38253</v>
      </c>
      <c r="BQ432" s="317">
        <f t="shared" si="137"/>
        <v>7</v>
      </c>
      <c r="BR432" s="347">
        <v>1.3899999999999999E-2</v>
      </c>
      <c r="BS432" s="337">
        <f t="shared" si="142"/>
        <v>4519.3989069999998</v>
      </c>
      <c r="CH432" s="337"/>
      <c r="CL432" s="335">
        <f t="shared" si="148"/>
        <v>39205</v>
      </c>
      <c r="CM432" s="361">
        <v>39212</v>
      </c>
      <c r="CN432" s="317">
        <f t="shared" si="138"/>
        <v>7</v>
      </c>
      <c r="CO432" s="346">
        <v>3.9199999999999999E-2</v>
      </c>
      <c r="CP432" s="346">
        <f t="shared" si="139"/>
        <v>0.27439999999999998</v>
      </c>
      <c r="CQ432" s="365">
        <f>CQ$436</f>
        <v>3.87645E-2</v>
      </c>
      <c r="CR432" s="337">
        <f t="shared" si="154"/>
        <v>61953.636299999998</v>
      </c>
      <c r="CV432" s="337">
        <f t="shared" si="141"/>
        <v>62649.7</v>
      </c>
    </row>
    <row r="433" spans="2:100" hidden="1" x14ac:dyDescent="0.25">
      <c r="B433" s="345"/>
      <c r="E433" s="346"/>
      <c r="F433" s="339">
        <f>ROUND(((F432*SUM($C$10:C432))+(E433*C433))/SUM($C$10:C433),5)</f>
        <v>3.3489999999999999E-2</v>
      </c>
      <c r="I433" s="335">
        <f t="shared" si="151"/>
        <v>35884</v>
      </c>
      <c r="J433" s="345">
        <v>35885</v>
      </c>
      <c r="K433" s="317">
        <f t="shared" si="146"/>
        <v>1</v>
      </c>
      <c r="M433" s="346">
        <v>3.5279999999999999E-2</v>
      </c>
      <c r="N433" s="339">
        <f>ROUND(((N432*SUM($K$10:K432))+(M433*K433))/SUM($K$10:K433),5)</f>
        <v>3.2660000000000002E-2</v>
      </c>
      <c r="O433" s="348">
        <v>99.7</v>
      </c>
      <c r="Q433" s="335">
        <f t="shared" si="153"/>
        <v>37063</v>
      </c>
      <c r="R433" s="345">
        <v>37082</v>
      </c>
      <c r="S433" s="317">
        <f t="shared" si="155"/>
        <v>19</v>
      </c>
      <c r="U433" s="346">
        <v>4.0211999999999998E-2</v>
      </c>
      <c r="V433" s="339">
        <f>ROUND(((V432*SUM($S$10:S432))+(U433*S433))/SUM($S$10:S433),5)</f>
        <v>3.5520000000000003E-2</v>
      </c>
      <c r="W433" s="348">
        <v>72.650000000000006</v>
      </c>
      <c r="BB433" s="352"/>
      <c r="BE433" s="335">
        <f t="shared" si="149"/>
        <v>36298</v>
      </c>
      <c r="BF433" s="345">
        <v>36305</v>
      </c>
      <c r="BG433" s="317">
        <f t="shared" si="143"/>
        <v>7</v>
      </c>
      <c r="BH433" s="347">
        <v>3.4500000000000003E-2</v>
      </c>
      <c r="BI433" s="337">
        <f t="shared" si="144"/>
        <v>9924.66</v>
      </c>
      <c r="BK433" s="364"/>
      <c r="BO433" s="335">
        <f t="shared" si="150"/>
        <v>38253</v>
      </c>
      <c r="BP433" s="345">
        <v>38260</v>
      </c>
      <c r="BQ433" s="317">
        <f t="shared" si="137"/>
        <v>7</v>
      </c>
      <c r="BR433" s="347">
        <v>1.5100000000000001E-2</v>
      </c>
      <c r="BS433" s="337">
        <f t="shared" si="142"/>
        <v>4909.5628420000003</v>
      </c>
      <c r="CH433" s="337"/>
      <c r="CL433" s="335">
        <f t="shared" si="148"/>
        <v>39212</v>
      </c>
      <c r="CM433" s="361">
        <v>39219</v>
      </c>
      <c r="CN433" s="317">
        <f t="shared" ref="CN433:CN496" si="156">CM433-CL433</f>
        <v>7</v>
      </c>
      <c r="CO433" s="346">
        <v>3.9100000000000003E-2</v>
      </c>
      <c r="CP433" s="346">
        <f t="shared" si="139"/>
        <v>0.2737</v>
      </c>
      <c r="CQ433" s="365">
        <f>CQ$436</f>
        <v>3.87645E-2</v>
      </c>
      <c r="CR433" s="337">
        <f t="shared" si="154"/>
        <v>61953.636299999998</v>
      </c>
      <c r="CV433" s="337">
        <f t="shared" si="141"/>
        <v>62489.8</v>
      </c>
    </row>
    <row r="434" spans="2:100" hidden="1" x14ac:dyDescent="0.25">
      <c r="B434" s="345"/>
      <c r="E434" s="346"/>
      <c r="F434" s="339">
        <f>ROUND(((F433*SUM($C$10:C433))+(E434*C434))/SUM($C$10:C434),5)</f>
        <v>3.3489999999999999E-2</v>
      </c>
      <c r="I434" s="335">
        <f t="shared" si="151"/>
        <v>35885</v>
      </c>
      <c r="J434" s="345">
        <v>35888</v>
      </c>
      <c r="K434" s="317">
        <f t="shared" si="146"/>
        <v>3</v>
      </c>
      <c r="M434" s="346">
        <v>3.517E-2</v>
      </c>
      <c r="N434" s="339">
        <f>ROUND(((N433*SUM($K$10:K433))+(M434*K434))/SUM($K$10:K434),5)</f>
        <v>3.2660000000000002E-2</v>
      </c>
      <c r="O434" s="348">
        <v>95.7</v>
      </c>
      <c r="Q434" s="335">
        <f t="shared" si="153"/>
        <v>37082</v>
      </c>
      <c r="R434" s="345">
        <v>37083</v>
      </c>
      <c r="S434" s="317">
        <f t="shared" si="155"/>
        <v>1</v>
      </c>
      <c r="U434" s="346">
        <v>3.6374999999999998E-2</v>
      </c>
      <c r="V434" s="339">
        <f>ROUND(((V433*SUM($S$10:S433))+(U434*S434))/SUM($S$10:S434),5)</f>
        <v>3.5520000000000003E-2</v>
      </c>
      <c r="W434" s="348">
        <v>87.87</v>
      </c>
      <c r="BB434" s="352"/>
      <c r="BE434" s="335">
        <f t="shared" si="149"/>
        <v>36305</v>
      </c>
      <c r="BF434" s="345">
        <v>36312</v>
      </c>
      <c r="BG434" s="317">
        <f t="shared" si="143"/>
        <v>7</v>
      </c>
      <c r="BH434" s="347">
        <v>3.3500000000000002E-2</v>
      </c>
      <c r="BI434" s="337">
        <f t="shared" si="144"/>
        <v>9636.9850000000006</v>
      </c>
      <c r="BJ434" s="341">
        <f>SUM(BI430:BI434)</f>
        <v>45427.4</v>
      </c>
      <c r="BK434" s="364">
        <v>37678.959999999999</v>
      </c>
      <c r="BL434" s="341">
        <f>BJ434-BK434</f>
        <v>7748.4400000000023</v>
      </c>
      <c r="BM434" s="341">
        <f>BM429+BL434</f>
        <v>37374.54000000003</v>
      </c>
      <c r="BO434" s="335">
        <f t="shared" si="150"/>
        <v>38260</v>
      </c>
      <c r="BP434" s="345">
        <v>38261</v>
      </c>
      <c r="BQ434" s="317">
        <f t="shared" si="137"/>
        <v>1</v>
      </c>
      <c r="BR434" s="347">
        <v>1.6899999999999998E-2</v>
      </c>
      <c r="BS434" s="337">
        <f t="shared" si="142"/>
        <v>784.97267799999997</v>
      </c>
      <c r="BT434" s="341">
        <f>SUM(BS429:BS434)</f>
        <v>19378.142076999997</v>
      </c>
      <c r="CH434" s="337"/>
      <c r="CL434" s="335">
        <f t="shared" si="148"/>
        <v>39219</v>
      </c>
      <c r="CM434" s="361">
        <v>39226</v>
      </c>
      <c r="CN434" s="317">
        <f t="shared" si="156"/>
        <v>7</v>
      </c>
      <c r="CO434" s="346">
        <v>3.85E-2</v>
      </c>
      <c r="CP434" s="346">
        <f t="shared" si="139"/>
        <v>0.26950000000000002</v>
      </c>
      <c r="CQ434" s="365">
        <f>CQ$436</f>
        <v>3.87645E-2</v>
      </c>
      <c r="CR434" s="337">
        <f t="shared" si="154"/>
        <v>61953.636299999998</v>
      </c>
      <c r="CV434" s="337">
        <f t="shared" si="141"/>
        <v>61530.9</v>
      </c>
    </row>
    <row r="435" spans="2:100" hidden="1" x14ac:dyDescent="0.25">
      <c r="B435" s="345"/>
      <c r="E435" s="346"/>
      <c r="F435" s="339">
        <f>ROUND(((F434*SUM($C$10:C434))+(E435*C435))/SUM($C$10:C435),5)</f>
        <v>3.3489999999999999E-2</v>
      </c>
      <c r="I435" s="335">
        <f t="shared" si="151"/>
        <v>35888</v>
      </c>
      <c r="J435" s="345">
        <v>35919</v>
      </c>
      <c r="K435" s="317">
        <f t="shared" si="146"/>
        <v>31</v>
      </c>
      <c r="M435" s="346">
        <v>3.524E-2</v>
      </c>
      <c r="N435" s="339">
        <f>ROUND(((N434*SUM($K$10:K434))+(M435*K435))/SUM($K$10:K435),5)</f>
        <v>3.27E-2</v>
      </c>
      <c r="O435" s="348">
        <v>98.8</v>
      </c>
      <c r="Q435" s="335">
        <f t="shared" si="153"/>
        <v>37083</v>
      </c>
      <c r="R435" s="345">
        <v>37085</v>
      </c>
      <c r="S435" s="317">
        <f t="shared" si="155"/>
        <v>2</v>
      </c>
      <c r="U435" s="346">
        <v>3.4103000000000001E-2</v>
      </c>
      <c r="V435" s="339">
        <f>ROUND(((V434*SUM($S$10:S434))+(U435*S435))/SUM($S$10:S435),5)</f>
        <v>3.5520000000000003E-2</v>
      </c>
      <c r="W435" s="348">
        <v>86.24</v>
      </c>
      <c r="BB435" s="352"/>
      <c r="BE435" s="335">
        <f t="shared" si="149"/>
        <v>36312</v>
      </c>
      <c r="BF435" s="345">
        <v>36319</v>
      </c>
      <c r="BG435" s="317">
        <f t="shared" si="143"/>
        <v>7</v>
      </c>
      <c r="BH435" s="347">
        <v>3.0499999999999999E-2</v>
      </c>
      <c r="BI435" s="337">
        <f t="shared" si="144"/>
        <v>8773.9750000000004</v>
      </c>
      <c r="BK435" s="364"/>
      <c r="BO435" s="335">
        <f t="shared" si="150"/>
        <v>38261</v>
      </c>
      <c r="BP435" s="345">
        <v>38267</v>
      </c>
      <c r="BQ435" s="317">
        <f t="shared" si="137"/>
        <v>6</v>
      </c>
      <c r="BR435" s="347">
        <v>1.6899999999999998E-2</v>
      </c>
      <c r="BS435" s="337">
        <f t="shared" si="142"/>
        <v>4709.8360659999998</v>
      </c>
      <c r="CH435" s="337"/>
      <c r="CL435" s="335">
        <f t="shared" si="148"/>
        <v>39226</v>
      </c>
      <c r="CM435" s="361">
        <v>39233</v>
      </c>
      <c r="CN435" s="317">
        <f t="shared" si="156"/>
        <v>7</v>
      </c>
      <c r="CO435" s="346">
        <v>3.8300000000000001E-2</v>
      </c>
      <c r="CP435" s="346">
        <f t="shared" si="139"/>
        <v>0.2681</v>
      </c>
      <c r="CQ435" s="365">
        <f>CQ$436</f>
        <v>3.87645E-2</v>
      </c>
      <c r="CR435" s="337">
        <f t="shared" si="154"/>
        <v>61953.636299999998</v>
      </c>
      <c r="CV435" s="337">
        <f t="shared" si="141"/>
        <v>61211.3</v>
      </c>
    </row>
    <row r="436" spans="2:100" hidden="1" x14ac:dyDescent="0.25">
      <c r="B436" s="345"/>
      <c r="E436" s="346"/>
      <c r="F436" s="339">
        <f>ROUND(((F435*SUM($C$10:C435))+(E436*C436))/SUM($C$10:C436),5)</f>
        <v>3.3489999999999999E-2</v>
      </c>
      <c r="I436" s="335">
        <f t="shared" si="151"/>
        <v>35919</v>
      </c>
      <c r="J436" s="345">
        <v>35920</v>
      </c>
      <c r="K436" s="317">
        <f t="shared" si="146"/>
        <v>1</v>
      </c>
      <c r="M436" s="346">
        <v>3.5380000000000002E-2</v>
      </c>
      <c r="N436" s="339">
        <f>ROUND(((N435*SUM($K$10:K435))+(M436*K436))/SUM($K$10:K436),5)</f>
        <v>3.27E-2</v>
      </c>
      <c r="O436" s="348">
        <v>104.2</v>
      </c>
      <c r="Q436" s="335">
        <f t="shared" si="153"/>
        <v>37085</v>
      </c>
      <c r="R436" s="345">
        <v>37091</v>
      </c>
      <c r="S436" s="317">
        <f t="shared" si="155"/>
        <v>6</v>
      </c>
      <c r="U436" s="346">
        <v>3.4007000000000003E-2</v>
      </c>
      <c r="V436" s="339">
        <f>ROUND(((V435*SUM($S$10:S435))+(U436*S436))/SUM($S$10:S436),5)</f>
        <v>3.5520000000000003E-2</v>
      </c>
      <c r="W436" s="348">
        <v>84.2</v>
      </c>
      <c r="BB436" s="352"/>
      <c r="BE436" s="335">
        <f t="shared" si="149"/>
        <v>36319</v>
      </c>
      <c r="BF436" s="345">
        <v>36326</v>
      </c>
      <c r="BG436" s="317">
        <f t="shared" si="143"/>
        <v>7</v>
      </c>
      <c r="BH436" s="347">
        <v>3.1300000000000001E-2</v>
      </c>
      <c r="BI436" s="337">
        <f t="shared" si="144"/>
        <v>9004.11</v>
      </c>
      <c r="BK436" s="364"/>
      <c r="BO436" s="335">
        <f t="shared" si="150"/>
        <v>38267</v>
      </c>
      <c r="BP436" s="345">
        <v>38274</v>
      </c>
      <c r="BQ436" s="317">
        <f t="shared" si="137"/>
        <v>7</v>
      </c>
      <c r="BR436" s="347">
        <v>1.6199999999999999E-2</v>
      </c>
      <c r="BS436" s="337">
        <f t="shared" si="142"/>
        <v>5267.2131149999996</v>
      </c>
      <c r="CH436" s="337"/>
      <c r="CL436" s="335">
        <f t="shared" si="148"/>
        <v>39233</v>
      </c>
      <c r="CM436" s="361">
        <v>39234</v>
      </c>
      <c r="CN436" s="317">
        <f t="shared" si="156"/>
        <v>1</v>
      </c>
      <c r="CO436" s="368">
        <v>3.7600000000000001E-2</v>
      </c>
      <c r="CP436" s="346">
        <f t="shared" si="139"/>
        <v>3.7600000000000001E-2</v>
      </c>
      <c r="CQ436" s="365">
        <f>ROUND(SUM(CP431:CP436)/31,7)</f>
        <v>3.87645E-2</v>
      </c>
      <c r="CR436" s="337">
        <f t="shared" si="154"/>
        <v>8850.5195000000003</v>
      </c>
      <c r="CS436" s="337">
        <f>SUM(CR431:CR436)</f>
        <v>274366.10360000003</v>
      </c>
      <c r="CT436" s="337">
        <f>$CR$5*0.05495*30/360</f>
        <v>381604.85416666669</v>
      </c>
      <c r="CU436" s="366">
        <f>CS436-CT436</f>
        <v>-107238.75056666665</v>
      </c>
      <c r="CV436" s="337">
        <f t="shared" si="141"/>
        <v>8584.6</v>
      </c>
    </row>
    <row r="437" spans="2:100" hidden="1" x14ac:dyDescent="0.25">
      <c r="B437" s="345"/>
      <c r="E437" s="346"/>
      <c r="F437" s="339">
        <f>ROUND(((F436*SUM($C$10:C436))+(E437*C437))/SUM($C$10:C437),5)</f>
        <v>3.3489999999999999E-2</v>
      </c>
      <c r="I437" s="335">
        <f t="shared" si="151"/>
        <v>35920</v>
      </c>
      <c r="J437" s="345">
        <v>35927</v>
      </c>
      <c r="K437" s="317">
        <f t="shared" si="146"/>
        <v>7</v>
      </c>
      <c r="M437" s="346">
        <v>3.5369999999999999E-2</v>
      </c>
      <c r="N437" s="339">
        <f>ROUND(((N436*SUM($K$10:K436))+(M437*K437))/SUM($K$10:K437),5)</f>
        <v>3.2710000000000003E-2</v>
      </c>
      <c r="O437" s="316">
        <v>103.1</v>
      </c>
      <c r="Q437" s="335">
        <f t="shared" si="153"/>
        <v>37091</v>
      </c>
      <c r="R437" s="345">
        <v>37117</v>
      </c>
      <c r="S437" s="317">
        <f t="shared" si="155"/>
        <v>26</v>
      </c>
      <c r="U437" s="346">
        <v>3.3863999999999998E-2</v>
      </c>
      <c r="V437" s="339">
        <f>ROUND(((V436*SUM($S$10:S436))+(U437*S437))/SUM($S$10:S437),5)</f>
        <v>3.551E-2</v>
      </c>
      <c r="W437" s="348">
        <v>87.78</v>
      </c>
      <c r="BB437" s="352"/>
      <c r="BE437" s="335">
        <f t="shared" si="149"/>
        <v>36326</v>
      </c>
      <c r="BF437" s="345">
        <v>36333</v>
      </c>
      <c r="BG437" s="317">
        <f t="shared" si="143"/>
        <v>7</v>
      </c>
      <c r="BH437" s="347">
        <v>3.3300000000000003E-2</v>
      </c>
      <c r="BI437" s="337">
        <f t="shared" si="144"/>
        <v>9579.4500000000007</v>
      </c>
      <c r="BK437" s="364"/>
      <c r="BO437" s="335">
        <f t="shared" si="150"/>
        <v>38274</v>
      </c>
      <c r="BP437" s="345">
        <v>38281</v>
      </c>
      <c r="BQ437" s="317">
        <f>BP437-BO437</f>
        <v>7</v>
      </c>
      <c r="BR437" s="347">
        <v>1.7100000000000001E-2</v>
      </c>
      <c r="BS437" s="337">
        <f t="shared" si="142"/>
        <v>5559.8360659999998</v>
      </c>
      <c r="CH437" s="337"/>
      <c r="CL437" s="335">
        <f t="shared" si="148"/>
        <v>39234</v>
      </c>
      <c r="CM437" s="361">
        <v>39240</v>
      </c>
      <c r="CN437" s="317">
        <f t="shared" si="156"/>
        <v>6</v>
      </c>
      <c r="CO437" s="368">
        <v>3.7599999999999995E-2</v>
      </c>
      <c r="CP437" s="346">
        <f t="shared" si="139"/>
        <v>0.22559999999999997</v>
      </c>
      <c r="CQ437" s="365">
        <f>CQ$441</f>
        <v>3.7041900000000003E-2</v>
      </c>
      <c r="CR437" s="337">
        <f t="shared" si="154"/>
        <v>50743.3436</v>
      </c>
      <c r="CV437" s="337">
        <f t="shared" si="141"/>
        <v>51507.9</v>
      </c>
    </row>
    <row r="438" spans="2:100" hidden="1" x14ac:dyDescent="0.25">
      <c r="B438" s="345"/>
      <c r="E438" s="346"/>
      <c r="F438" s="339">
        <f>ROUND(((F437*SUM($C$10:C437))+(E438*C438))/SUM($C$10:C438),5)</f>
        <v>3.3489999999999999E-2</v>
      </c>
      <c r="I438" s="335">
        <f t="shared" si="151"/>
        <v>35927</v>
      </c>
      <c r="J438" s="345">
        <v>35930</v>
      </c>
      <c r="K438" s="317">
        <f t="shared" si="146"/>
        <v>3</v>
      </c>
      <c r="M438" s="346">
        <v>3.5369999999999999E-2</v>
      </c>
      <c r="N438" s="339">
        <f>ROUND(((N437*SUM($K$10:K437))+(M438*K438))/SUM($K$10:K438),5)</f>
        <v>3.2710000000000003E-2</v>
      </c>
      <c r="O438" s="316">
        <v>102.6</v>
      </c>
      <c r="Q438" s="335">
        <f t="shared" si="153"/>
        <v>37117</v>
      </c>
      <c r="R438" s="345">
        <v>37125</v>
      </c>
      <c r="S438" s="317">
        <f t="shared" si="155"/>
        <v>8</v>
      </c>
      <c r="U438" s="346">
        <v>3.1085999999999999E-2</v>
      </c>
      <c r="V438" s="339">
        <f>ROUND(((V437*SUM($S$10:S437))+(U438*S438))/SUM($S$10:S438),5)</f>
        <v>3.5499999999999997E-2</v>
      </c>
      <c r="W438" s="348">
        <v>75</v>
      </c>
      <c r="BB438" s="352"/>
      <c r="BE438" s="335">
        <f t="shared" si="149"/>
        <v>36333</v>
      </c>
      <c r="BF438" s="345">
        <v>36340</v>
      </c>
      <c r="BG438" s="317">
        <f t="shared" si="143"/>
        <v>7</v>
      </c>
      <c r="BH438" s="347">
        <v>3.5000000000000003E-2</v>
      </c>
      <c r="BI438" s="337">
        <f t="shared" si="144"/>
        <v>10068.495000000001</v>
      </c>
      <c r="BK438" s="364"/>
      <c r="BO438" s="335">
        <f t="shared" si="150"/>
        <v>38281</v>
      </c>
      <c r="BP438" s="345">
        <v>38288</v>
      </c>
      <c r="BQ438" s="317">
        <f>BP438-BO438</f>
        <v>7</v>
      </c>
      <c r="BR438" s="347">
        <v>1.7500000000000002E-2</v>
      </c>
      <c r="BS438" s="337">
        <f t="shared" si="142"/>
        <v>5689.8907099999997</v>
      </c>
      <c r="CH438" s="337"/>
      <c r="CL438" s="335">
        <f t="shared" si="148"/>
        <v>39240</v>
      </c>
      <c r="CM438" s="361">
        <v>39247</v>
      </c>
      <c r="CN438" s="317">
        <f t="shared" si="156"/>
        <v>7</v>
      </c>
      <c r="CO438" s="368">
        <v>3.61E-2</v>
      </c>
      <c r="CP438" s="346">
        <f t="shared" si="139"/>
        <v>0.25269999999999998</v>
      </c>
      <c r="CQ438" s="365">
        <f>CQ$441</f>
        <v>3.7041900000000003E-2</v>
      </c>
      <c r="CR438" s="337">
        <f t="shared" si="154"/>
        <v>59200.567499999997</v>
      </c>
      <c r="CV438" s="337">
        <f t="shared" si="141"/>
        <v>57695.199999999997</v>
      </c>
    </row>
    <row r="439" spans="2:100" hidden="1" x14ac:dyDescent="0.25">
      <c r="B439" s="345"/>
      <c r="E439" s="346"/>
      <c r="F439" s="339">
        <f>ROUND(((F438*SUM($C$10:C438))+(E439*C439))/SUM($C$10:C439),5)</f>
        <v>3.3489999999999999E-2</v>
      </c>
      <c r="I439" s="335">
        <f t="shared" si="151"/>
        <v>35930</v>
      </c>
      <c r="J439" s="345">
        <v>35934</v>
      </c>
      <c r="K439" s="317">
        <f t="shared" si="146"/>
        <v>4</v>
      </c>
      <c r="M439" s="346">
        <v>3.5540000000000002E-2</v>
      </c>
      <c r="N439" s="339">
        <f>ROUND(((N438*SUM($K$10:K438))+(M439*K439))/SUM($K$10:K439),5)</f>
        <v>3.2719999999999999E-2</v>
      </c>
      <c r="O439" s="316">
        <v>99.5</v>
      </c>
      <c r="Q439" s="335">
        <f t="shared" si="153"/>
        <v>37125</v>
      </c>
      <c r="R439" s="345">
        <v>37138</v>
      </c>
      <c r="S439" s="317">
        <f t="shared" si="155"/>
        <v>13</v>
      </c>
      <c r="U439" s="346">
        <v>3.0849999999999999E-2</v>
      </c>
      <c r="V439" s="339">
        <f>ROUND(((V438*SUM($S$10:S438))+(U439*S439))/SUM($S$10:S439),5)</f>
        <v>3.5479999999999998E-2</v>
      </c>
      <c r="W439" s="348">
        <v>78.84</v>
      </c>
      <c r="BB439" s="352"/>
      <c r="BE439" s="335">
        <f t="shared" si="149"/>
        <v>36340</v>
      </c>
      <c r="BF439" s="345">
        <v>36342</v>
      </c>
      <c r="BG439" s="317">
        <f t="shared" si="143"/>
        <v>2</v>
      </c>
      <c r="BH439" s="347">
        <v>3.5999999999999997E-2</v>
      </c>
      <c r="BI439" s="337">
        <f t="shared" si="144"/>
        <v>2958.9050000000002</v>
      </c>
      <c r="BJ439" s="341">
        <f>SUM(BI435:BI439)</f>
        <v>40384.934999999998</v>
      </c>
      <c r="BK439" s="364">
        <v>37653.78</v>
      </c>
      <c r="BL439" s="341">
        <f>BJ439-BK439</f>
        <v>2731.1549999999988</v>
      </c>
      <c r="BM439" s="341">
        <f>BM434+BL439</f>
        <v>40105.695000000029</v>
      </c>
      <c r="BO439" s="335">
        <f t="shared" si="150"/>
        <v>38288</v>
      </c>
      <c r="BP439" s="345">
        <v>38294</v>
      </c>
      <c r="BQ439" s="317">
        <f>BP439-BO439</f>
        <v>6</v>
      </c>
      <c r="BR439" s="347">
        <v>1.7600000000000001E-2</v>
      </c>
      <c r="BS439" s="337">
        <f t="shared" si="142"/>
        <v>4904.9180329999999</v>
      </c>
      <c r="BT439" s="341">
        <f>SUM(BS435:BS439)</f>
        <v>26131.69399</v>
      </c>
      <c r="CH439" s="337"/>
      <c r="CL439" s="335">
        <f t="shared" si="148"/>
        <v>39247</v>
      </c>
      <c r="CM439" s="361">
        <v>39254</v>
      </c>
      <c r="CN439" s="317">
        <f t="shared" si="156"/>
        <v>7</v>
      </c>
      <c r="CO439" s="368">
        <v>3.7100000000000001E-2</v>
      </c>
      <c r="CP439" s="346">
        <f t="shared" ref="CP439:CP513" si="157">CN439*CO439</f>
        <v>0.25969999999999999</v>
      </c>
      <c r="CQ439" s="365">
        <f>CQ$441</f>
        <v>3.7041900000000003E-2</v>
      </c>
      <c r="CR439" s="337">
        <f t="shared" si="154"/>
        <v>59200.567499999997</v>
      </c>
      <c r="CV439" s="337">
        <f t="shared" si="141"/>
        <v>59293.4</v>
      </c>
    </row>
    <row r="440" spans="2:100" hidden="1" x14ac:dyDescent="0.25">
      <c r="B440" s="345"/>
      <c r="E440" s="346"/>
      <c r="F440" s="339">
        <f>ROUND(((F439*SUM($C$10:C439))+(E440*C440))/SUM($C$10:C440),5)</f>
        <v>3.3489999999999999E-2</v>
      </c>
      <c r="I440" s="335">
        <f t="shared" si="151"/>
        <v>35934</v>
      </c>
      <c r="J440" s="345">
        <v>35935</v>
      </c>
      <c r="K440" s="317">
        <f t="shared" si="146"/>
        <v>1</v>
      </c>
      <c r="M440" s="346">
        <v>3.5610000000000003E-2</v>
      </c>
      <c r="N440" s="339">
        <f>ROUND(((N439*SUM($K$10:K439))+(M440*K440))/SUM($K$10:K440),5)</f>
        <v>3.2719999999999999E-2</v>
      </c>
      <c r="O440" s="316">
        <v>98.2</v>
      </c>
      <c r="Q440" s="335">
        <f t="shared" si="153"/>
        <v>37138</v>
      </c>
      <c r="R440" s="345"/>
      <c r="S440" s="317">
        <f t="shared" si="155"/>
        <v>-37138</v>
      </c>
      <c r="U440" s="346"/>
      <c r="V440" s="339">
        <f>ROUND(((V439*SUM($S$10:S439))+(U440*S440))/SUM($S$10:S440),5)</f>
        <v>-3.0300000000000001E-3</v>
      </c>
      <c r="W440" s="348"/>
      <c r="BB440" s="352"/>
      <c r="BE440" s="335">
        <f t="shared" si="149"/>
        <v>36342</v>
      </c>
      <c r="BF440" s="345">
        <v>36347</v>
      </c>
      <c r="BG440" s="317">
        <f t="shared" si="143"/>
        <v>5</v>
      </c>
      <c r="BH440" s="347">
        <v>3.5999999999999997E-2</v>
      </c>
      <c r="BI440" s="337">
        <f t="shared" si="144"/>
        <v>7397.26</v>
      </c>
      <c r="BK440" s="364"/>
      <c r="BO440" s="335">
        <f t="shared" si="150"/>
        <v>38294</v>
      </c>
      <c r="BP440" s="345">
        <v>38295</v>
      </c>
      <c r="BQ440" s="317">
        <f t="shared" ref="BQ440:BQ457" si="158">BP440-BO440</f>
        <v>1</v>
      </c>
      <c r="BR440" s="347">
        <v>1.7600000000000001E-2</v>
      </c>
      <c r="BS440" s="337">
        <f>ROUND($BS$5*BR440*BQ440/366,3)</f>
        <v>817.48599999999999</v>
      </c>
      <c r="CH440" s="337"/>
      <c r="CL440" s="335">
        <f t="shared" si="148"/>
        <v>39254</v>
      </c>
      <c r="CM440" s="361">
        <v>39261</v>
      </c>
      <c r="CN440" s="317">
        <f t="shared" si="156"/>
        <v>7</v>
      </c>
      <c r="CO440" s="368">
        <v>3.73E-2</v>
      </c>
      <c r="CP440" s="346">
        <f t="shared" si="157"/>
        <v>0.2611</v>
      </c>
      <c r="CQ440" s="365">
        <f>CQ$441</f>
        <v>3.7041900000000003E-2</v>
      </c>
      <c r="CR440" s="337">
        <f t="shared" si="154"/>
        <v>59200.567499999997</v>
      </c>
      <c r="CV440" s="337">
        <f t="shared" si="141"/>
        <v>59613.1</v>
      </c>
    </row>
    <row r="441" spans="2:100" hidden="1" x14ac:dyDescent="0.25">
      <c r="B441" s="345"/>
      <c r="E441" s="346"/>
      <c r="F441" s="339">
        <f>ROUND(((F440*SUM($C$10:C440))+(E441*C441))/SUM($C$10:C441),5)</f>
        <v>3.3489999999999999E-2</v>
      </c>
      <c r="I441" s="335">
        <f t="shared" si="151"/>
        <v>35935</v>
      </c>
      <c r="J441" s="345">
        <v>35947</v>
      </c>
      <c r="K441" s="317">
        <f t="shared" si="146"/>
        <v>12</v>
      </c>
      <c r="M441" s="346">
        <v>3.56E-2</v>
      </c>
      <c r="N441" s="339">
        <f>ROUND(((N440*SUM($K$10:K440))+(M441*K441))/SUM($K$10:K441),5)</f>
        <v>3.2739999999999998E-2</v>
      </c>
      <c r="O441" s="316">
        <v>96.1</v>
      </c>
      <c r="Q441" s="335">
        <f t="shared" si="153"/>
        <v>0</v>
      </c>
      <c r="R441" s="345"/>
      <c r="S441" s="317">
        <f t="shared" si="155"/>
        <v>0</v>
      </c>
      <c r="U441" s="346"/>
      <c r="V441" s="339">
        <f>ROUND(((V440*SUM($S$10:S440))+(U441*S441))/SUM($S$10:S441),5)</f>
        <v>-3.0300000000000001E-3</v>
      </c>
      <c r="W441" s="348"/>
      <c r="BB441" s="352"/>
      <c r="BE441" s="335">
        <f t="shared" si="149"/>
        <v>36347</v>
      </c>
      <c r="BF441" s="345">
        <v>36354</v>
      </c>
      <c r="BG441" s="317">
        <f t="shared" si="143"/>
        <v>7</v>
      </c>
      <c r="BH441" s="347">
        <v>3.15E-2</v>
      </c>
      <c r="BI441" s="337">
        <f t="shared" si="144"/>
        <v>9061.6450000000004</v>
      </c>
      <c r="BK441" s="364"/>
      <c r="BO441" s="335">
        <f t="shared" si="150"/>
        <v>38295</v>
      </c>
      <c r="BP441" s="369">
        <v>38303</v>
      </c>
      <c r="BQ441" s="317">
        <f t="shared" si="158"/>
        <v>8</v>
      </c>
      <c r="BR441" s="347">
        <v>1.6400000000000001E-2</v>
      </c>
      <c r="BS441" s="337">
        <f t="shared" ref="BS441:BS450" si="159">ROUND($BS$5*BR441*BQ441/366,3)</f>
        <v>6093.9889999999996</v>
      </c>
      <c r="CH441" s="337"/>
      <c r="CL441" s="335">
        <f t="shared" si="148"/>
        <v>39261</v>
      </c>
      <c r="CM441" s="361">
        <v>39265</v>
      </c>
      <c r="CN441" s="317">
        <f t="shared" si="156"/>
        <v>4</v>
      </c>
      <c r="CO441" s="368">
        <v>3.73E-2</v>
      </c>
      <c r="CP441" s="346">
        <f t="shared" si="157"/>
        <v>0.1492</v>
      </c>
      <c r="CQ441" s="365">
        <f>ROUND(SUM(CP437:CP441)/31,7)</f>
        <v>3.7041900000000003E-2</v>
      </c>
      <c r="CR441" s="337">
        <f t="shared" si="154"/>
        <v>33828.895700000001</v>
      </c>
      <c r="CS441" s="337">
        <f>(ROUND(SUM(CR437:CR441),2))</f>
        <v>262173.94</v>
      </c>
      <c r="CT441" s="337">
        <f>ROUND($CR$5*0.05495*31/360,2)</f>
        <v>394325.02</v>
      </c>
      <c r="CU441" s="366">
        <f>CS441-CT441</f>
        <v>-132151.08000000002</v>
      </c>
      <c r="CV441" s="337">
        <f t="shared" si="141"/>
        <v>34064.6</v>
      </c>
    </row>
    <row r="442" spans="2:100" hidden="1" x14ac:dyDescent="0.25">
      <c r="B442" s="345"/>
      <c r="E442" s="346"/>
      <c r="F442" s="339">
        <f>ROUND(((F441*SUM($C$10:C441))+(E442*C442))/SUM($C$10:C442),5)</f>
        <v>3.3489999999999999E-2</v>
      </c>
      <c r="I442" s="335">
        <f t="shared" si="151"/>
        <v>35947</v>
      </c>
      <c r="J442" s="345">
        <v>35950</v>
      </c>
      <c r="K442" s="317">
        <f t="shared" si="146"/>
        <v>3</v>
      </c>
      <c r="M442" s="346">
        <v>3.5700000000000003E-2</v>
      </c>
      <c r="N442" s="339">
        <f>ROUND(((N441*SUM($K$10:K441))+(M442*K442))/SUM($K$10:K442),5)</f>
        <v>3.2739999999999998E-2</v>
      </c>
      <c r="O442" s="316">
        <v>94.1</v>
      </c>
      <c r="Q442" s="335">
        <f t="shared" si="153"/>
        <v>0</v>
      </c>
      <c r="R442" s="345"/>
      <c r="S442" s="317">
        <f t="shared" si="155"/>
        <v>0</v>
      </c>
      <c r="U442" s="346"/>
      <c r="V442" s="339">
        <f>ROUND(((V441*SUM($S$10:S441))+(U442*S442))/SUM($S$10:S442),5)</f>
        <v>-3.0300000000000001E-3</v>
      </c>
      <c r="W442" s="348"/>
      <c r="BB442" s="352"/>
      <c r="BE442" s="335">
        <f t="shared" si="149"/>
        <v>36354</v>
      </c>
      <c r="BF442" s="345">
        <v>36361</v>
      </c>
      <c r="BG442" s="317">
        <f t="shared" si="143"/>
        <v>7</v>
      </c>
      <c r="BH442" s="347">
        <v>0.03</v>
      </c>
      <c r="BI442" s="337">
        <f t="shared" si="144"/>
        <v>8630.1350000000002</v>
      </c>
      <c r="BK442" s="364"/>
      <c r="BO442" s="335">
        <f t="shared" si="150"/>
        <v>38303</v>
      </c>
      <c r="BP442" s="345">
        <v>38309</v>
      </c>
      <c r="BQ442" s="317">
        <f t="shared" si="158"/>
        <v>6</v>
      </c>
      <c r="BR442" s="347">
        <v>1.67E-2</v>
      </c>
      <c r="BS442" s="337">
        <f t="shared" si="159"/>
        <v>4654.098</v>
      </c>
      <c r="CH442" s="337"/>
      <c r="CL442" s="335">
        <f t="shared" si="148"/>
        <v>39265</v>
      </c>
      <c r="CM442" s="361">
        <v>39268</v>
      </c>
      <c r="CN442" s="317">
        <f t="shared" si="156"/>
        <v>3</v>
      </c>
      <c r="CO442" s="368">
        <v>3.73E-2</v>
      </c>
      <c r="CP442" s="346">
        <f t="shared" si="157"/>
        <v>0.1119</v>
      </c>
      <c r="CQ442" s="365">
        <f>CQ446</f>
        <v>3.6126699999999998E-2</v>
      </c>
      <c r="CR442" s="337">
        <f t="shared" si="154"/>
        <v>24744.81</v>
      </c>
      <c r="CV442" s="337">
        <f t="shared" si="141"/>
        <v>25548.5</v>
      </c>
    </row>
    <row r="443" spans="2:100" hidden="1" x14ac:dyDescent="0.25">
      <c r="B443" s="345"/>
      <c r="E443" s="346"/>
      <c r="F443" s="339">
        <f>ROUND(((F442*SUM($C$10:C442))+(E443*C443))/SUM($C$10:C443),5)</f>
        <v>3.3489999999999999E-2</v>
      </c>
      <c r="I443" s="335">
        <f t="shared" si="151"/>
        <v>35950</v>
      </c>
      <c r="J443" s="345">
        <v>35951</v>
      </c>
      <c r="K443" s="317">
        <f t="shared" si="146"/>
        <v>1</v>
      </c>
      <c r="M443" s="346">
        <v>3.5678000000000001E-2</v>
      </c>
      <c r="N443" s="339">
        <f>ROUND(((N442*SUM($K$10:K442))+(M443*K443))/SUM($K$10:K443),5)</f>
        <v>3.2739999999999998E-2</v>
      </c>
      <c r="O443" s="348">
        <v>93.48</v>
      </c>
      <c r="Q443" s="335">
        <f t="shared" si="153"/>
        <v>0</v>
      </c>
      <c r="R443" s="345"/>
      <c r="S443" s="317">
        <f t="shared" si="155"/>
        <v>0</v>
      </c>
      <c r="U443" s="346"/>
      <c r="W443" s="348"/>
      <c r="BB443" s="352"/>
      <c r="BE443" s="335">
        <f t="shared" si="149"/>
        <v>36361</v>
      </c>
      <c r="BF443" s="345">
        <v>36368</v>
      </c>
      <c r="BG443" s="317">
        <f t="shared" si="143"/>
        <v>7</v>
      </c>
      <c r="BH443" s="347">
        <v>3.15E-2</v>
      </c>
      <c r="BI443" s="337">
        <f t="shared" si="144"/>
        <v>9061.6450000000004</v>
      </c>
      <c r="BK443" s="364"/>
      <c r="BO443" s="335">
        <f t="shared" si="150"/>
        <v>38309</v>
      </c>
      <c r="BP443" s="345">
        <v>38317</v>
      </c>
      <c r="BQ443" s="317">
        <f t="shared" si="158"/>
        <v>8</v>
      </c>
      <c r="BR443" s="347">
        <v>1.6500000000000001E-2</v>
      </c>
      <c r="BS443" s="337">
        <f t="shared" si="159"/>
        <v>6131.1480000000001</v>
      </c>
      <c r="CH443" s="337"/>
      <c r="CL443" s="335">
        <f t="shared" si="148"/>
        <v>39268</v>
      </c>
      <c r="CM443" s="361">
        <v>39275</v>
      </c>
      <c r="CN443" s="317">
        <f t="shared" si="156"/>
        <v>7</v>
      </c>
      <c r="CO443" s="368">
        <v>3.6000000000000004E-2</v>
      </c>
      <c r="CP443" s="346">
        <f t="shared" si="157"/>
        <v>0.252</v>
      </c>
      <c r="CQ443" s="365">
        <f>CQ446</f>
        <v>3.6126699999999998E-2</v>
      </c>
      <c r="CR443" s="337">
        <f t="shared" si="154"/>
        <v>57737.889900000002</v>
      </c>
      <c r="CV443" s="337">
        <f t="shared" si="141"/>
        <v>57535.4</v>
      </c>
    </row>
    <row r="444" spans="2:100" hidden="1" x14ac:dyDescent="0.25">
      <c r="B444" s="345"/>
      <c r="E444" s="346"/>
      <c r="F444" s="339">
        <f>ROUND(((F443*SUM($C$10:C443))+(E444*C444))/SUM($C$10:C444),5)</f>
        <v>3.3489999999999999E-2</v>
      </c>
      <c r="I444" s="335">
        <f t="shared" si="151"/>
        <v>35951</v>
      </c>
      <c r="J444" s="345">
        <v>35954</v>
      </c>
      <c r="K444" s="317">
        <f t="shared" si="146"/>
        <v>3</v>
      </c>
      <c r="M444" s="346">
        <v>3.5673000000000003E-2</v>
      </c>
      <c r="N444" s="339">
        <f>ROUND(((N443*SUM($K$10:K443))+(M444*K444))/SUM($K$10:K444),5)</f>
        <v>3.2739999999999998E-2</v>
      </c>
      <c r="O444" s="348">
        <v>93.07</v>
      </c>
      <c r="Q444" s="335">
        <f t="shared" si="153"/>
        <v>0</v>
      </c>
      <c r="R444" s="345"/>
      <c r="S444" s="317">
        <f t="shared" si="155"/>
        <v>0</v>
      </c>
      <c r="U444" s="346"/>
      <c r="W444" s="348"/>
      <c r="BB444" s="352"/>
      <c r="BE444" s="335">
        <f t="shared" si="149"/>
        <v>36368</v>
      </c>
      <c r="BF444" s="345">
        <v>36373</v>
      </c>
      <c r="BG444" s="317">
        <f t="shared" si="143"/>
        <v>5</v>
      </c>
      <c r="BH444" s="347">
        <v>3.2000000000000001E-2</v>
      </c>
      <c r="BI444" s="337">
        <f t="shared" si="144"/>
        <v>6575.34</v>
      </c>
      <c r="BJ444" s="341">
        <f>SUM(BI440:BI444)</f>
        <v>40726.024999999994</v>
      </c>
      <c r="BK444" s="364">
        <v>39739.339999999997</v>
      </c>
      <c r="BL444" s="341">
        <f>BJ444-BK444</f>
        <v>986.68499999999767</v>
      </c>
      <c r="BM444" s="341">
        <f>BM439+BL444</f>
        <v>41092.380000000026</v>
      </c>
      <c r="BO444" s="335">
        <f t="shared" si="150"/>
        <v>38317</v>
      </c>
      <c r="BP444" s="345">
        <v>38322</v>
      </c>
      <c r="BQ444" s="317">
        <f t="shared" si="158"/>
        <v>5</v>
      </c>
      <c r="BR444" s="347">
        <v>1.67E-2</v>
      </c>
      <c r="BS444" s="337">
        <f t="shared" si="159"/>
        <v>3878.415</v>
      </c>
      <c r="BT444" s="341">
        <f>SUM(BS440:BS444)</f>
        <v>21575.136000000002</v>
      </c>
      <c r="CH444" s="337"/>
      <c r="CL444" s="335">
        <f t="shared" si="148"/>
        <v>39275</v>
      </c>
      <c r="CM444" s="361">
        <v>39282</v>
      </c>
      <c r="CN444" s="317">
        <f t="shared" si="156"/>
        <v>7</v>
      </c>
      <c r="CO444" s="368">
        <v>3.5799999999999998E-2</v>
      </c>
      <c r="CP444" s="346">
        <f t="shared" si="157"/>
        <v>0.25059999999999999</v>
      </c>
      <c r="CQ444" s="365">
        <f>CQ446</f>
        <v>3.6126699999999998E-2</v>
      </c>
      <c r="CR444" s="337">
        <f t="shared" si="154"/>
        <v>57737.889900000002</v>
      </c>
      <c r="CV444" s="337">
        <f t="shared" ref="CV444:CV508" si="160">ROUND($CR$5*CO444*CN444/365,1)</f>
        <v>57215.8</v>
      </c>
    </row>
    <row r="445" spans="2:100" hidden="1" x14ac:dyDescent="0.25">
      <c r="B445" s="345"/>
      <c r="E445" s="346"/>
      <c r="F445" s="339">
        <f>ROUND(((F444*SUM($C$10:C444))+(E445*C445))/SUM($C$10:C445),5)</f>
        <v>3.3489999999999999E-2</v>
      </c>
      <c r="I445" s="335">
        <f t="shared" si="151"/>
        <v>35954</v>
      </c>
      <c r="J445" s="345">
        <v>35955</v>
      </c>
      <c r="K445" s="317">
        <f t="shared" si="146"/>
        <v>1</v>
      </c>
      <c r="M445" s="346">
        <v>3.6115000000000001E-2</v>
      </c>
      <c r="N445" s="339">
        <f>ROUND(((N444*SUM($K$10:K444))+(M445*K445))/SUM($K$10:K445),5)</f>
        <v>3.2739999999999998E-2</v>
      </c>
      <c r="O445" s="348">
        <v>95.12</v>
      </c>
      <c r="Q445" s="335">
        <f t="shared" si="153"/>
        <v>0</v>
      </c>
      <c r="S445" s="317">
        <f t="shared" si="155"/>
        <v>0</v>
      </c>
      <c r="U445" s="346"/>
      <c r="W445" s="348"/>
      <c r="BB445" s="352"/>
      <c r="BE445" s="335">
        <f t="shared" si="149"/>
        <v>36373</v>
      </c>
      <c r="BF445" s="345">
        <v>36375</v>
      </c>
      <c r="BG445" s="317">
        <f t="shared" si="143"/>
        <v>2</v>
      </c>
      <c r="BH445" s="347">
        <v>3.2000000000000001E-2</v>
      </c>
      <c r="BI445" s="337">
        <f t="shared" si="144"/>
        <v>2630.1350000000002</v>
      </c>
      <c r="BK445" s="364"/>
      <c r="BO445" s="335">
        <f t="shared" si="150"/>
        <v>38322</v>
      </c>
      <c r="BP445" s="345">
        <v>38323</v>
      </c>
      <c r="BQ445" s="317">
        <f t="shared" si="158"/>
        <v>1</v>
      </c>
      <c r="BR445" s="347">
        <v>1.67E-2</v>
      </c>
      <c r="BS445" s="337">
        <f t="shared" si="159"/>
        <v>775.68299999999999</v>
      </c>
      <c r="CH445" s="337"/>
      <c r="CL445" s="335">
        <f t="shared" si="148"/>
        <v>39282</v>
      </c>
      <c r="CM445" s="361">
        <v>39289</v>
      </c>
      <c r="CN445" s="317">
        <f t="shared" si="156"/>
        <v>7</v>
      </c>
      <c r="CO445" s="368">
        <v>3.61E-2</v>
      </c>
      <c r="CP445" s="346">
        <f t="shared" si="157"/>
        <v>0.25269999999999998</v>
      </c>
      <c r="CQ445" s="365">
        <f>CQ446</f>
        <v>3.6126699999999998E-2</v>
      </c>
      <c r="CR445" s="337">
        <f t="shared" si="154"/>
        <v>57737.889900000002</v>
      </c>
      <c r="CV445" s="337">
        <f t="shared" si="160"/>
        <v>57695.199999999997</v>
      </c>
    </row>
    <row r="446" spans="2:100" hidden="1" x14ac:dyDescent="0.25">
      <c r="B446" s="345"/>
      <c r="E446" s="346"/>
      <c r="F446" s="339">
        <f>ROUND(((F445*SUM($C$10:C445))+(E446*C446))/SUM($C$10:C446),5)</f>
        <v>3.3489999999999999E-2</v>
      </c>
      <c r="I446" s="335">
        <f t="shared" si="151"/>
        <v>35955</v>
      </c>
      <c r="J446" s="345">
        <v>35956</v>
      </c>
      <c r="K446" s="317">
        <f t="shared" si="146"/>
        <v>1</v>
      </c>
      <c r="M446" s="346">
        <v>3.6153999999999999E-2</v>
      </c>
      <c r="N446" s="339">
        <f>ROUND(((N445*SUM($K$10:K445))+(M446*K446))/SUM($K$10:K446),5)</f>
        <v>3.2739999999999998E-2</v>
      </c>
      <c r="O446" s="316">
        <v>100.8</v>
      </c>
      <c r="Q446" s="335">
        <f t="shared" si="153"/>
        <v>0</v>
      </c>
      <c r="S446" s="317">
        <f t="shared" si="155"/>
        <v>0</v>
      </c>
      <c r="U446" s="346"/>
      <c r="W446" s="348"/>
      <c r="BB446" s="352"/>
      <c r="BE446" s="335">
        <f t="shared" si="149"/>
        <v>36375</v>
      </c>
      <c r="BF446" s="345">
        <v>36382</v>
      </c>
      <c r="BG446" s="317">
        <f t="shared" si="143"/>
        <v>7</v>
      </c>
      <c r="BH446" s="347">
        <v>0.03</v>
      </c>
      <c r="BI446" s="337">
        <f t="shared" si="144"/>
        <v>8630.1350000000002</v>
      </c>
      <c r="BK446" s="364"/>
      <c r="BO446" s="335">
        <f t="shared" si="150"/>
        <v>38323</v>
      </c>
      <c r="BP446" s="345">
        <v>38330</v>
      </c>
      <c r="BQ446" s="317">
        <f t="shared" si="158"/>
        <v>7</v>
      </c>
      <c r="BR446" s="347">
        <v>1.55E-2</v>
      </c>
      <c r="BS446" s="337">
        <f t="shared" si="159"/>
        <v>5039.6170000000002</v>
      </c>
      <c r="CH446" s="337"/>
      <c r="CL446" s="335">
        <f t="shared" si="148"/>
        <v>39289</v>
      </c>
      <c r="CM446" s="361">
        <v>39295</v>
      </c>
      <c r="CN446" s="317">
        <f t="shared" si="156"/>
        <v>6</v>
      </c>
      <c r="CO446" s="368">
        <v>3.61E-2</v>
      </c>
      <c r="CP446" s="346">
        <f t="shared" si="157"/>
        <v>0.21660000000000001</v>
      </c>
      <c r="CQ446" s="365">
        <f>ROUND(SUM(CP442:CP446)/30,7)</f>
        <v>3.6126699999999998E-2</v>
      </c>
      <c r="CR446" s="337">
        <f t="shared" si="154"/>
        <v>49489.619899999998</v>
      </c>
      <c r="CS446" s="337">
        <f>(ROUND(SUM(CR442:CR446),2))</f>
        <v>247448.1</v>
      </c>
      <c r="CT446" s="337">
        <f>ROUND($CR$5*0.05495*29/360,2)</f>
        <v>368884.69</v>
      </c>
      <c r="CU446" s="366">
        <f>CS446-CT446</f>
        <v>-121436.59</v>
      </c>
      <c r="CV446" s="337">
        <f t="shared" si="160"/>
        <v>49453</v>
      </c>
    </row>
    <row r="447" spans="2:100" hidden="1" x14ac:dyDescent="0.25">
      <c r="B447" s="345"/>
      <c r="E447" s="346"/>
      <c r="F447" s="339">
        <f>ROUND(((F446*SUM($C$10:C446))+(E447*C447))/SUM($C$10:C447),5)</f>
        <v>3.3489999999999999E-2</v>
      </c>
      <c r="I447" s="335">
        <f t="shared" si="151"/>
        <v>35956</v>
      </c>
      <c r="J447" s="345">
        <v>35958</v>
      </c>
      <c r="K447" s="317">
        <f t="shared" si="146"/>
        <v>2</v>
      </c>
      <c r="M447" s="346">
        <v>3.6220000000000002E-2</v>
      </c>
      <c r="N447" s="339">
        <f>ROUND(((N446*SUM($K$10:K446))+(M447*K447))/SUM($K$10:K447),5)</f>
        <v>3.2739999999999998E-2</v>
      </c>
      <c r="O447" s="316">
        <v>100.6</v>
      </c>
      <c r="Q447" s="335">
        <f t="shared" si="153"/>
        <v>0</v>
      </c>
      <c r="S447" s="317">
        <f t="shared" si="155"/>
        <v>0</v>
      </c>
      <c r="U447" s="346"/>
      <c r="W447" s="348"/>
      <c r="BB447" s="352"/>
      <c r="BE447" s="335">
        <f t="shared" si="149"/>
        <v>36382</v>
      </c>
      <c r="BF447" s="345">
        <v>36389</v>
      </c>
      <c r="BG447" s="317">
        <f t="shared" si="143"/>
        <v>7</v>
      </c>
      <c r="BH447" s="347">
        <v>3.2199999999999999E-2</v>
      </c>
      <c r="BI447" s="337">
        <f t="shared" si="144"/>
        <v>9263.0149999999994</v>
      </c>
      <c r="BK447" s="364"/>
      <c r="BO447" s="335">
        <f t="shared" si="150"/>
        <v>38330</v>
      </c>
      <c r="BP447" s="345">
        <v>38337</v>
      </c>
      <c r="BQ447" s="317">
        <f t="shared" si="158"/>
        <v>7</v>
      </c>
      <c r="BR447" s="347">
        <v>1.43E-2</v>
      </c>
      <c r="BS447" s="337">
        <f t="shared" si="159"/>
        <v>4649.4539999999997</v>
      </c>
      <c r="CH447" s="337"/>
      <c r="CL447" s="335">
        <f t="shared" si="148"/>
        <v>39295</v>
      </c>
      <c r="CM447" s="361">
        <v>39296</v>
      </c>
      <c r="CN447" s="317">
        <f t="shared" si="156"/>
        <v>1</v>
      </c>
      <c r="CO447" s="368">
        <v>3.61E-2</v>
      </c>
      <c r="CP447" s="346">
        <f t="shared" si="157"/>
        <v>3.61E-2</v>
      </c>
      <c r="CQ447" s="365">
        <v>3.6949999999999997E-2</v>
      </c>
      <c r="CR447" s="337">
        <f t="shared" si="154"/>
        <v>8436.2417999999998</v>
      </c>
      <c r="CV447" s="337">
        <f t="shared" si="160"/>
        <v>8242.2000000000007</v>
      </c>
    </row>
    <row r="448" spans="2:100" hidden="1" x14ac:dyDescent="0.25">
      <c r="B448" s="345"/>
      <c r="E448" s="346"/>
      <c r="F448" s="339">
        <f>ROUND(((F447*SUM($C$10:C447))+(E448*C448))/SUM($C$10:C448),5)</f>
        <v>3.3489999999999999E-2</v>
      </c>
      <c r="I448" s="335">
        <f t="shared" si="151"/>
        <v>35958</v>
      </c>
      <c r="J448" s="345">
        <v>35961</v>
      </c>
      <c r="K448" s="317">
        <f t="shared" si="146"/>
        <v>3</v>
      </c>
      <c r="M448" s="346">
        <v>3.6322E-2</v>
      </c>
      <c r="N448" s="339">
        <f>ROUND(((N447*SUM($K$10:K447))+(M448*K448))/SUM($K$10:K448),5)</f>
        <v>3.2750000000000001E-2</v>
      </c>
      <c r="O448" s="348">
        <v>93.27</v>
      </c>
      <c r="Q448" s="335">
        <f t="shared" si="153"/>
        <v>0</v>
      </c>
      <c r="S448" s="317">
        <f t="shared" si="155"/>
        <v>0</v>
      </c>
      <c r="U448" s="346"/>
      <c r="W448" s="348"/>
      <c r="BB448" s="352"/>
      <c r="BE448" s="335">
        <f t="shared" si="149"/>
        <v>36389</v>
      </c>
      <c r="BF448" s="345">
        <v>36396</v>
      </c>
      <c r="BG448" s="317">
        <f t="shared" si="143"/>
        <v>7</v>
      </c>
      <c r="BH448" s="347">
        <v>3.2500000000000001E-2</v>
      </c>
      <c r="BI448" s="337">
        <f t="shared" si="144"/>
        <v>9349.3150000000005</v>
      </c>
      <c r="BK448" s="364"/>
      <c r="BO448" s="335">
        <f t="shared" si="150"/>
        <v>38337</v>
      </c>
      <c r="BP448" s="345">
        <v>38344</v>
      </c>
      <c r="BQ448" s="317">
        <f t="shared" si="158"/>
        <v>7</v>
      </c>
      <c r="BR448" s="347">
        <v>1.6500000000000001E-2</v>
      </c>
      <c r="BS448" s="337">
        <f t="shared" si="159"/>
        <v>5364.7539999999999</v>
      </c>
      <c r="CH448" s="337"/>
      <c r="CL448" s="335">
        <f t="shared" si="148"/>
        <v>39296</v>
      </c>
      <c r="CM448" s="361">
        <v>39303</v>
      </c>
      <c r="CN448" s="317">
        <f t="shared" si="156"/>
        <v>7</v>
      </c>
      <c r="CO448" s="368">
        <v>3.5200000000000002E-2</v>
      </c>
      <c r="CP448" s="346">
        <f t="shared" si="157"/>
        <v>0.24640000000000001</v>
      </c>
      <c r="CQ448" s="365">
        <v>3.6949999999999997E-2</v>
      </c>
      <c r="CR448" s="337">
        <f t="shared" si="154"/>
        <v>59053.692499999997</v>
      </c>
      <c r="CV448" s="337">
        <f t="shared" si="160"/>
        <v>56256.800000000003</v>
      </c>
    </row>
    <row r="449" spans="2:100" hidden="1" x14ac:dyDescent="0.25">
      <c r="B449" s="345"/>
      <c r="E449" s="346"/>
      <c r="F449" s="339">
        <f>ROUND(((F448*SUM($C$10:C448))+(E449*C449))/SUM($C$10:C449),5)</f>
        <v>3.3489999999999999E-2</v>
      </c>
      <c r="I449" s="335">
        <f t="shared" si="151"/>
        <v>35961</v>
      </c>
      <c r="J449" s="345">
        <v>35963</v>
      </c>
      <c r="K449" s="317">
        <f t="shared" si="146"/>
        <v>2</v>
      </c>
      <c r="M449" s="346">
        <v>3.6429000000000003E-2</v>
      </c>
      <c r="N449" s="339">
        <f>ROUND(((N448*SUM($K$10:K448))+(M449*K449))/SUM($K$10:K449),5)</f>
        <v>3.2750000000000001E-2</v>
      </c>
      <c r="O449" s="348">
        <v>86.29</v>
      </c>
      <c r="Q449" s="335">
        <f t="shared" si="153"/>
        <v>0</v>
      </c>
      <c r="S449" s="317">
        <f t="shared" si="155"/>
        <v>0</v>
      </c>
      <c r="U449" s="346"/>
      <c r="W449" s="348"/>
      <c r="BB449" s="352"/>
      <c r="BE449" s="335">
        <f t="shared" si="149"/>
        <v>36396</v>
      </c>
      <c r="BF449" s="345">
        <v>36403</v>
      </c>
      <c r="BG449" s="317">
        <f t="shared" si="143"/>
        <v>7</v>
      </c>
      <c r="BH449" s="347">
        <v>3.2500000000000001E-2</v>
      </c>
      <c r="BI449" s="337">
        <f t="shared" si="144"/>
        <v>9349.3150000000005</v>
      </c>
      <c r="BK449" s="364"/>
      <c r="BO449" s="335">
        <f t="shared" si="150"/>
        <v>38344</v>
      </c>
      <c r="BP449" s="345">
        <v>38351</v>
      </c>
      <c r="BQ449" s="317">
        <f t="shared" si="158"/>
        <v>7</v>
      </c>
      <c r="BR449" s="347">
        <v>1.9300000000000001E-2</v>
      </c>
      <c r="BS449" s="337">
        <f t="shared" si="159"/>
        <v>6275.1369999999997</v>
      </c>
      <c r="CH449" s="337"/>
      <c r="CL449" s="335">
        <f t="shared" si="148"/>
        <v>39303</v>
      </c>
      <c r="CM449" s="361">
        <v>39310</v>
      </c>
      <c r="CN449" s="317">
        <f t="shared" si="156"/>
        <v>7</v>
      </c>
      <c r="CO449" s="368">
        <v>3.5099999999999999E-2</v>
      </c>
      <c r="CP449" s="346">
        <f t="shared" si="157"/>
        <v>0.2457</v>
      </c>
      <c r="CQ449" s="365">
        <v>3.6949999999999997E-2</v>
      </c>
      <c r="CR449" s="337">
        <f t="shared" si="154"/>
        <v>59053.692499999997</v>
      </c>
      <c r="CV449" s="337">
        <f t="shared" si="160"/>
        <v>56097</v>
      </c>
    </row>
    <row r="450" spans="2:100" hidden="1" x14ac:dyDescent="0.25">
      <c r="B450" s="345"/>
      <c r="E450" s="346"/>
      <c r="F450" s="339">
        <f>ROUND(((F449*SUM($C$10:C449))+(E450*C450))/SUM($C$10:C450),5)</f>
        <v>3.3489999999999999E-2</v>
      </c>
      <c r="I450" s="335">
        <f t="shared" si="151"/>
        <v>35963</v>
      </c>
      <c r="J450" s="345">
        <v>35969</v>
      </c>
      <c r="K450" s="317">
        <f t="shared" si="146"/>
        <v>6</v>
      </c>
      <c r="M450" s="346">
        <v>3.6317000000000002E-2</v>
      </c>
      <c r="N450" s="339">
        <f>ROUND(((N449*SUM($K$10:K449))+(M450*K450))/SUM($K$10:K450),5)</f>
        <v>3.2759999999999997E-2</v>
      </c>
      <c r="O450" s="348">
        <v>93.16</v>
      </c>
      <c r="Q450" s="335">
        <f t="shared" si="153"/>
        <v>0</v>
      </c>
      <c r="S450" s="317">
        <f t="shared" si="155"/>
        <v>0</v>
      </c>
      <c r="U450" s="346"/>
      <c r="W450" s="348"/>
      <c r="BB450" s="352"/>
      <c r="BE450" s="335">
        <f t="shared" si="149"/>
        <v>36403</v>
      </c>
      <c r="BF450" s="345">
        <v>36404</v>
      </c>
      <c r="BG450" s="317">
        <f t="shared" si="143"/>
        <v>1</v>
      </c>
      <c r="BH450" s="347">
        <v>3.2199999999999999E-2</v>
      </c>
      <c r="BI450" s="337">
        <f t="shared" si="144"/>
        <v>1323.29</v>
      </c>
      <c r="BJ450" s="341">
        <f>SUM(BI445:BI450)</f>
        <v>40545.205000000002</v>
      </c>
      <c r="BK450" s="364">
        <v>41076.870000000003</v>
      </c>
      <c r="BL450" s="341">
        <f>BJ450-BK450</f>
        <v>-531.66500000000087</v>
      </c>
      <c r="BM450" s="341">
        <f>BM444+BL450</f>
        <v>40560.715000000026</v>
      </c>
      <c r="BO450" s="335">
        <f t="shared" si="150"/>
        <v>38351</v>
      </c>
      <c r="BP450" s="345">
        <v>38353</v>
      </c>
      <c r="BQ450" s="317">
        <f t="shared" si="158"/>
        <v>2</v>
      </c>
      <c r="BR450" s="347">
        <v>1.9900000000000001E-2</v>
      </c>
      <c r="BS450" s="337">
        <f t="shared" si="159"/>
        <v>1848.634</v>
      </c>
      <c r="BT450" s="341">
        <f>SUM(BS445:BS450)</f>
        <v>23953.279000000002</v>
      </c>
      <c r="CH450" s="337"/>
      <c r="CL450" s="335">
        <f t="shared" si="148"/>
        <v>39310</v>
      </c>
      <c r="CM450" s="361">
        <v>39317</v>
      </c>
      <c r="CN450" s="317">
        <f t="shared" si="156"/>
        <v>7</v>
      </c>
      <c r="CO450" s="368">
        <v>3.6900000000000002E-2</v>
      </c>
      <c r="CP450" s="346">
        <f t="shared" si="157"/>
        <v>0.25830000000000003</v>
      </c>
      <c r="CQ450" s="365">
        <v>3.6949999999999997E-2</v>
      </c>
      <c r="CR450" s="337">
        <f t="shared" si="154"/>
        <v>59053.692499999997</v>
      </c>
      <c r="CV450" s="337">
        <f t="shared" si="160"/>
        <v>58973.8</v>
      </c>
    </row>
    <row r="451" spans="2:100" hidden="1" x14ac:dyDescent="0.25">
      <c r="B451" s="345"/>
      <c r="E451" s="346"/>
      <c r="F451" s="339">
        <f>ROUND(((F450*SUM($C$10:C450))+(E451*C451))/SUM($C$10:C451),5)</f>
        <v>3.3489999999999999E-2</v>
      </c>
      <c r="I451" s="335">
        <f t="shared" si="151"/>
        <v>35969</v>
      </c>
      <c r="J451" s="345">
        <v>35977</v>
      </c>
      <c r="K451" s="317">
        <f t="shared" si="146"/>
        <v>8</v>
      </c>
      <c r="M451" s="346">
        <v>3.6491000000000003E-2</v>
      </c>
      <c r="N451" s="339">
        <f>ROUND(((N450*SUM($K$10:K450))+(M451*K451))/SUM($K$10:K451),5)</f>
        <v>3.2770000000000001E-2</v>
      </c>
      <c r="O451" s="348">
        <v>90.94</v>
      </c>
      <c r="Q451" s="335">
        <f t="shared" si="153"/>
        <v>0</v>
      </c>
      <c r="S451" s="317">
        <f t="shared" si="155"/>
        <v>0</v>
      </c>
      <c r="U451" s="346"/>
      <c r="W451" s="348"/>
      <c r="BB451" s="352"/>
      <c r="BE451" s="335">
        <f t="shared" si="149"/>
        <v>36404</v>
      </c>
      <c r="BF451" s="345">
        <v>36410</v>
      </c>
      <c r="BG451" s="317">
        <f t="shared" si="143"/>
        <v>6</v>
      </c>
      <c r="BH451" s="347">
        <v>3.2199999999999999E-2</v>
      </c>
      <c r="BI451" s="337">
        <f t="shared" si="144"/>
        <v>7939.7250000000004</v>
      </c>
      <c r="BK451" s="364"/>
      <c r="BO451" s="335">
        <f t="shared" si="150"/>
        <v>38353</v>
      </c>
      <c r="BP451" s="345">
        <v>38356</v>
      </c>
      <c r="BQ451" s="317">
        <f t="shared" si="158"/>
        <v>3</v>
      </c>
      <c r="BR451" s="347">
        <v>1.9900000000000001E-2</v>
      </c>
      <c r="BS451" s="337">
        <f>ROUND($BS$5*BR451*BQ451/365,3)</f>
        <v>2780.5479999999998</v>
      </c>
      <c r="CH451" s="337"/>
      <c r="CL451" s="335">
        <f t="shared" si="148"/>
        <v>39317</v>
      </c>
      <c r="CM451" s="361">
        <v>39324</v>
      </c>
      <c r="CN451" s="317">
        <f t="shared" si="156"/>
        <v>7</v>
      </c>
      <c r="CO451" s="368">
        <v>3.8900000000000004E-2</v>
      </c>
      <c r="CP451" s="346">
        <f t="shared" si="157"/>
        <v>0.27230000000000004</v>
      </c>
      <c r="CQ451" s="365">
        <v>3.6949999999999997E-2</v>
      </c>
      <c r="CR451" s="337">
        <f t="shared" si="154"/>
        <v>59053.692499999997</v>
      </c>
      <c r="CV451" s="337">
        <f t="shared" si="160"/>
        <v>62170.2</v>
      </c>
    </row>
    <row r="452" spans="2:100" hidden="1" x14ac:dyDescent="0.25">
      <c r="B452" s="345"/>
      <c r="E452" s="346"/>
      <c r="F452" s="339">
        <f>ROUND(((F451*SUM($C$10:C451))+(E452*C452))/SUM($C$10:C452),5)</f>
        <v>3.3489999999999999E-2</v>
      </c>
      <c r="I452" s="335">
        <f t="shared" si="151"/>
        <v>35977</v>
      </c>
      <c r="J452" s="345">
        <v>35978</v>
      </c>
      <c r="K452" s="317">
        <f t="shared" si="146"/>
        <v>1</v>
      </c>
      <c r="M452" s="346">
        <v>3.6490000000000002E-2</v>
      </c>
      <c r="N452" s="339">
        <f>ROUND(((N451*SUM($K$10:K451))+(M452*K452))/SUM($K$10:K452),5)</f>
        <v>3.2770000000000001E-2</v>
      </c>
      <c r="O452" s="348">
        <v>90.96</v>
      </c>
      <c r="Q452" s="335">
        <f t="shared" si="153"/>
        <v>0</v>
      </c>
      <c r="S452" s="317">
        <f t="shared" si="155"/>
        <v>0</v>
      </c>
      <c r="U452" s="346"/>
      <c r="W452" s="348"/>
      <c r="BB452" s="352"/>
      <c r="BE452" s="335">
        <f t="shared" si="149"/>
        <v>36410</v>
      </c>
      <c r="BF452" s="345">
        <v>36417</v>
      </c>
      <c r="BG452" s="317">
        <f t="shared" si="143"/>
        <v>7</v>
      </c>
      <c r="BH452" s="347">
        <v>3.2000000000000001E-2</v>
      </c>
      <c r="BI452" s="337">
        <f t="shared" si="144"/>
        <v>9205.48</v>
      </c>
      <c r="BK452" s="364"/>
      <c r="BO452" s="335">
        <f t="shared" si="150"/>
        <v>38356</v>
      </c>
      <c r="BP452" s="361">
        <v>38358</v>
      </c>
      <c r="BQ452" s="317">
        <f t="shared" si="158"/>
        <v>2</v>
      </c>
      <c r="BR452" s="346">
        <v>1.9900000000000001E-2</v>
      </c>
      <c r="BS452" s="337">
        <f>ROUND($BS$5*BR452*BQ452/365,3)</f>
        <v>1853.6990000000001</v>
      </c>
      <c r="CH452" s="337"/>
      <c r="CL452" s="335">
        <f t="shared" si="148"/>
        <v>39324</v>
      </c>
      <c r="CM452" s="361">
        <v>39329</v>
      </c>
      <c r="CN452" s="317">
        <f t="shared" si="156"/>
        <v>5</v>
      </c>
      <c r="CO452" s="368">
        <v>3.95E-2</v>
      </c>
      <c r="CP452" s="346">
        <f t="shared" si="157"/>
        <v>0.19750000000000001</v>
      </c>
      <c r="CQ452" s="365">
        <f>ROUND(SUM(CP447:CP452)/34,7)</f>
        <v>3.6949999999999997E-2</v>
      </c>
      <c r="CR452" s="337">
        <f t="shared" si="154"/>
        <v>42181.208899999998</v>
      </c>
      <c r="CS452" s="337">
        <f>(ROUND(SUM(CR447:CR452),2))</f>
        <v>286832.21999999997</v>
      </c>
      <c r="CT452" s="337">
        <f>ROUND($CR$5*0.05495*33/360,2)</f>
        <v>419765.34</v>
      </c>
      <c r="CU452" s="366">
        <f>CS452-CT452</f>
        <v>-132933.12000000005</v>
      </c>
      <c r="CV452" s="337">
        <f t="shared" si="160"/>
        <v>45092.2</v>
      </c>
    </row>
    <row r="453" spans="2:100" hidden="1" x14ac:dyDescent="0.25">
      <c r="B453" s="345"/>
      <c r="E453" s="346"/>
      <c r="F453" s="339">
        <f>ROUND(((F452*SUM($C$10:C452))+(E453*C453))/SUM($C$10:C453),5)</f>
        <v>3.3489999999999999E-2</v>
      </c>
      <c r="I453" s="335">
        <f t="shared" si="151"/>
        <v>35978</v>
      </c>
      <c r="J453" s="345">
        <v>35984</v>
      </c>
      <c r="K453" s="317">
        <f t="shared" si="146"/>
        <v>6</v>
      </c>
      <c r="M453" s="346">
        <v>3.637E-2</v>
      </c>
      <c r="N453" s="339">
        <f>ROUND(((N452*SUM($K$10:K452))+(M453*K453))/SUM($K$10:K453),5)</f>
        <v>3.2779999999999997E-2</v>
      </c>
      <c r="O453" s="348">
        <v>91.77</v>
      </c>
      <c r="Q453" s="335">
        <f t="shared" si="153"/>
        <v>0</v>
      </c>
      <c r="S453" s="317">
        <f t="shared" si="155"/>
        <v>0</v>
      </c>
      <c r="U453" s="346"/>
      <c r="W453" s="348"/>
      <c r="BB453" s="352"/>
      <c r="BE453" s="335">
        <f t="shared" si="149"/>
        <v>36417</v>
      </c>
      <c r="BF453" s="345">
        <v>36424</v>
      </c>
      <c r="BG453" s="317">
        <f t="shared" si="143"/>
        <v>7</v>
      </c>
      <c r="BH453" s="347">
        <v>3.5000000000000003E-2</v>
      </c>
      <c r="BI453" s="337">
        <f t="shared" si="144"/>
        <v>10068.495000000001</v>
      </c>
      <c r="BO453" s="335">
        <f t="shared" si="150"/>
        <v>38358</v>
      </c>
      <c r="BP453" s="361">
        <v>38365</v>
      </c>
      <c r="BQ453" s="317">
        <f t="shared" si="158"/>
        <v>7</v>
      </c>
      <c r="BR453" s="346">
        <v>1.4800000000000001E-2</v>
      </c>
      <c r="BS453" s="337">
        <f>ROUND($BS$5*BR453*BQ453/365,2)</f>
        <v>4825.21</v>
      </c>
      <c r="CH453" s="337"/>
      <c r="CL453" s="335">
        <f t="shared" si="148"/>
        <v>39329</v>
      </c>
      <c r="CM453" s="361">
        <v>39331</v>
      </c>
      <c r="CN453" s="317">
        <f t="shared" si="156"/>
        <v>2</v>
      </c>
      <c r="CO453" s="368">
        <v>3.95E-2</v>
      </c>
      <c r="CP453" s="346">
        <f t="shared" si="157"/>
        <v>7.9000000000000001E-2</v>
      </c>
      <c r="CQ453" s="365">
        <v>3.8040699999999997E-2</v>
      </c>
      <c r="CR453" s="337">
        <f t="shared" si="154"/>
        <v>17370.5301</v>
      </c>
      <c r="CV453" s="337">
        <f t="shared" si="160"/>
        <v>18036.900000000001</v>
      </c>
    </row>
    <row r="454" spans="2:100" hidden="1" x14ac:dyDescent="0.25">
      <c r="B454" s="345"/>
      <c r="E454" s="346"/>
      <c r="F454" s="339">
        <f>ROUND(((F453*SUM($C$10:C453))+(E454*C454))/SUM($C$10:C454),5)</f>
        <v>3.3489999999999999E-2</v>
      </c>
      <c r="I454" s="335">
        <f t="shared" si="151"/>
        <v>35984</v>
      </c>
      <c r="J454" s="345">
        <v>35986</v>
      </c>
      <c r="K454" s="317">
        <f t="shared" si="146"/>
        <v>2</v>
      </c>
      <c r="M454" s="346">
        <v>3.6313999999999999E-2</v>
      </c>
      <c r="N454" s="339">
        <f>ROUND(((N453*SUM($K$10:K453))+(M454*K454))/SUM($K$10:K454),5)</f>
        <v>3.2779999999999997E-2</v>
      </c>
      <c r="O454" s="348">
        <v>92.43</v>
      </c>
      <c r="Q454" s="335">
        <f t="shared" si="153"/>
        <v>0</v>
      </c>
      <c r="S454" s="317">
        <f t="shared" si="155"/>
        <v>0</v>
      </c>
      <c r="U454" s="346"/>
      <c r="W454" s="348"/>
      <c r="BB454" s="352"/>
      <c r="BE454" s="335">
        <f t="shared" si="149"/>
        <v>36424</v>
      </c>
      <c r="BF454" s="345">
        <v>36427</v>
      </c>
      <c r="BG454" s="317">
        <f t="shared" si="143"/>
        <v>3</v>
      </c>
      <c r="BH454" s="347">
        <v>3.7499999999999999E-2</v>
      </c>
      <c r="BI454" s="337">
        <f t="shared" si="144"/>
        <v>4623.29</v>
      </c>
      <c r="BJ454" s="341">
        <f>SUM(BI451:BI454)</f>
        <v>31836.990000000005</v>
      </c>
      <c r="BK454" s="363">
        <v>31655.439999999999</v>
      </c>
      <c r="BL454" s="341">
        <f>BJ454-BK454</f>
        <v>181.55000000000655</v>
      </c>
      <c r="BM454" s="341">
        <f>BM450+BL454</f>
        <v>40742.265000000029</v>
      </c>
      <c r="BO454" s="335">
        <f t="shared" si="150"/>
        <v>38365</v>
      </c>
      <c r="BP454" s="361">
        <v>38372</v>
      </c>
      <c r="BQ454" s="317">
        <f t="shared" si="158"/>
        <v>7</v>
      </c>
      <c r="BR454" s="346">
        <v>1.78E-2</v>
      </c>
      <c r="BS454" s="337">
        <f>ROUND($BS$5*BR454*BQ454/365,2)</f>
        <v>5803.29</v>
      </c>
      <c r="CH454" s="337"/>
      <c r="CL454" s="335">
        <f t="shared" si="148"/>
        <v>39331</v>
      </c>
      <c r="CM454" s="361">
        <v>39338</v>
      </c>
      <c r="CN454" s="317">
        <f t="shared" si="156"/>
        <v>7</v>
      </c>
      <c r="CO454" s="368">
        <v>3.85E-2</v>
      </c>
      <c r="CP454" s="346">
        <f t="shared" si="157"/>
        <v>0.26950000000000002</v>
      </c>
      <c r="CQ454" s="365">
        <v>3.8040699999999997E-2</v>
      </c>
      <c r="CR454" s="337">
        <f t="shared" si="154"/>
        <v>60796.855199999998</v>
      </c>
      <c r="CV454" s="337">
        <f t="shared" si="160"/>
        <v>61530.9</v>
      </c>
    </row>
    <row r="455" spans="2:100" hidden="1" x14ac:dyDescent="0.25">
      <c r="B455" s="345"/>
      <c r="E455" s="346"/>
      <c r="F455" s="339">
        <f>ROUND(((F454*SUM($C$10:C454))+(E455*C455))/SUM($C$10:C455),5)</f>
        <v>3.3489999999999999E-2</v>
      </c>
      <c r="I455" s="335">
        <f t="shared" si="151"/>
        <v>35986</v>
      </c>
      <c r="J455" s="345">
        <v>35990</v>
      </c>
      <c r="K455" s="317">
        <f t="shared" si="146"/>
        <v>4</v>
      </c>
      <c r="M455" s="346">
        <v>3.6318000000000003E-2</v>
      </c>
      <c r="N455" s="339">
        <f>ROUND(((N454*SUM($K$10:K454))+(M455*K455))/SUM($K$10:K455),5)</f>
        <v>3.279E-2</v>
      </c>
      <c r="O455" s="316">
        <v>91.3</v>
      </c>
      <c r="Q455" s="335">
        <f t="shared" si="153"/>
        <v>0</v>
      </c>
      <c r="S455" s="317">
        <f t="shared" si="155"/>
        <v>0</v>
      </c>
      <c r="U455" s="346"/>
      <c r="W455" s="348"/>
      <c r="BB455" s="352"/>
      <c r="BE455" s="370" t="s">
        <v>349</v>
      </c>
      <c r="BF455" s="345" t="s">
        <v>35</v>
      </c>
      <c r="BG455" s="317" t="s">
        <v>35</v>
      </c>
      <c r="BH455" s="347"/>
      <c r="BO455" s="335">
        <f t="shared" si="150"/>
        <v>38372</v>
      </c>
      <c r="BP455" s="361">
        <v>38379</v>
      </c>
      <c r="BQ455" s="317">
        <f t="shared" si="158"/>
        <v>7</v>
      </c>
      <c r="BR455" s="346">
        <v>1.8499999999999999E-2</v>
      </c>
      <c r="BS455" s="337">
        <f>ROUND($BS$5*BR455*BQ455/365,2)</f>
        <v>6031.51</v>
      </c>
      <c r="CH455" s="337"/>
      <c r="CL455" s="335">
        <f t="shared" si="148"/>
        <v>39338</v>
      </c>
      <c r="CM455" s="361">
        <v>39345</v>
      </c>
      <c r="CN455" s="317">
        <f t="shared" si="156"/>
        <v>7</v>
      </c>
      <c r="CO455" s="368">
        <v>3.73E-2</v>
      </c>
      <c r="CP455" s="346">
        <f t="shared" si="157"/>
        <v>0.2611</v>
      </c>
      <c r="CQ455" s="365">
        <v>3.8040699999999997E-2</v>
      </c>
      <c r="CR455" s="337">
        <f t="shared" si="154"/>
        <v>60796.855199999998</v>
      </c>
      <c r="CV455" s="337">
        <f t="shared" si="160"/>
        <v>59613.1</v>
      </c>
    </row>
    <row r="456" spans="2:100" hidden="1" x14ac:dyDescent="0.25">
      <c r="B456" s="345"/>
      <c r="E456" s="346"/>
      <c r="F456" s="339">
        <f>ROUND(((F455*SUM($C$10:C455))+(E456*C456))/SUM($C$10:C456),5)</f>
        <v>3.3489999999999999E-2</v>
      </c>
      <c r="I456" s="335">
        <f t="shared" si="151"/>
        <v>35990</v>
      </c>
      <c r="J456" s="345">
        <v>35991</v>
      </c>
      <c r="K456" s="317">
        <f t="shared" si="146"/>
        <v>1</v>
      </c>
      <c r="M456" s="346">
        <v>3.6290000000000003E-2</v>
      </c>
      <c r="N456" s="339">
        <f>ROUND(((N455*SUM($K$10:K455))+(M456*K456))/SUM($K$10:K456),5)</f>
        <v>3.279E-2</v>
      </c>
      <c r="O456" s="316">
        <v>91.8</v>
      </c>
      <c r="Q456" s="335">
        <f t="shared" si="153"/>
        <v>0</v>
      </c>
      <c r="S456" s="317">
        <f t="shared" si="155"/>
        <v>0</v>
      </c>
      <c r="U456" s="346"/>
      <c r="W456" s="348"/>
      <c r="BB456" s="352"/>
      <c r="BE456" s="335" t="s">
        <v>35</v>
      </c>
      <c r="BF456" s="345"/>
      <c r="BH456" s="347"/>
      <c r="BO456" s="335">
        <f t="shared" si="150"/>
        <v>38379</v>
      </c>
      <c r="BP456" s="361">
        <v>38384</v>
      </c>
      <c r="BQ456" s="317">
        <f t="shared" si="158"/>
        <v>5</v>
      </c>
      <c r="BR456" s="346">
        <v>1.84E-2</v>
      </c>
      <c r="BS456" s="337">
        <f>ROUND($BS$5*BR456*BQ456/365,3)</f>
        <v>4284.9319999999998</v>
      </c>
      <c r="BT456" s="341">
        <f>SUM(BS451:BS456)</f>
        <v>25579.188999999998</v>
      </c>
      <c r="CH456" s="337"/>
      <c r="CL456" s="335">
        <f t="shared" si="148"/>
        <v>39345</v>
      </c>
      <c r="CM456" s="361">
        <v>39352</v>
      </c>
      <c r="CN456" s="317">
        <f t="shared" si="156"/>
        <v>7</v>
      </c>
      <c r="CO456" s="368">
        <v>3.7699999999999997E-2</v>
      </c>
      <c r="CP456" s="346">
        <f t="shared" si="157"/>
        <v>0.26389999999999997</v>
      </c>
      <c r="CQ456" s="365">
        <v>3.8040699999999997E-2</v>
      </c>
      <c r="CR456" s="337">
        <f t="shared" si="154"/>
        <v>60796.855199999998</v>
      </c>
      <c r="CV456" s="337">
        <f t="shared" si="160"/>
        <v>60252.3</v>
      </c>
    </row>
    <row r="457" spans="2:100" hidden="1" x14ac:dyDescent="0.25">
      <c r="B457" s="345"/>
      <c r="E457" s="346"/>
      <c r="F457" s="339">
        <f>ROUND(((F456*SUM($C$10:C456))+(E457*C457))/SUM($C$10:C457),5)</f>
        <v>3.3489999999999999E-2</v>
      </c>
      <c r="I457" s="335">
        <f t="shared" si="151"/>
        <v>35991</v>
      </c>
      <c r="J457" s="345">
        <v>36010</v>
      </c>
      <c r="K457" s="317">
        <f t="shared" si="146"/>
        <v>19</v>
      </c>
      <c r="M457" s="346">
        <v>3.6299999999999999E-2</v>
      </c>
      <c r="N457" s="339">
        <f>ROUND(((N456*SUM($K$10:K456))+(M457*K457))/SUM($K$10:K457),5)</f>
        <v>3.2820000000000002E-2</v>
      </c>
      <c r="O457" s="316">
        <v>98.2</v>
      </c>
      <c r="Q457" s="335">
        <f t="shared" si="153"/>
        <v>0</v>
      </c>
      <c r="S457" s="317">
        <f t="shared" si="155"/>
        <v>0</v>
      </c>
      <c r="U457" s="346"/>
      <c r="W457" s="348"/>
      <c r="BB457" s="352"/>
      <c r="BF457" s="345"/>
      <c r="BH457" s="347"/>
      <c r="BO457" s="335">
        <f t="shared" si="150"/>
        <v>38384</v>
      </c>
      <c r="BP457" s="345">
        <v>38386</v>
      </c>
      <c r="BQ457" s="317">
        <f t="shared" si="158"/>
        <v>2</v>
      </c>
      <c r="BR457" s="346">
        <v>1.84E-2</v>
      </c>
      <c r="BS457" s="337">
        <f>ROUND($BS$5*BR457*BQ457/365,3)</f>
        <v>1713.973</v>
      </c>
      <c r="BT457" s="341">
        <f>SUM(BS457:BS457)</f>
        <v>1713.973</v>
      </c>
      <c r="CH457" s="337"/>
      <c r="CL457" s="335">
        <f t="shared" si="148"/>
        <v>39352</v>
      </c>
      <c r="CM457" s="361">
        <v>39356</v>
      </c>
      <c r="CN457" s="317">
        <f t="shared" si="156"/>
        <v>4</v>
      </c>
      <c r="CO457" s="368">
        <v>3.8399999999999997E-2</v>
      </c>
      <c r="CP457" s="346">
        <f t="shared" si="157"/>
        <v>0.15359999999999999</v>
      </c>
      <c r="CQ457" s="365">
        <f>ROUND(SUM(CP453:CP457)/27,7)</f>
        <v>3.8040699999999997E-2</v>
      </c>
      <c r="CR457" s="337">
        <f t="shared" si="154"/>
        <v>34741.060100000002</v>
      </c>
      <c r="CS457" s="337">
        <f>(ROUND(SUM(CR453:CR457),2))</f>
        <v>234502.16</v>
      </c>
      <c r="CT457" s="337">
        <f>ROUND($CR$5*0.05495*27/360,2)</f>
        <v>343444.37</v>
      </c>
      <c r="CU457" s="366">
        <f>CS457-CT457</f>
        <v>-108942.20999999999</v>
      </c>
      <c r="CV457" s="337">
        <f t="shared" si="160"/>
        <v>35069.199999999997</v>
      </c>
    </row>
    <row r="458" spans="2:100" hidden="1" x14ac:dyDescent="0.25">
      <c r="B458" s="345"/>
      <c r="E458" s="346"/>
      <c r="F458" s="339">
        <f>ROUND(((F457*SUM($C$10:C457))+(E458*C458))/SUM($C$10:C458),5)</f>
        <v>3.3489999999999999E-2</v>
      </c>
      <c r="I458" s="335">
        <f t="shared" si="151"/>
        <v>36010</v>
      </c>
      <c r="J458" s="345">
        <v>36039</v>
      </c>
      <c r="K458" s="317">
        <f t="shared" ref="K458:K521" si="161">J458-I458</f>
        <v>29</v>
      </c>
      <c r="M458" s="346">
        <v>3.6220000000000002E-2</v>
      </c>
      <c r="N458" s="339">
        <f>ROUND(((N457*SUM($K$10:K457))+(M458*K458))/SUM($K$10:K458),5)</f>
        <v>3.2870000000000003E-2</v>
      </c>
      <c r="O458" s="316">
        <v>99.8</v>
      </c>
      <c r="Q458" s="335">
        <f t="shared" si="153"/>
        <v>0</v>
      </c>
      <c r="S458" s="317">
        <f t="shared" si="155"/>
        <v>0</v>
      </c>
      <c r="U458" s="346"/>
      <c r="W458" s="348"/>
      <c r="BB458" s="352"/>
      <c r="BF458" s="345"/>
      <c r="BH458" s="347"/>
      <c r="BP458" s="345"/>
      <c r="BS458" s="360"/>
      <c r="CH458" s="337"/>
      <c r="CL458" s="335">
        <f t="shared" si="148"/>
        <v>39356</v>
      </c>
      <c r="CM458" s="361">
        <v>39359</v>
      </c>
      <c r="CN458" s="317">
        <f t="shared" si="156"/>
        <v>3</v>
      </c>
      <c r="CO458" s="368">
        <v>3.8399999999999997E-2</v>
      </c>
      <c r="CP458" s="346">
        <f t="shared" si="157"/>
        <v>0.1152</v>
      </c>
      <c r="CQ458" s="367">
        <v>3.5396799999999999E-2</v>
      </c>
      <c r="CR458" s="337">
        <f t="shared" si="154"/>
        <v>24244.868399999999</v>
      </c>
      <c r="CV458" s="337">
        <f t="shared" si="160"/>
        <v>26301.9</v>
      </c>
    </row>
    <row r="459" spans="2:100" hidden="1" x14ac:dyDescent="0.25">
      <c r="B459" s="345"/>
      <c r="E459" s="346"/>
      <c r="F459" s="339">
        <f>ROUND(((F458*SUM($C$10:C458))+(E459*C459))/SUM($C$10:C459),5)</f>
        <v>3.3489999999999999E-2</v>
      </c>
      <c r="I459" s="335">
        <f t="shared" si="151"/>
        <v>36039</v>
      </c>
      <c r="J459" s="345">
        <v>36040</v>
      </c>
      <c r="K459" s="317">
        <f t="shared" si="161"/>
        <v>1</v>
      </c>
      <c r="M459" s="346">
        <v>3.6220000000000002E-2</v>
      </c>
      <c r="N459" s="339">
        <f>ROUND(((N458*SUM($K$10:K458))+(M459*K459))/SUM($K$10:K459),5)</f>
        <v>3.2870000000000003E-2</v>
      </c>
      <c r="O459" s="316">
        <v>99.6</v>
      </c>
      <c r="Q459" s="335">
        <f t="shared" si="153"/>
        <v>0</v>
      </c>
      <c r="S459" s="317">
        <f t="shared" si="155"/>
        <v>0</v>
      </c>
      <c r="U459" s="346"/>
      <c r="W459" s="348"/>
      <c r="BB459" s="352"/>
      <c r="BF459" s="345"/>
      <c r="BH459" s="347"/>
      <c r="BP459" s="345"/>
      <c r="BR459" s="347"/>
      <c r="BS459" s="337"/>
      <c r="CH459" s="337"/>
      <c r="CL459" s="335">
        <f t="shared" si="148"/>
        <v>39359</v>
      </c>
      <c r="CM459" s="361">
        <v>39366</v>
      </c>
      <c r="CN459" s="317">
        <f t="shared" si="156"/>
        <v>7</v>
      </c>
      <c r="CO459" s="368">
        <v>3.56E-2</v>
      </c>
      <c r="CP459" s="346">
        <f t="shared" si="157"/>
        <v>0.2492</v>
      </c>
      <c r="CQ459" s="367">
        <v>3.5396799999999999E-2</v>
      </c>
      <c r="CR459" s="337">
        <f t="shared" si="154"/>
        <v>56571.359700000001</v>
      </c>
      <c r="CV459" s="337">
        <f t="shared" si="160"/>
        <v>56896.1</v>
      </c>
    </row>
    <row r="460" spans="2:100" hidden="1" x14ac:dyDescent="0.25">
      <c r="B460" s="345"/>
      <c r="E460" s="346"/>
      <c r="F460" s="339">
        <f>ROUND(((F459*SUM($C$10:C459))+(E460*C460))/SUM($C$10:C460),5)</f>
        <v>3.3489999999999999E-2</v>
      </c>
      <c r="I460" s="335">
        <f t="shared" si="151"/>
        <v>36040</v>
      </c>
      <c r="J460" s="345">
        <v>36041</v>
      </c>
      <c r="K460" s="317">
        <f t="shared" si="161"/>
        <v>1</v>
      </c>
      <c r="M460" s="346">
        <v>3.61E-2</v>
      </c>
      <c r="N460" s="339">
        <f>ROUND(((N459*SUM($K$10:K459))+(M460*K460))/SUM($K$10:K460),5)</f>
        <v>3.2870000000000003E-2</v>
      </c>
      <c r="O460" s="316">
        <v>101.2</v>
      </c>
      <c r="Q460" s="335">
        <f t="shared" si="153"/>
        <v>0</v>
      </c>
      <c r="S460" s="317">
        <f t="shared" si="155"/>
        <v>0</v>
      </c>
      <c r="U460" s="346"/>
      <c r="W460" s="348"/>
      <c r="BB460" s="352"/>
      <c r="BF460" s="345"/>
      <c r="BH460" s="347"/>
      <c r="BP460" s="345"/>
      <c r="BR460" s="347"/>
      <c r="BS460" s="337"/>
      <c r="CH460" s="337"/>
      <c r="CL460" s="335">
        <f t="shared" ref="CL460:CL523" si="162">CM459</f>
        <v>39366</v>
      </c>
      <c r="CM460" s="361">
        <v>39373</v>
      </c>
      <c r="CN460" s="317">
        <f t="shared" si="156"/>
        <v>7</v>
      </c>
      <c r="CO460" s="368">
        <v>3.5499999999999997E-2</v>
      </c>
      <c r="CP460" s="346">
        <f t="shared" si="157"/>
        <v>0.24849999999999997</v>
      </c>
      <c r="CQ460" s="367">
        <v>3.5396799999999999E-2</v>
      </c>
      <c r="CR460" s="337">
        <f t="shared" si="154"/>
        <v>56571.359700000001</v>
      </c>
      <c r="CV460" s="337">
        <f t="shared" si="160"/>
        <v>56736.3</v>
      </c>
    </row>
    <row r="461" spans="2:100" ht="15.75" hidden="1" customHeight="1" x14ac:dyDescent="0.25">
      <c r="B461" s="345"/>
      <c r="E461" s="346"/>
      <c r="F461" s="339">
        <f>ROUND(((F460*SUM($C$10:C460))+(E461*C461))/SUM($C$10:C461),5)</f>
        <v>3.3489999999999999E-2</v>
      </c>
      <c r="I461" s="335">
        <f t="shared" si="151"/>
        <v>36041</v>
      </c>
      <c r="J461" s="345">
        <v>36046</v>
      </c>
      <c r="K461" s="317">
        <f t="shared" si="161"/>
        <v>5</v>
      </c>
      <c r="M461" s="346">
        <v>3.6069999999999998E-2</v>
      </c>
      <c r="N461" s="339">
        <f>ROUND(((N460*SUM($K$10:K460))+(M461*K461))/SUM($K$10:K461),5)</f>
        <v>3.288E-2</v>
      </c>
      <c r="O461" s="316">
        <v>100.7</v>
      </c>
      <c r="Q461" s="335">
        <f t="shared" si="153"/>
        <v>0</v>
      </c>
      <c r="S461" s="317">
        <f t="shared" si="155"/>
        <v>0</v>
      </c>
      <c r="U461" s="346"/>
      <c r="W461" s="348"/>
      <c r="BB461" s="352"/>
      <c r="BF461" s="345"/>
      <c r="BH461" s="347"/>
      <c r="BP461" s="345"/>
      <c r="BR461" s="347"/>
      <c r="BS461" s="337"/>
      <c r="CH461" s="337"/>
      <c r="CL461" s="335">
        <f t="shared" si="162"/>
        <v>39373</v>
      </c>
      <c r="CM461" s="361">
        <v>39380</v>
      </c>
      <c r="CN461" s="317">
        <f t="shared" si="156"/>
        <v>7</v>
      </c>
      <c r="CO461" s="368">
        <v>3.49E-2</v>
      </c>
      <c r="CP461" s="346">
        <f t="shared" si="157"/>
        <v>0.24430000000000002</v>
      </c>
      <c r="CQ461" s="367">
        <v>3.5396799999999999E-2</v>
      </c>
      <c r="CR461" s="337">
        <f t="shared" si="154"/>
        <v>56571.359700000001</v>
      </c>
      <c r="CV461" s="337">
        <f t="shared" si="160"/>
        <v>55777.4</v>
      </c>
    </row>
    <row r="462" spans="2:100" ht="20.25" hidden="1" customHeight="1" x14ac:dyDescent="0.6">
      <c r="B462" s="345"/>
      <c r="E462" s="346"/>
      <c r="F462" s="339">
        <f>ROUND(((F461*SUM($C$10:C461))+(E462*C462))/SUM($C$10:C462),5)</f>
        <v>3.3489999999999999E-2</v>
      </c>
      <c r="I462" s="335">
        <f t="shared" si="151"/>
        <v>36046</v>
      </c>
      <c r="J462" s="345">
        <v>36047</v>
      </c>
      <c r="K462" s="317">
        <f t="shared" si="161"/>
        <v>1</v>
      </c>
      <c r="M462" s="346">
        <v>3.5770000000000003E-2</v>
      </c>
      <c r="N462" s="339">
        <f>ROUND(((N461*SUM($K$10:K461))+(M462*K462))/SUM($K$10:K462),5)</f>
        <v>3.288E-2</v>
      </c>
      <c r="O462" s="316">
        <v>99.8</v>
      </c>
      <c r="Q462" s="335">
        <f t="shared" si="153"/>
        <v>0</v>
      </c>
      <c r="S462" s="317">
        <f t="shared" si="155"/>
        <v>0</v>
      </c>
      <c r="U462" s="346"/>
      <c r="W462" s="348"/>
      <c r="BB462" s="352"/>
      <c r="BF462" s="345"/>
      <c r="BH462" s="347"/>
      <c r="BP462" s="345"/>
      <c r="BR462" s="371" t="s">
        <v>350</v>
      </c>
      <c r="BS462" s="337"/>
      <c r="CH462" s="337"/>
      <c r="CL462" s="335">
        <f t="shared" si="162"/>
        <v>39380</v>
      </c>
      <c r="CM462" s="361">
        <v>39387</v>
      </c>
      <c r="CN462" s="317">
        <f t="shared" si="156"/>
        <v>7</v>
      </c>
      <c r="CO462" s="368">
        <v>3.4300000000000004E-2</v>
      </c>
      <c r="CP462" s="346">
        <f t="shared" si="157"/>
        <v>0.24010000000000004</v>
      </c>
      <c r="CQ462" s="365">
        <f>ROUND(SUM(CP458:CP462)/31,7)</f>
        <v>3.5396799999999999E-2</v>
      </c>
      <c r="CR462" s="337">
        <f t="shared" si="154"/>
        <v>56571.359700000001</v>
      </c>
      <c r="CS462" s="337">
        <f>(ROUND(SUM(CR458:CR462),2))</f>
        <v>250530.31</v>
      </c>
      <c r="CT462" s="337">
        <f>ROUND($CR$5*0.05495*30/360,2)</f>
        <v>381604.85</v>
      </c>
      <c r="CU462" s="366">
        <f>CS462-CT462</f>
        <v>-131074.53999999998</v>
      </c>
      <c r="CV462" s="337">
        <f t="shared" si="160"/>
        <v>54818.400000000001</v>
      </c>
    </row>
    <row r="463" spans="2:100" ht="17.25" hidden="1" customHeight="1" x14ac:dyDescent="0.25">
      <c r="B463" s="345"/>
      <c r="E463" s="346"/>
      <c r="F463" s="339">
        <f>ROUND(((F462*SUM($C$10:C462))+(E463*C463))/SUM($C$10:C463),5)</f>
        <v>3.3489999999999999E-2</v>
      </c>
      <c r="I463" s="335">
        <f t="shared" si="151"/>
        <v>36047</v>
      </c>
      <c r="J463" s="345">
        <v>36048</v>
      </c>
      <c r="K463" s="317">
        <f t="shared" si="161"/>
        <v>1</v>
      </c>
      <c r="M463" s="346">
        <v>3.5499999999999997E-2</v>
      </c>
      <c r="N463" s="339">
        <f>ROUND(((N462*SUM($K$10:K462))+(M463*K463))/SUM($K$10:K463),5)</f>
        <v>3.288E-2</v>
      </c>
      <c r="O463" s="316">
        <v>101.2</v>
      </c>
      <c r="Q463" s="335">
        <f t="shared" si="153"/>
        <v>0</v>
      </c>
      <c r="S463" s="317">
        <f t="shared" si="155"/>
        <v>0</v>
      </c>
      <c r="U463" s="346"/>
      <c r="W463" s="348"/>
      <c r="BB463" s="352"/>
      <c r="BF463" s="345"/>
      <c r="BH463" s="347"/>
      <c r="BP463" s="345"/>
      <c r="BR463" s="347"/>
      <c r="BS463" s="337"/>
      <c r="CH463" s="337"/>
      <c r="CL463" s="335">
        <f t="shared" si="162"/>
        <v>39387</v>
      </c>
      <c r="CM463" s="361">
        <v>39394</v>
      </c>
      <c r="CN463" s="317">
        <f t="shared" si="156"/>
        <v>7</v>
      </c>
      <c r="CO463" s="368">
        <v>3.2599999999999997E-2</v>
      </c>
      <c r="CP463" s="346">
        <f t="shared" si="157"/>
        <v>0.22819999999999999</v>
      </c>
      <c r="CQ463" s="365">
        <v>3.4640600000000001E-2</v>
      </c>
      <c r="CR463" s="337">
        <f t="shared" si="154"/>
        <v>55362.796699999999</v>
      </c>
      <c r="CV463" s="337">
        <f t="shared" si="160"/>
        <v>52101.5</v>
      </c>
    </row>
    <row r="464" spans="2:100" hidden="1" x14ac:dyDescent="0.25">
      <c r="B464" s="345"/>
      <c r="E464" s="346"/>
      <c r="F464" s="339">
        <f>ROUND(((F463*SUM($C$10:C463))+(E464*C464))/SUM($C$10:C464),5)</f>
        <v>3.3489999999999999E-2</v>
      </c>
      <c r="I464" s="335">
        <f t="shared" si="151"/>
        <v>36048</v>
      </c>
      <c r="J464" s="345">
        <v>36053</v>
      </c>
      <c r="K464" s="317">
        <f t="shared" si="161"/>
        <v>5</v>
      </c>
      <c r="M464" s="346">
        <v>3.5409999999999997E-2</v>
      </c>
      <c r="N464" s="339">
        <f>ROUND(((N463*SUM($K$10:K463))+(M464*K464))/SUM($K$10:K464),5)</f>
        <v>3.2890000000000003E-2</v>
      </c>
      <c r="O464" s="316">
        <v>99.9</v>
      </c>
      <c r="Q464" s="335">
        <f t="shared" si="153"/>
        <v>0</v>
      </c>
      <c r="S464" s="317">
        <f t="shared" si="155"/>
        <v>0</v>
      </c>
      <c r="U464" s="346"/>
      <c r="W464" s="348"/>
      <c r="BB464" s="352"/>
      <c r="BF464" s="345"/>
      <c r="BH464" s="347"/>
      <c r="BP464" s="345"/>
      <c r="BR464" s="347"/>
      <c r="BS464" s="337"/>
      <c r="CH464" s="337">
        <f t="shared" ref="CH464:CH527" si="163">ROUND($CA$5*CG464*CF464/365,6)</f>
        <v>0</v>
      </c>
      <c r="CL464" s="335">
        <f t="shared" si="162"/>
        <v>39394</v>
      </c>
      <c r="CM464" s="361">
        <v>39401</v>
      </c>
      <c r="CN464" s="317">
        <f t="shared" si="156"/>
        <v>7</v>
      </c>
      <c r="CO464" s="368">
        <v>3.4099999999999998E-2</v>
      </c>
      <c r="CP464" s="346">
        <f t="shared" si="157"/>
        <v>0.2387</v>
      </c>
      <c r="CQ464" s="365">
        <v>3.4640600000000001E-2</v>
      </c>
      <c r="CR464" s="337">
        <f t="shared" si="154"/>
        <v>55362.796699999999</v>
      </c>
      <c r="CV464" s="337">
        <f t="shared" si="160"/>
        <v>54498.8</v>
      </c>
    </row>
    <row r="465" spans="2:100" hidden="1" x14ac:dyDescent="0.25">
      <c r="B465" s="345"/>
      <c r="E465" s="346"/>
      <c r="F465" s="339">
        <f>ROUND(((F464*SUM($C$10:C464))+(E465*C465))/SUM($C$10:C465),5)</f>
        <v>3.3489999999999999E-2</v>
      </c>
      <c r="I465" s="335">
        <f t="shared" si="151"/>
        <v>36053</v>
      </c>
      <c r="J465" s="345">
        <v>36054</v>
      </c>
      <c r="K465" s="317">
        <f t="shared" si="161"/>
        <v>1</v>
      </c>
      <c r="M465" s="346">
        <v>3.5139999999999998E-2</v>
      </c>
      <c r="N465" s="339">
        <f>ROUND(((N464*SUM($K$10:K464))+(M465*K465))/SUM($K$10:K465),5)</f>
        <v>3.2890000000000003E-2</v>
      </c>
      <c r="O465" s="316">
        <v>104.5</v>
      </c>
      <c r="Q465" s="335">
        <f t="shared" si="153"/>
        <v>0</v>
      </c>
      <c r="S465" s="317">
        <f t="shared" si="155"/>
        <v>0</v>
      </c>
      <c r="U465" s="346"/>
      <c r="W465" s="348"/>
      <c r="BB465" s="352"/>
      <c r="BF465" s="345"/>
      <c r="BH465" s="347"/>
      <c r="BP465" s="345"/>
      <c r="BR465" s="347"/>
      <c r="BS465" s="337"/>
      <c r="CH465" s="337">
        <f t="shared" si="163"/>
        <v>0</v>
      </c>
      <c r="CL465" s="335">
        <f t="shared" si="162"/>
        <v>39401</v>
      </c>
      <c r="CM465" s="361">
        <v>39408</v>
      </c>
      <c r="CN465" s="317">
        <f t="shared" si="156"/>
        <v>7</v>
      </c>
      <c r="CO465" s="368">
        <v>3.5400000000000001E-2</v>
      </c>
      <c r="CP465" s="346">
        <f t="shared" si="157"/>
        <v>0.24780000000000002</v>
      </c>
      <c r="CQ465" s="365">
        <v>3.4640600000000001E-2</v>
      </c>
      <c r="CR465" s="337">
        <f t="shared" si="154"/>
        <v>55362.796699999999</v>
      </c>
      <c r="CV465" s="337">
        <f t="shared" si="160"/>
        <v>56576.5</v>
      </c>
    </row>
    <row r="466" spans="2:100" hidden="1" x14ac:dyDescent="0.25">
      <c r="B466" s="345"/>
      <c r="E466" s="346"/>
      <c r="F466" s="339">
        <f>ROUND(((F465*SUM($C$10:C465))+(E466*C466))/SUM($C$10:C466),5)</f>
        <v>3.3489999999999999E-2</v>
      </c>
      <c r="I466" s="335">
        <f t="shared" ref="I466:I530" si="164">J465</f>
        <v>36054</v>
      </c>
      <c r="J466" s="345">
        <v>36055</v>
      </c>
      <c r="K466" s="317">
        <f t="shared" si="161"/>
        <v>1</v>
      </c>
      <c r="M466" s="346">
        <v>3.499E-2</v>
      </c>
      <c r="N466" s="339">
        <f>ROUND(((N465*SUM($K$10:K465))+(M466*K466))/SUM($K$10:K466),5)</f>
        <v>3.2890000000000003E-2</v>
      </c>
      <c r="O466" s="316">
        <v>103.2</v>
      </c>
      <c r="Q466" s="335">
        <f t="shared" si="153"/>
        <v>0</v>
      </c>
      <c r="S466" s="317">
        <f t="shared" si="155"/>
        <v>0</v>
      </c>
      <c r="U466" s="346"/>
      <c r="W466" s="348"/>
      <c r="BB466" s="352"/>
      <c r="BF466" s="345"/>
      <c r="BH466" s="347"/>
      <c r="BP466" s="345"/>
      <c r="BR466" s="347"/>
      <c r="BS466" s="337"/>
      <c r="CH466" s="337">
        <f t="shared" si="163"/>
        <v>0</v>
      </c>
      <c r="CL466" s="335">
        <f t="shared" si="162"/>
        <v>39408</v>
      </c>
      <c r="CM466" s="361">
        <v>39415</v>
      </c>
      <c r="CN466" s="317">
        <f t="shared" si="156"/>
        <v>7</v>
      </c>
      <c r="CO466" s="368">
        <v>3.5799999999999998E-2</v>
      </c>
      <c r="CP466" s="346">
        <f t="shared" si="157"/>
        <v>0.25059999999999999</v>
      </c>
      <c r="CQ466" s="365">
        <v>3.4640600000000001E-2</v>
      </c>
      <c r="CR466" s="337">
        <f t="shared" si="154"/>
        <v>55362.796699999999</v>
      </c>
      <c r="CV466" s="337">
        <f t="shared" si="160"/>
        <v>57215.8</v>
      </c>
    </row>
    <row r="467" spans="2:100" hidden="1" x14ac:dyDescent="0.25">
      <c r="B467" s="345"/>
      <c r="E467" s="346"/>
      <c r="F467" s="339">
        <f>ROUND(((F466*SUM($C$10:C466))+(E467*C467))/SUM($C$10:C467),5)</f>
        <v>3.3489999999999999E-2</v>
      </c>
      <c r="I467" s="335">
        <f t="shared" si="164"/>
        <v>36055</v>
      </c>
      <c r="J467" s="345">
        <v>36060</v>
      </c>
      <c r="K467" s="317">
        <f t="shared" si="161"/>
        <v>5</v>
      </c>
      <c r="M467" s="346">
        <v>3.5009999999999999E-2</v>
      </c>
      <c r="N467" s="339">
        <f>ROUND(((N466*SUM($K$10:K466))+(M467*K467))/SUM($K$10:K467),5)</f>
        <v>3.2890000000000003E-2</v>
      </c>
      <c r="O467" s="316">
        <v>95.8</v>
      </c>
      <c r="Q467" s="335">
        <f t="shared" si="153"/>
        <v>0</v>
      </c>
      <c r="S467" s="317">
        <f t="shared" si="155"/>
        <v>0</v>
      </c>
      <c r="U467" s="346"/>
      <c r="BB467" s="352"/>
      <c r="BF467" s="345"/>
      <c r="BH467" s="347"/>
      <c r="BP467" s="345"/>
      <c r="BR467" s="347"/>
      <c r="BS467" s="337"/>
      <c r="CH467" s="337">
        <f t="shared" si="163"/>
        <v>0</v>
      </c>
      <c r="CL467" s="335">
        <f t="shared" si="162"/>
        <v>39415</v>
      </c>
      <c r="CM467" s="361">
        <v>39419</v>
      </c>
      <c r="CN467" s="317">
        <f t="shared" si="156"/>
        <v>4</v>
      </c>
      <c r="CO467" s="368">
        <v>3.5799999999999998E-2</v>
      </c>
      <c r="CP467" s="346">
        <f t="shared" si="157"/>
        <v>0.14319999999999999</v>
      </c>
      <c r="CQ467" s="365">
        <f>ROUND(SUM(CP463:CP467)/32,7)</f>
        <v>3.4640600000000001E-2</v>
      </c>
      <c r="CR467" s="337">
        <f t="shared" si="154"/>
        <v>31635.8838</v>
      </c>
      <c r="CS467" s="337">
        <f>(ROUND(SUM(CR463:CR467),2))</f>
        <v>253087.07</v>
      </c>
      <c r="CT467" s="337">
        <f>ROUND($CR$5*0.05495*32/360,2)</f>
        <v>407045.18</v>
      </c>
      <c r="CU467" s="366">
        <f>CS467-CT467</f>
        <v>-153958.10999999999</v>
      </c>
      <c r="CV467" s="337">
        <f t="shared" si="160"/>
        <v>32694.7</v>
      </c>
    </row>
    <row r="468" spans="2:100" hidden="1" x14ac:dyDescent="0.25">
      <c r="B468" s="345"/>
      <c r="E468" s="346"/>
      <c r="F468" s="339">
        <f>ROUND(((F467*SUM($C$10:C467))+(E468*C468))/SUM($C$10:C468),5)</f>
        <v>3.3489999999999999E-2</v>
      </c>
      <c r="I468" s="335">
        <f t="shared" si="164"/>
        <v>36060</v>
      </c>
      <c r="J468" s="345">
        <v>36069</v>
      </c>
      <c r="K468" s="317">
        <f t="shared" si="161"/>
        <v>9</v>
      </c>
      <c r="M468" s="346">
        <v>3.5009999999999999E-2</v>
      </c>
      <c r="N468" s="339">
        <f>ROUND(((N467*SUM($K$10:K467))+(M468*K468))/SUM($K$10:K468),5)</f>
        <v>3.2899999999999999E-2</v>
      </c>
      <c r="O468" s="316">
        <v>95.8</v>
      </c>
      <c r="Q468" s="335">
        <f>R467</f>
        <v>0</v>
      </c>
      <c r="S468" s="317">
        <f t="shared" si="155"/>
        <v>0</v>
      </c>
      <c r="U468" s="346"/>
      <c r="BB468" s="352"/>
      <c r="BF468" s="345"/>
      <c r="BH468" s="347"/>
      <c r="BP468" s="345"/>
      <c r="BR468" s="347"/>
      <c r="BS468" s="337"/>
      <c r="CH468" s="337">
        <f t="shared" si="163"/>
        <v>0</v>
      </c>
      <c r="CL468" s="335">
        <f t="shared" si="162"/>
        <v>39419</v>
      </c>
      <c r="CM468" s="361">
        <v>39422</v>
      </c>
      <c r="CN468" s="317">
        <f t="shared" si="156"/>
        <v>3</v>
      </c>
      <c r="CO468" s="368">
        <v>3.5799999999999998E-2</v>
      </c>
      <c r="CP468" s="346">
        <f t="shared" si="157"/>
        <v>0.1074</v>
      </c>
      <c r="CQ468" s="365">
        <v>3.2936699999999999E-2</v>
      </c>
      <c r="CR468" s="337">
        <f t="shared" si="154"/>
        <v>22559.834699999999</v>
      </c>
      <c r="CV468" s="337">
        <f t="shared" si="160"/>
        <v>24521</v>
      </c>
    </row>
    <row r="469" spans="2:100" hidden="1" x14ac:dyDescent="0.25">
      <c r="B469" s="345"/>
      <c r="E469" s="346"/>
      <c r="F469" s="339">
        <f>ROUND(((F468*SUM($C$10:C468))+(E469*C469))/SUM($C$10:C469),5)</f>
        <v>3.3489999999999999E-2</v>
      </c>
      <c r="I469" s="335">
        <f t="shared" si="164"/>
        <v>36069</v>
      </c>
      <c r="J469" s="345">
        <v>36076</v>
      </c>
      <c r="K469" s="317">
        <f t="shared" si="161"/>
        <v>7</v>
      </c>
      <c r="M469" s="346">
        <v>3.5009999999999999E-2</v>
      </c>
      <c r="N469" s="339">
        <f>ROUND(((N468*SUM($K$10:K468))+(M469*K469))/SUM($K$10:K469),5)</f>
        <v>3.2910000000000002E-2</v>
      </c>
      <c r="O469" s="316">
        <v>95.8</v>
      </c>
      <c r="Q469" s="335">
        <f>R468</f>
        <v>0</v>
      </c>
      <c r="S469" s="317">
        <f t="shared" si="155"/>
        <v>0</v>
      </c>
      <c r="U469" s="346"/>
      <c r="BB469" s="352"/>
      <c r="BF469" s="345"/>
      <c r="BH469" s="347"/>
      <c r="BP469" s="345"/>
      <c r="BR469" s="347"/>
      <c r="BS469" s="337"/>
      <c r="CH469" s="337">
        <f t="shared" si="163"/>
        <v>0</v>
      </c>
      <c r="CL469" s="335">
        <f t="shared" si="162"/>
        <v>39422</v>
      </c>
      <c r="CM469" s="361">
        <v>39429</v>
      </c>
      <c r="CN469" s="317">
        <f t="shared" si="156"/>
        <v>7</v>
      </c>
      <c r="CO469" s="368">
        <v>3.4000000000000002E-2</v>
      </c>
      <c r="CP469" s="346">
        <f t="shared" si="157"/>
        <v>0.23800000000000002</v>
      </c>
      <c r="CQ469" s="365">
        <v>3.2936699999999999E-2</v>
      </c>
      <c r="CR469" s="337">
        <f t="shared" si="154"/>
        <v>52639.614399999999</v>
      </c>
      <c r="CV469" s="337">
        <f t="shared" si="160"/>
        <v>54339</v>
      </c>
    </row>
    <row r="470" spans="2:100" hidden="1" x14ac:dyDescent="0.25">
      <c r="B470" s="345"/>
      <c r="E470" s="346"/>
      <c r="F470" s="339">
        <f>ROUND(((F469*SUM($C$10:C469))+(E470*C470))/SUM($C$10:C470),5)</f>
        <v>3.3489999999999999E-2</v>
      </c>
      <c r="I470" s="335">
        <f t="shared" si="164"/>
        <v>36076</v>
      </c>
      <c r="J470" s="345">
        <v>36077</v>
      </c>
      <c r="K470" s="317">
        <f t="shared" si="161"/>
        <v>1</v>
      </c>
      <c r="M470" s="346">
        <v>3.3709999999999997E-2</v>
      </c>
      <c r="N470" s="339">
        <f>ROUND(((N469*SUM($K$10:K469))+(M470*K470))/SUM($K$10:K470),5)</f>
        <v>3.2910000000000002E-2</v>
      </c>
      <c r="O470" s="316">
        <v>97.5</v>
      </c>
      <c r="Q470" s="335">
        <f>R469</f>
        <v>0</v>
      </c>
      <c r="S470" s="317">
        <f t="shared" si="155"/>
        <v>0</v>
      </c>
      <c r="U470" s="346"/>
      <c r="BB470" s="352"/>
      <c r="BF470" s="345"/>
      <c r="BH470" s="347"/>
      <c r="BP470" s="345"/>
      <c r="BR470" s="347"/>
      <c r="BS470" s="337"/>
      <c r="CH470" s="337">
        <f t="shared" si="163"/>
        <v>0</v>
      </c>
      <c r="CL470" s="335">
        <f t="shared" si="162"/>
        <v>39429</v>
      </c>
      <c r="CM470" s="361">
        <v>39436</v>
      </c>
      <c r="CN470" s="317">
        <f t="shared" si="156"/>
        <v>7</v>
      </c>
      <c r="CO470" s="368">
        <v>3.0899999999999997E-2</v>
      </c>
      <c r="CP470" s="346">
        <f t="shared" si="157"/>
        <v>0.21629999999999999</v>
      </c>
      <c r="CQ470" s="365">
        <v>3.2936699999999999E-2</v>
      </c>
      <c r="CR470" s="337">
        <f t="shared" si="154"/>
        <v>52639.614399999999</v>
      </c>
      <c r="CV470" s="337">
        <f t="shared" si="160"/>
        <v>49384.5</v>
      </c>
    </row>
    <row r="471" spans="2:100" hidden="1" x14ac:dyDescent="0.25">
      <c r="B471" s="345"/>
      <c r="E471" s="346"/>
      <c r="F471" s="339">
        <f>ROUND(((F470*SUM($C$10:C470))+(E471*C471))/SUM($C$10:C471),5)</f>
        <v>3.3489999999999999E-2</v>
      </c>
      <c r="I471" s="335">
        <f t="shared" si="164"/>
        <v>36077</v>
      </c>
      <c r="J471" s="345">
        <v>36081</v>
      </c>
      <c r="K471" s="317">
        <f t="shared" si="161"/>
        <v>4</v>
      </c>
      <c r="M471" s="346">
        <v>3.3570000000000003E-2</v>
      </c>
      <c r="N471" s="339">
        <f>ROUND(((N470*SUM($K$10:K470))+(M471*K471))/SUM($K$10:K471),5)</f>
        <v>3.2910000000000002E-2</v>
      </c>
      <c r="O471" s="348">
        <v>99</v>
      </c>
      <c r="Q471" s="335">
        <f>R470</f>
        <v>0</v>
      </c>
      <c r="S471" s="317">
        <f t="shared" si="155"/>
        <v>0</v>
      </c>
      <c r="U471" s="346"/>
      <c r="BB471" s="352"/>
      <c r="BF471" s="345"/>
      <c r="BH471" s="347"/>
      <c r="BP471" s="345"/>
      <c r="BR471" s="347"/>
      <c r="BS471" s="337"/>
      <c r="CH471" s="337">
        <f t="shared" si="163"/>
        <v>0</v>
      </c>
      <c r="CL471" s="335">
        <f t="shared" si="162"/>
        <v>39436</v>
      </c>
      <c r="CM471" s="361">
        <v>39443</v>
      </c>
      <c r="CN471" s="317">
        <f t="shared" si="156"/>
        <v>7</v>
      </c>
      <c r="CO471" s="368">
        <v>3.1600000000000003E-2</v>
      </c>
      <c r="CP471" s="346">
        <f t="shared" si="157"/>
        <v>0.22120000000000001</v>
      </c>
      <c r="CQ471" s="365">
        <v>3.2936699999999999E-2</v>
      </c>
      <c r="CR471" s="337">
        <f t="shared" si="154"/>
        <v>52639.614399999999</v>
      </c>
      <c r="CV471" s="337">
        <f t="shared" si="160"/>
        <v>50503.3</v>
      </c>
    </row>
    <row r="472" spans="2:100" hidden="1" x14ac:dyDescent="0.25">
      <c r="B472" s="345"/>
      <c r="E472" s="346"/>
      <c r="F472" s="339"/>
      <c r="I472" s="335"/>
      <c r="J472" s="345"/>
      <c r="K472" s="317"/>
      <c r="M472" s="346"/>
      <c r="N472" s="339"/>
      <c r="O472" s="348"/>
      <c r="Q472" s="335"/>
      <c r="S472" s="317"/>
      <c r="U472" s="346"/>
      <c r="BB472" s="352"/>
      <c r="BF472" s="345"/>
      <c r="BH472" s="347"/>
      <c r="BP472" s="345"/>
      <c r="BR472" s="347"/>
      <c r="BS472" s="337"/>
      <c r="CH472" s="337"/>
      <c r="CL472" s="335">
        <f t="shared" si="162"/>
        <v>39443</v>
      </c>
      <c r="CM472" s="361">
        <v>39448</v>
      </c>
      <c r="CN472" s="317">
        <f t="shared" si="156"/>
        <v>5</v>
      </c>
      <c r="CO472" s="368">
        <v>3.4200000000000001E-2</v>
      </c>
      <c r="CP472" s="346">
        <f t="shared" si="157"/>
        <v>0.17100000000000001</v>
      </c>
      <c r="CQ472" s="365">
        <v>3.2936699999999999E-2</v>
      </c>
      <c r="CR472" s="337">
        <f t="shared" si="154"/>
        <v>37599.724600000001</v>
      </c>
      <c r="CV472" s="337"/>
    </row>
    <row r="473" spans="2:100" hidden="1" x14ac:dyDescent="0.25">
      <c r="B473" s="345"/>
      <c r="E473" s="346"/>
      <c r="F473" s="339">
        <f>ROUND(((F471*SUM($C$10:C471))+(E473*C473))/SUM($C$10:C473),5)</f>
        <v>3.3489999999999999E-2</v>
      </c>
      <c r="I473" s="335">
        <f>J471</f>
        <v>36081</v>
      </c>
      <c r="J473" s="345">
        <v>36084</v>
      </c>
      <c r="K473" s="317">
        <f t="shared" si="161"/>
        <v>3</v>
      </c>
      <c r="M473" s="346">
        <v>3.2759999999999997E-2</v>
      </c>
      <c r="N473" s="339">
        <f>ROUND(((N471*SUM($K$10:K471))+(M473*K473))/SUM($K$10:K473),5)</f>
        <v>3.2910000000000002E-2</v>
      </c>
      <c r="O473" s="316">
        <v>106.1</v>
      </c>
      <c r="S473" s="317">
        <f t="shared" si="155"/>
        <v>0</v>
      </c>
      <c r="U473" s="346"/>
      <c r="BB473" s="352"/>
      <c r="BF473" s="345"/>
      <c r="BH473" s="347"/>
      <c r="BP473" s="345"/>
      <c r="BR473" s="347"/>
      <c r="BS473" s="337"/>
      <c r="CH473" s="337">
        <f t="shared" si="163"/>
        <v>0</v>
      </c>
      <c r="CL473" s="335">
        <f t="shared" si="162"/>
        <v>39448</v>
      </c>
      <c r="CM473" s="361">
        <v>39449</v>
      </c>
      <c r="CN473" s="317">
        <f t="shared" si="156"/>
        <v>1</v>
      </c>
      <c r="CO473" s="368">
        <v>3.4200000000000001E-2</v>
      </c>
      <c r="CP473" s="346">
        <f t="shared" si="157"/>
        <v>3.4200000000000001E-2</v>
      </c>
      <c r="CQ473" s="365">
        <v>3.2936699999999999E-2</v>
      </c>
      <c r="CR473" s="337">
        <f>ROUND($CR$5*CQ473*CN473/366,4)</f>
        <v>7499.3986000000004</v>
      </c>
      <c r="CS473" s="337">
        <f>(ROUND(SUM(CR468:CR473),2))</f>
        <v>225577.8</v>
      </c>
      <c r="CT473" s="337">
        <f>ROUND($CR$5*0.05495*29/360,2)</f>
        <v>368884.69</v>
      </c>
      <c r="CU473" s="366">
        <f>CS473-CT473</f>
        <v>-143306.89000000001</v>
      </c>
      <c r="CV473" s="337">
        <f t="shared" si="160"/>
        <v>7808.4</v>
      </c>
    </row>
    <row r="474" spans="2:100" hidden="1" x14ac:dyDescent="0.25">
      <c r="B474" s="345"/>
      <c r="E474" s="346"/>
      <c r="F474" s="339">
        <f>ROUND(((F473*SUM($C$10:C473))+(E474*C474))/SUM($C$10:C474),5)</f>
        <v>3.3489999999999999E-2</v>
      </c>
      <c r="I474" s="335">
        <f t="shared" si="164"/>
        <v>36084</v>
      </c>
      <c r="J474" s="345">
        <v>36087</v>
      </c>
      <c r="K474" s="317">
        <f t="shared" si="161"/>
        <v>3</v>
      </c>
      <c r="M474" s="346">
        <v>3.2710000000000003E-2</v>
      </c>
      <c r="N474" s="339">
        <f>ROUND(((N473*SUM($K$10:K473))+(M474*K474))/SUM($K$10:K474),5)</f>
        <v>3.2910000000000002E-2</v>
      </c>
      <c r="O474" s="316">
        <v>108.9</v>
      </c>
      <c r="S474" s="317">
        <f t="shared" si="155"/>
        <v>0</v>
      </c>
      <c r="U474" s="346"/>
      <c r="BB474" s="352"/>
      <c r="BF474" s="345"/>
      <c r="BH474" s="347"/>
      <c r="BP474" s="345"/>
      <c r="BR474" s="347"/>
      <c r="BS474" s="337"/>
      <c r="CH474" s="337">
        <f t="shared" si="163"/>
        <v>0</v>
      </c>
      <c r="CL474" s="335">
        <f t="shared" si="162"/>
        <v>39449</v>
      </c>
      <c r="CM474" s="361">
        <v>39450</v>
      </c>
      <c r="CN474" s="317">
        <f t="shared" si="156"/>
        <v>1</v>
      </c>
      <c r="CO474" s="368">
        <v>3.4200000000000001E-2</v>
      </c>
      <c r="CP474" s="346">
        <f t="shared" si="157"/>
        <v>3.4200000000000001E-2</v>
      </c>
      <c r="CQ474" s="367">
        <v>2.9383300000000001E-2</v>
      </c>
      <c r="CR474" s="337">
        <f t="shared" ref="CR474:CR494" si="165">ROUND($CR$5*CQ474*CN474/366,4)</f>
        <v>6690.3204999999998</v>
      </c>
      <c r="CV474" s="337">
        <f t="shared" si="160"/>
        <v>7808.4</v>
      </c>
    </row>
    <row r="475" spans="2:100" hidden="1" x14ac:dyDescent="0.25">
      <c r="B475" s="345"/>
      <c r="E475" s="346"/>
      <c r="F475" s="339">
        <f>ROUND(((F474*SUM($C$10:C474))+(E475*C475))/SUM($C$10:C475),5)</f>
        <v>3.3489999999999999E-2</v>
      </c>
      <c r="I475" s="335">
        <f t="shared" si="164"/>
        <v>36087</v>
      </c>
      <c r="J475" s="345">
        <v>36095</v>
      </c>
      <c r="K475" s="317">
        <f t="shared" si="161"/>
        <v>8</v>
      </c>
      <c r="M475" s="346">
        <v>3.2309999999999998E-2</v>
      </c>
      <c r="N475" s="339">
        <f>ROUND(((N474*SUM($K$10:K474))+(M475*K475))/SUM($K$10:K475),5)</f>
        <v>3.2910000000000002E-2</v>
      </c>
      <c r="O475" s="316">
        <v>120.7</v>
      </c>
      <c r="S475" s="317">
        <f t="shared" si="155"/>
        <v>0</v>
      </c>
      <c r="U475" s="346"/>
      <c r="BB475" s="352"/>
      <c r="BF475" s="345"/>
      <c r="BH475" s="347"/>
      <c r="BP475" s="345"/>
      <c r="BR475" s="347"/>
      <c r="BS475" s="337"/>
      <c r="CH475" s="337">
        <f t="shared" si="163"/>
        <v>0</v>
      </c>
      <c r="CL475" s="335">
        <f t="shared" si="162"/>
        <v>39450</v>
      </c>
      <c r="CM475" s="361">
        <v>39457</v>
      </c>
      <c r="CN475" s="317">
        <f t="shared" si="156"/>
        <v>7</v>
      </c>
      <c r="CO475" s="368">
        <v>3.0600000000000002E-2</v>
      </c>
      <c r="CP475" s="346">
        <f t="shared" si="157"/>
        <v>0.2142</v>
      </c>
      <c r="CQ475" s="367">
        <v>2.9383300000000001E-2</v>
      </c>
      <c r="CR475" s="337">
        <f t="shared" si="165"/>
        <v>46832.243499999997</v>
      </c>
      <c r="CV475" s="337">
        <f t="shared" si="160"/>
        <v>48905.1</v>
      </c>
    </row>
    <row r="476" spans="2:100" hidden="1" x14ac:dyDescent="0.25">
      <c r="B476" s="345"/>
      <c r="E476" s="346"/>
      <c r="F476" s="339">
        <f>ROUND(((F475*SUM($C$10:C475))+(E476*C476))/SUM($C$10:C476),5)</f>
        <v>3.3489999999999999E-2</v>
      </c>
      <c r="I476" s="335">
        <f t="shared" si="164"/>
        <v>36095</v>
      </c>
      <c r="J476" s="345">
        <v>36108</v>
      </c>
      <c r="K476" s="317">
        <f t="shared" si="161"/>
        <v>13</v>
      </c>
      <c r="M476" s="346">
        <v>3.2160000000000001E-2</v>
      </c>
      <c r="N476" s="339">
        <f>ROUND(((N475*SUM($K$10:K475))+(M476*K476))/SUM($K$10:K476),5)</f>
        <v>3.2910000000000002E-2</v>
      </c>
      <c r="O476" s="316">
        <v>119.6</v>
      </c>
      <c r="S476" s="317">
        <f t="shared" si="155"/>
        <v>0</v>
      </c>
      <c r="U476" s="346"/>
      <c r="BB476" s="352"/>
      <c r="BF476" s="345"/>
      <c r="BH476" s="347"/>
      <c r="BP476" s="345"/>
      <c r="BR476" s="347"/>
      <c r="BS476" s="337"/>
      <c r="CH476" s="337">
        <f t="shared" si="163"/>
        <v>0</v>
      </c>
      <c r="CL476" s="335">
        <f t="shared" si="162"/>
        <v>39457</v>
      </c>
      <c r="CM476" s="361">
        <v>39464</v>
      </c>
      <c r="CN476" s="317">
        <f t="shared" si="156"/>
        <v>7</v>
      </c>
      <c r="CO476" s="368">
        <v>3.0200000000000001E-2</v>
      </c>
      <c r="CP476" s="346">
        <f t="shared" si="157"/>
        <v>0.2114</v>
      </c>
      <c r="CQ476" s="367">
        <v>2.9383300000000001E-2</v>
      </c>
      <c r="CR476" s="337">
        <f t="shared" si="165"/>
        <v>46832.243499999997</v>
      </c>
      <c r="CV476" s="337">
        <f t="shared" si="160"/>
        <v>48265.8</v>
      </c>
    </row>
    <row r="477" spans="2:100" hidden="1" x14ac:dyDescent="0.25">
      <c r="B477" s="345"/>
      <c r="E477" s="346"/>
      <c r="F477" s="339">
        <f>ROUND(((F476*SUM($C$10:C476))+(E477*C477))/SUM($C$10:C477),5)</f>
        <v>3.3489999999999999E-2</v>
      </c>
      <c r="I477" s="335">
        <f t="shared" si="164"/>
        <v>36108</v>
      </c>
      <c r="J477" s="345">
        <v>36112</v>
      </c>
      <c r="K477" s="317">
        <f t="shared" si="161"/>
        <v>4</v>
      </c>
      <c r="M477" s="346">
        <v>3.2149999999999998E-2</v>
      </c>
      <c r="N477" s="339">
        <f>ROUND(((N476*SUM($K$10:K476))+(M477*K477))/SUM($K$10:K477),5)</f>
        <v>3.2910000000000002E-2</v>
      </c>
      <c r="O477" s="316">
        <v>119.6</v>
      </c>
      <c r="S477" s="317">
        <f t="shared" si="155"/>
        <v>0</v>
      </c>
      <c r="U477" s="346"/>
      <c r="BB477" s="352"/>
      <c r="BF477" s="345"/>
      <c r="BH477" s="347"/>
      <c r="BP477" s="345"/>
      <c r="BR477" s="347"/>
      <c r="BS477" s="337"/>
      <c r="CH477" s="337">
        <f t="shared" si="163"/>
        <v>0</v>
      </c>
      <c r="CL477" s="335">
        <f t="shared" si="162"/>
        <v>39464</v>
      </c>
      <c r="CM477" s="361">
        <v>39471</v>
      </c>
      <c r="CN477" s="317">
        <f t="shared" si="156"/>
        <v>7</v>
      </c>
      <c r="CO477" s="368">
        <v>2.9300000000000003E-2</v>
      </c>
      <c r="CP477" s="346">
        <f t="shared" si="157"/>
        <v>0.20510000000000003</v>
      </c>
      <c r="CQ477" s="367">
        <v>2.9383300000000001E-2</v>
      </c>
      <c r="CR477" s="337">
        <f t="shared" si="165"/>
        <v>46832.243499999997</v>
      </c>
      <c r="CV477" s="337">
        <f t="shared" si="160"/>
        <v>46827.4</v>
      </c>
    </row>
    <row r="478" spans="2:100" hidden="1" x14ac:dyDescent="0.25">
      <c r="B478" s="345"/>
      <c r="E478" s="346"/>
      <c r="F478" s="339">
        <f>ROUND(((F477*SUM($C$10:C477))+(E478*C478))/SUM($C$10:C478),5)</f>
        <v>3.3489999999999999E-2</v>
      </c>
      <c r="I478" s="335">
        <f t="shared" si="164"/>
        <v>36112</v>
      </c>
      <c r="J478" s="345">
        <v>36130</v>
      </c>
      <c r="K478" s="317">
        <f t="shared" si="161"/>
        <v>18</v>
      </c>
      <c r="M478" s="346">
        <v>3.1899999999999998E-2</v>
      </c>
      <c r="N478" s="339">
        <f>ROUND(((N477*SUM($K$10:K477))+(M478*K478))/SUM($K$10:K478),5)</f>
        <v>3.2899999999999999E-2</v>
      </c>
      <c r="O478" s="316">
        <v>120.5</v>
      </c>
      <c r="S478" s="317">
        <f t="shared" si="155"/>
        <v>0</v>
      </c>
      <c r="U478" s="346"/>
      <c r="BB478" s="352"/>
      <c r="BF478" s="345"/>
      <c r="BH478" s="347"/>
      <c r="BP478" s="345"/>
      <c r="BR478" s="347"/>
      <c r="BS478" s="337"/>
      <c r="CH478" s="337">
        <f t="shared" si="163"/>
        <v>0</v>
      </c>
      <c r="CL478" s="335">
        <f t="shared" si="162"/>
        <v>39471</v>
      </c>
      <c r="CM478" s="361">
        <v>39478</v>
      </c>
      <c r="CN478" s="317">
        <f t="shared" si="156"/>
        <v>7</v>
      </c>
      <c r="CO478" s="368">
        <v>2.7799999999999998E-2</v>
      </c>
      <c r="CP478" s="346">
        <f t="shared" si="157"/>
        <v>0.1946</v>
      </c>
      <c r="CQ478" s="367">
        <v>2.9383300000000001E-2</v>
      </c>
      <c r="CR478" s="337">
        <f t="shared" si="165"/>
        <v>46832.243499999997</v>
      </c>
      <c r="CV478" s="337">
        <f t="shared" si="160"/>
        <v>44430.1</v>
      </c>
    </row>
    <row r="479" spans="2:100" hidden="1" x14ac:dyDescent="0.25">
      <c r="B479" s="345"/>
      <c r="E479" s="346"/>
      <c r="F479" s="339">
        <f>ROUND(((F478*SUM($C$10:C478))+(E479*C479))/SUM($C$10:C479),5)</f>
        <v>3.3489999999999999E-2</v>
      </c>
      <c r="I479" s="335">
        <f t="shared" si="164"/>
        <v>36130</v>
      </c>
      <c r="J479" s="345">
        <v>36131</v>
      </c>
      <c r="K479" s="317">
        <f t="shared" si="161"/>
        <v>1</v>
      </c>
      <c r="M479" s="346">
        <v>3.177E-2</v>
      </c>
      <c r="N479" s="339">
        <f>ROUND(((N478*SUM($K$10:K478))+(M479*K479))/SUM($K$10:K479),5)</f>
        <v>3.2899999999999999E-2</v>
      </c>
      <c r="O479" s="316">
        <v>119.8</v>
      </c>
      <c r="S479" s="317">
        <f t="shared" si="155"/>
        <v>0</v>
      </c>
      <c r="U479" s="346"/>
      <c r="BB479" s="352"/>
      <c r="BF479" s="345"/>
      <c r="BH479" s="347"/>
      <c r="BP479" s="345"/>
      <c r="BR479" s="347"/>
      <c r="BS479" s="337"/>
      <c r="CH479" s="337">
        <f t="shared" si="163"/>
        <v>0</v>
      </c>
      <c r="CL479" s="335">
        <f t="shared" si="162"/>
        <v>39478</v>
      </c>
      <c r="CM479" s="361">
        <v>39479</v>
      </c>
      <c r="CN479" s="317">
        <f t="shared" si="156"/>
        <v>1</v>
      </c>
      <c r="CO479" s="368">
        <v>2.2000000000000002E-2</v>
      </c>
      <c r="CP479" s="346">
        <f t="shared" si="157"/>
        <v>2.2000000000000002E-2</v>
      </c>
      <c r="CQ479" s="365">
        <f>ROUND(SUM(CP474:CP479)/30,7)</f>
        <v>2.9383300000000001E-2</v>
      </c>
      <c r="CR479" s="337">
        <f t="shared" si="165"/>
        <v>6690.3204999999998</v>
      </c>
      <c r="CS479" s="337">
        <f>(ROUND(SUM(CR474:CR479),2))</f>
        <v>200709.62</v>
      </c>
      <c r="CT479" s="337">
        <f>ROUND($CR$5*0.05495*29/360,2)</f>
        <v>368884.69</v>
      </c>
      <c r="CU479" s="366">
        <f>CS479-CT479</f>
        <v>-168175.07</v>
      </c>
      <c r="CV479" s="337">
        <f t="shared" si="160"/>
        <v>5022.8999999999996</v>
      </c>
    </row>
    <row r="480" spans="2:100" hidden="1" x14ac:dyDescent="0.25">
      <c r="B480" s="345"/>
      <c r="E480" s="346"/>
      <c r="F480" s="339">
        <f>ROUND(((F479*SUM($C$10:C479))+(E480*C480))/SUM($C$10:C480),5)</f>
        <v>3.3489999999999999E-2</v>
      </c>
      <c r="I480" s="335">
        <f t="shared" si="164"/>
        <v>36131</v>
      </c>
      <c r="J480" s="345">
        <v>36136</v>
      </c>
      <c r="K480" s="317">
        <f t="shared" si="161"/>
        <v>5</v>
      </c>
      <c r="M480" s="346">
        <v>3.1559999999999998E-2</v>
      </c>
      <c r="N480" s="339">
        <f>ROUND(((N479*SUM($K$10:K479))+(M480*K480))/SUM($K$10:K480),5)</f>
        <v>3.2899999999999999E-2</v>
      </c>
      <c r="O480" s="316">
        <v>122.6</v>
      </c>
      <c r="S480" s="317">
        <f t="shared" si="155"/>
        <v>0</v>
      </c>
      <c r="U480" s="346"/>
      <c r="BB480" s="352"/>
      <c r="BF480" s="345"/>
      <c r="BH480" s="347"/>
      <c r="BP480" s="345"/>
      <c r="BR480" s="347"/>
      <c r="BS480" s="337"/>
      <c r="CH480" s="337">
        <f t="shared" si="163"/>
        <v>0</v>
      </c>
      <c r="CL480" s="335">
        <f t="shared" si="162"/>
        <v>39479</v>
      </c>
      <c r="CM480" s="361">
        <v>39485</v>
      </c>
      <c r="CN480" s="317">
        <f t="shared" si="156"/>
        <v>6</v>
      </c>
      <c r="CO480" s="368">
        <v>2.2000000000000002E-2</v>
      </c>
      <c r="CP480" s="346">
        <f t="shared" si="157"/>
        <v>0.13200000000000001</v>
      </c>
      <c r="CQ480" s="365">
        <v>2.0393499999999998E-2</v>
      </c>
      <c r="CR480" s="337">
        <f t="shared" si="165"/>
        <v>27860.529900000001</v>
      </c>
      <c r="CV480" s="337">
        <f t="shared" si="160"/>
        <v>30137.599999999999</v>
      </c>
    </row>
    <row r="481" spans="2:100" hidden="1" x14ac:dyDescent="0.25">
      <c r="B481" s="345"/>
      <c r="E481" s="346"/>
      <c r="F481" s="339">
        <f>ROUND(((F480*SUM($C$10:C480))+(E481*C481))/SUM($C$10:C481),5)</f>
        <v>3.3489999999999999E-2</v>
      </c>
      <c r="I481" s="335">
        <f t="shared" si="164"/>
        <v>36136</v>
      </c>
      <c r="J481" s="345">
        <v>36137</v>
      </c>
      <c r="K481" s="317">
        <f t="shared" si="161"/>
        <v>1</v>
      </c>
      <c r="M481" s="346">
        <v>3.15E-2</v>
      </c>
      <c r="N481" s="339">
        <f>ROUND(((N480*SUM($K$10:K480))+(M481*K481))/SUM($K$10:K481),5)</f>
        <v>3.2899999999999999E-2</v>
      </c>
      <c r="O481" s="316">
        <v>119.7</v>
      </c>
      <c r="S481" s="317">
        <f t="shared" ref="S481:S545" si="166">R481-Q481</f>
        <v>0</v>
      </c>
      <c r="U481" s="346"/>
      <c r="BB481" s="352"/>
      <c r="BF481" s="345"/>
      <c r="BP481" s="345"/>
      <c r="BR481" s="347"/>
      <c r="BS481" s="337"/>
      <c r="CH481" s="337">
        <f t="shared" si="163"/>
        <v>0</v>
      </c>
      <c r="CL481" s="335">
        <f t="shared" si="162"/>
        <v>39485</v>
      </c>
      <c r="CM481" s="361">
        <v>39492</v>
      </c>
      <c r="CN481" s="317">
        <f t="shared" si="156"/>
        <v>7</v>
      </c>
      <c r="CO481" s="368">
        <v>1.7299999999999999E-2</v>
      </c>
      <c r="CP481" s="346">
        <f t="shared" si="157"/>
        <v>0.1211</v>
      </c>
      <c r="CQ481" s="365">
        <v>2.0393499999999998E-2</v>
      </c>
      <c r="CR481" s="337">
        <f t="shared" si="165"/>
        <v>32503.951499999999</v>
      </c>
      <c r="CV481" s="337">
        <f t="shared" si="160"/>
        <v>27649</v>
      </c>
    </row>
    <row r="482" spans="2:100" hidden="1" x14ac:dyDescent="0.25">
      <c r="B482" s="345"/>
      <c r="E482" s="346"/>
      <c r="F482" s="339">
        <f>ROUND(((F481*SUM($C$10:C481))+(E482*C482))/SUM($C$10:C482),5)</f>
        <v>3.3489999999999999E-2</v>
      </c>
      <c r="I482" s="335">
        <f t="shared" si="164"/>
        <v>36137</v>
      </c>
      <c r="J482" s="345">
        <v>36145</v>
      </c>
      <c r="K482" s="317">
        <f t="shared" si="161"/>
        <v>8</v>
      </c>
      <c r="M482" s="346">
        <v>3.1469999999999998E-2</v>
      </c>
      <c r="N482" s="339">
        <f>ROUND(((N481*SUM($K$10:K481))+(M482*K482))/SUM($K$10:K482),5)</f>
        <v>3.2890000000000003E-2</v>
      </c>
      <c r="O482" s="316">
        <v>121.8</v>
      </c>
      <c r="S482" s="317">
        <f t="shared" si="166"/>
        <v>0</v>
      </c>
      <c r="U482" s="346"/>
      <c r="BB482" s="352"/>
      <c r="BF482" s="345"/>
      <c r="BP482" s="345"/>
      <c r="BR482" s="347"/>
      <c r="BS482" s="337"/>
      <c r="CH482" s="337">
        <f t="shared" si="163"/>
        <v>0</v>
      </c>
      <c r="CL482" s="335">
        <f t="shared" si="162"/>
        <v>39492</v>
      </c>
      <c r="CM482" s="361">
        <v>39499</v>
      </c>
      <c r="CN482" s="317">
        <f t="shared" si="156"/>
        <v>7</v>
      </c>
      <c r="CO482" s="368">
        <v>1.24E-2</v>
      </c>
      <c r="CP482" s="346">
        <f t="shared" si="157"/>
        <v>8.6800000000000002E-2</v>
      </c>
      <c r="CQ482" s="365">
        <v>2.0393499999999998E-2</v>
      </c>
      <c r="CR482" s="337">
        <f t="shared" si="165"/>
        <v>32503.951499999999</v>
      </c>
      <c r="CV482" s="337">
        <f t="shared" si="160"/>
        <v>19817.7</v>
      </c>
    </row>
    <row r="483" spans="2:100" hidden="1" x14ac:dyDescent="0.25">
      <c r="B483" s="345"/>
      <c r="E483" s="346"/>
      <c r="F483" s="339">
        <f>ROUND(((F482*SUM($C$10:C482))+(E483*C483))/SUM($C$10:C483),5)</f>
        <v>3.3489999999999999E-2</v>
      </c>
      <c r="I483" s="335">
        <f t="shared" si="164"/>
        <v>36145</v>
      </c>
      <c r="J483" s="345">
        <v>36164</v>
      </c>
      <c r="K483" s="317">
        <f t="shared" si="161"/>
        <v>19</v>
      </c>
      <c r="M483" s="346">
        <v>3.1320000000000001E-2</v>
      </c>
      <c r="N483" s="339">
        <f>ROUND(((N482*SUM($K$10:K482))+(M483*K483))/SUM($K$10:K483),5)</f>
        <v>3.288E-2</v>
      </c>
      <c r="O483" s="316">
        <v>117.8</v>
      </c>
      <c r="S483" s="317">
        <f t="shared" si="166"/>
        <v>0</v>
      </c>
      <c r="U483" s="346"/>
      <c r="BB483" s="352"/>
      <c r="BF483" s="345"/>
      <c r="BP483" s="345"/>
      <c r="BR483" s="347"/>
      <c r="BS483" s="337"/>
      <c r="CH483" s="337">
        <f t="shared" si="163"/>
        <v>0</v>
      </c>
      <c r="CL483" s="335">
        <f t="shared" si="162"/>
        <v>39499</v>
      </c>
      <c r="CM483" s="361">
        <v>39506</v>
      </c>
      <c r="CN483" s="317">
        <f t="shared" si="156"/>
        <v>7</v>
      </c>
      <c r="CO483" s="368">
        <v>2.3699999999999999E-2</v>
      </c>
      <c r="CP483" s="346">
        <f t="shared" si="157"/>
        <v>0.16589999999999999</v>
      </c>
      <c r="CQ483" s="365">
        <v>2.0393499999999998E-2</v>
      </c>
      <c r="CR483" s="337">
        <f t="shared" si="165"/>
        <v>32503.951499999999</v>
      </c>
      <c r="CV483" s="337">
        <f t="shared" si="160"/>
        <v>37877.5</v>
      </c>
    </row>
    <row r="484" spans="2:100" hidden="1" x14ac:dyDescent="0.25">
      <c r="B484" s="345"/>
      <c r="E484" s="346"/>
      <c r="F484" s="339">
        <f>ROUND(((F483*SUM($C$10:C483))+(E484*C484))/SUM($C$10:C484),5)</f>
        <v>3.3489999999999999E-2</v>
      </c>
      <c r="I484" s="335">
        <f t="shared" si="164"/>
        <v>36164</v>
      </c>
      <c r="J484" s="345">
        <v>36172</v>
      </c>
      <c r="K484" s="317">
        <f t="shared" si="161"/>
        <v>8</v>
      </c>
      <c r="M484" s="346">
        <v>3.1320000000000001E-2</v>
      </c>
      <c r="N484" s="339">
        <f>ROUND(((N483*SUM($K$10:K483))+(M484*K484))/SUM($K$10:K484),5)</f>
        <v>3.2870000000000003E-2</v>
      </c>
      <c r="O484" s="316">
        <v>117.7</v>
      </c>
      <c r="S484" s="317">
        <f t="shared" si="166"/>
        <v>0</v>
      </c>
      <c r="U484" s="346"/>
      <c r="BB484" s="352"/>
      <c r="BF484" s="345"/>
      <c r="BP484" s="345"/>
      <c r="BR484" s="347"/>
      <c r="BS484" s="337"/>
      <c r="CH484" s="337">
        <f t="shared" si="163"/>
        <v>0</v>
      </c>
      <c r="CL484" s="335">
        <f t="shared" si="162"/>
        <v>39506</v>
      </c>
      <c r="CM484" s="361">
        <v>39510</v>
      </c>
      <c r="CN484" s="317">
        <f t="shared" si="156"/>
        <v>4</v>
      </c>
      <c r="CO484" s="368">
        <v>3.1600000000000003E-2</v>
      </c>
      <c r="CP484" s="346">
        <f t="shared" si="157"/>
        <v>0.12640000000000001</v>
      </c>
      <c r="CQ484" s="365">
        <v>2.0393499999999998E-2</v>
      </c>
      <c r="CR484" s="337">
        <f t="shared" si="165"/>
        <v>18573.686600000001</v>
      </c>
      <c r="CS484" s="337">
        <f>(ROUND(SUM(CR480:CR484),2))</f>
        <v>143946.07</v>
      </c>
      <c r="CT484" s="337">
        <f>ROUND($CR$5*0.05495*32/360,2)</f>
        <v>407045.18</v>
      </c>
      <c r="CU484" s="366">
        <f>CS484-CT484</f>
        <v>-263099.11</v>
      </c>
      <c r="CV484" s="337">
        <f t="shared" si="160"/>
        <v>28859</v>
      </c>
    </row>
    <row r="485" spans="2:100" hidden="1" x14ac:dyDescent="0.25">
      <c r="B485" s="345"/>
      <c r="E485" s="346"/>
      <c r="F485" s="339">
        <f>ROUND(((F484*SUM($C$10:C484))+(E485*C485))/SUM($C$10:C485),5)</f>
        <v>3.3489999999999999E-2</v>
      </c>
      <c r="I485" s="335">
        <f t="shared" si="164"/>
        <v>36172</v>
      </c>
      <c r="J485" s="345">
        <v>36181</v>
      </c>
      <c r="K485" s="317">
        <f t="shared" si="161"/>
        <v>9</v>
      </c>
      <c r="M485" s="346">
        <v>3.125E-2</v>
      </c>
      <c r="N485" s="339">
        <f>ROUND(((N484*SUM($K$10:K484))+(M485*K485))/SUM($K$10:K485),5)</f>
        <v>3.286E-2</v>
      </c>
      <c r="O485" s="316">
        <v>117.4</v>
      </c>
      <c r="S485" s="317">
        <f t="shared" si="166"/>
        <v>0</v>
      </c>
      <c r="U485" s="346"/>
      <c r="BB485" s="352"/>
      <c r="BF485" s="345"/>
      <c r="BP485" s="345"/>
      <c r="BR485" s="347"/>
      <c r="BS485" s="337"/>
      <c r="CH485" s="337">
        <f t="shared" si="163"/>
        <v>0</v>
      </c>
      <c r="CL485" s="335">
        <f t="shared" si="162"/>
        <v>39510</v>
      </c>
      <c r="CM485" s="361">
        <v>39513</v>
      </c>
      <c r="CN485" s="317">
        <f t="shared" si="156"/>
        <v>3</v>
      </c>
      <c r="CO485" s="368">
        <v>3.1600000000000003E-2</v>
      </c>
      <c r="CP485" s="346">
        <f t="shared" si="157"/>
        <v>9.4800000000000009E-2</v>
      </c>
      <c r="CQ485" s="367">
        <v>2.6486200000000001E-2</v>
      </c>
      <c r="CR485" s="337">
        <f t="shared" si="165"/>
        <v>18092.0285</v>
      </c>
      <c r="CV485" s="337">
        <f t="shared" si="160"/>
        <v>21644.3</v>
      </c>
    </row>
    <row r="486" spans="2:100" hidden="1" x14ac:dyDescent="0.25">
      <c r="B486" s="345"/>
      <c r="E486" s="346"/>
      <c r="F486" s="339">
        <f>ROUND(((F485*SUM($C$10:C485))+(E486*C486))/SUM($C$10:C486),5)</f>
        <v>3.3489999999999999E-2</v>
      </c>
      <c r="I486" s="335">
        <f t="shared" si="164"/>
        <v>36181</v>
      </c>
      <c r="J486" s="345">
        <v>36188</v>
      </c>
      <c r="K486" s="317">
        <f t="shared" si="161"/>
        <v>7</v>
      </c>
      <c r="M486" s="346">
        <v>3.1210000000000002E-2</v>
      </c>
      <c r="N486" s="339">
        <f>ROUND(((N485*SUM($K$10:K485))+(M486*K486))/SUM($K$10:K486),5)</f>
        <v>3.286E-2</v>
      </c>
      <c r="O486" s="316">
        <v>114.2</v>
      </c>
      <c r="S486" s="317">
        <f t="shared" si="166"/>
        <v>0</v>
      </c>
      <c r="U486" s="346"/>
      <c r="BB486" s="352"/>
      <c r="BF486" s="345"/>
      <c r="BP486" s="345"/>
      <c r="BR486" s="347"/>
      <c r="BS486" s="337"/>
      <c r="CH486" s="337">
        <f t="shared" si="163"/>
        <v>0</v>
      </c>
      <c r="CL486" s="335">
        <f t="shared" si="162"/>
        <v>39513</v>
      </c>
      <c r="CM486" s="361">
        <v>39520</v>
      </c>
      <c r="CN486" s="317">
        <f t="shared" si="156"/>
        <v>7</v>
      </c>
      <c r="CO486" s="368">
        <v>2.9600000000000001E-2</v>
      </c>
      <c r="CP486" s="346">
        <f t="shared" si="157"/>
        <v>0.2072</v>
      </c>
      <c r="CQ486" s="367">
        <v>2.6486200000000001E-2</v>
      </c>
      <c r="CR486" s="337">
        <f t="shared" si="165"/>
        <v>42214.733200000002</v>
      </c>
      <c r="CV486" s="337">
        <f t="shared" si="160"/>
        <v>47306.9</v>
      </c>
    </row>
    <row r="487" spans="2:100" hidden="1" x14ac:dyDescent="0.25">
      <c r="B487" s="345"/>
      <c r="E487" s="346"/>
      <c r="F487" s="339">
        <f>ROUND(((F486*SUM($C$10:C486))+(E487*C487))/SUM($C$10:C487),5)</f>
        <v>3.3489999999999999E-2</v>
      </c>
      <c r="I487" s="335">
        <f t="shared" si="164"/>
        <v>36188</v>
      </c>
      <c r="J487" s="345">
        <v>36196</v>
      </c>
      <c r="K487" s="317">
        <f t="shared" si="161"/>
        <v>8</v>
      </c>
      <c r="M487" s="346">
        <v>3.1009999999999999E-2</v>
      </c>
      <c r="N487" s="339">
        <f>ROUND(((N486*SUM($K$10:K486))+(M487*K487))/SUM($K$10:K487),5)</f>
        <v>3.2849999999999997E-2</v>
      </c>
      <c r="O487" s="316">
        <v>121.1</v>
      </c>
      <c r="S487" s="317">
        <f t="shared" si="166"/>
        <v>0</v>
      </c>
      <c r="U487" s="346"/>
      <c r="BB487" s="352"/>
      <c r="BF487" s="345"/>
      <c r="BP487" s="345"/>
      <c r="BR487" s="347"/>
      <c r="BS487" s="337"/>
      <c r="CH487" s="337">
        <f t="shared" si="163"/>
        <v>0</v>
      </c>
      <c r="CL487" s="335">
        <f t="shared" si="162"/>
        <v>39520</v>
      </c>
      <c r="CM487" s="361">
        <v>39527</v>
      </c>
      <c r="CN487" s="317">
        <f t="shared" si="156"/>
        <v>7</v>
      </c>
      <c r="CO487" s="368">
        <v>2.75E-2</v>
      </c>
      <c r="CP487" s="346">
        <f t="shared" si="157"/>
        <v>0.1925</v>
      </c>
      <c r="CQ487" s="367">
        <v>2.6486200000000001E-2</v>
      </c>
      <c r="CR487" s="337">
        <f t="shared" si="165"/>
        <v>42214.733200000002</v>
      </c>
      <c r="CV487" s="337">
        <f t="shared" si="160"/>
        <v>43950.7</v>
      </c>
    </row>
    <row r="488" spans="2:100" hidden="1" x14ac:dyDescent="0.25">
      <c r="B488" s="345"/>
      <c r="E488" s="346"/>
      <c r="F488" s="339">
        <f>ROUND(((F487*SUM($C$10:C487))+(E488*C488))/SUM($C$10:C488),5)</f>
        <v>3.3489999999999999E-2</v>
      </c>
      <c r="I488" s="335">
        <f t="shared" si="164"/>
        <v>36196</v>
      </c>
      <c r="J488" s="345">
        <v>36199</v>
      </c>
      <c r="K488" s="317">
        <f t="shared" si="161"/>
        <v>3</v>
      </c>
      <c r="M488" s="346">
        <v>3.0339999999999999E-2</v>
      </c>
      <c r="N488" s="339">
        <f>ROUND(((N487*SUM($K$10:K487))+(M488*K488))/SUM($K$10:K488),5)</f>
        <v>3.2849999999999997E-2</v>
      </c>
      <c r="O488" s="316">
        <v>93.3</v>
      </c>
      <c r="S488" s="317">
        <f t="shared" si="166"/>
        <v>0</v>
      </c>
      <c r="U488" s="346"/>
      <c r="BB488" s="352"/>
      <c r="BF488" s="345"/>
      <c r="BP488" s="345"/>
      <c r="BR488" s="347"/>
      <c r="BS488" s="337"/>
      <c r="CH488" s="337">
        <f t="shared" si="163"/>
        <v>0</v>
      </c>
      <c r="CL488" s="335">
        <f t="shared" si="162"/>
        <v>39527</v>
      </c>
      <c r="CM488" s="361">
        <v>39534</v>
      </c>
      <c r="CN488" s="317">
        <f t="shared" si="156"/>
        <v>7</v>
      </c>
      <c r="CO488" s="368">
        <v>2.3300000000000001E-2</v>
      </c>
      <c r="CP488" s="346">
        <f t="shared" si="157"/>
        <v>0.16310000000000002</v>
      </c>
      <c r="CQ488" s="367">
        <v>2.6486200000000001E-2</v>
      </c>
      <c r="CR488" s="337">
        <f t="shared" si="165"/>
        <v>42214.733200000002</v>
      </c>
      <c r="CV488" s="337">
        <f t="shared" si="160"/>
        <v>37238.199999999997</v>
      </c>
    </row>
    <row r="489" spans="2:100" hidden="1" x14ac:dyDescent="0.25">
      <c r="B489" s="345"/>
      <c r="E489" s="346"/>
      <c r="F489" s="339">
        <f>ROUND(((F488*SUM($C$10:C488))+(E489*C489))/SUM($C$10:C489),5)</f>
        <v>3.3489999999999999E-2</v>
      </c>
      <c r="I489" s="335">
        <f t="shared" si="164"/>
        <v>36199</v>
      </c>
      <c r="J489" s="345">
        <v>36200</v>
      </c>
      <c r="K489" s="317">
        <f t="shared" si="161"/>
        <v>1</v>
      </c>
      <c r="M489" s="346">
        <v>3.0280000000000001E-2</v>
      </c>
      <c r="N489" s="339">
        <f>ROUND(((N488*SUM($K$10:K488))+(M489*K489))/SUM($K$10:K489),5)</f>
        <v>3.2849999999999997E-2</v>
      </c>
      <c r="O489" s="316">
        <v>94.2</v>
      </c>
      <c r="S489" s="317">
        <f t="shared" si="166"/>
        <v>0</v>
      </c>
      <c r="U489" s="346"/>
      <c r="BB489" s="352"/>
      <c r="BF489" s="345"/>
      <c r="BP489" s="345"/>
      <c r="BR489" s="347"/>
      <c r="BS489" s="337"/>
      <c r="CH489" s="337">
        <f t="shared" si="163"/>
        <v>0</v>
      </c>
      <c r="CL489" s="335">
        <f t="shared" si="162"/>
        <v>39534</v>
      </c>
      <c r="CM489" s="361">
        <v>39539</v>
      </c>
      <c r="CN489" s="317">
        <f t="shared" si="156"/>
        <v>5</v>
      </c>
      <c r="CO489" s="368">
        <v>2.2100000000000002E-2</v>
      </c>
      <c r="CP489" s="346">
        <f t="shared" si="157"/>
        <v>0.11050000000000001</v>
      </c>
      <c r="CQ489" s="365">
        <f>ROUND(SUM(CP485:CP489)/29,7)</f>
        <v>2.6486200000000001E-2</v>
      </c>
      <c r="CR489" s="337">
        <f t="shared" si="165"/>
        <v>30153.380799999999</v>
      </c>
      <c r="CS489" s="337">
        <f>(ROUND(SUM(CR485:CR489),2))</f>
        <v>174889.61</v>
      </c>
      <c r="CT489" s="337">
        <f>ROUND($CR$5*0.05495*28/360,2)</f>
        <v>356164.53</v>
      </c>
      <c r="CU489" s="366">
        <f>CS489-CT489</f>
        <v>-181274.92000000004</v>
      </c>
      <c r="CV489" s="337">
        <f t="shared" si="160"/>
        <v>25228.799999999999</v>
      </c>
    </row>
    <row r="490" spans="2:100" hidden="1" x14ac:dyDescent="0.25">
      <c r="B490" s="345"/>
      <c r="E490" s="346"/>
      <c r="F490" s="339">
        <f>ROUND(((F489*SUM($C$10:C489))+(E490*C490))/SUM($C$10:C490),5)</f>
        <v>3.3489999999999999E-2</v>
      </c>
      <c r="I490" s="335">
        <f t="shared" si="164"/>
        <v>36200</v>
      </c>
      <c r="J490" s="345">
        <v>36207</v>
      </c>
      <c r="K490" s="317">
        <f t="shared" si="161"/>
        <v>7</v>
      </c>
      <c r="M490" s="346">
        <v>3.0179999999999998E-2</v>
      </c>
      <c r="N490" s="339">
        <f>ROUND(((N489*SUM($K$10:K489))+(M490*K490))/SUM($K$10:K490),5)</f>
        <v>3.2840000000000001E-2</v>
      </c>
      <c r="O490" s="348">
        <v>94</v>
      </c>
      <c r="S490" s="317">
        <f t="shared" si="166"/>
        <v>0</v>
      </c>
      <c r="U490" s="346"/>
      <c r="BB490" s="352"/>
      <c r="BF490" s="345"/>
      <c r="BP490" s="345"/>
      <c r="BR490" s="347"/>
      <c r="BS490" s="337"/>
      <c r="CH490" s="337">
        <f t="shared" si="163"/>
        <v>0</v>
      </c>
      <c r="CL490" s="335">
        <f t="shared" si="162"/>
        <v>39539</v>
      </c>
      <c r="CM490" s="361">
        <v>39541</v>
      </c>
      <c r="CN490" s="317">
        <f t="shared" si="156"/>
        <v>2</v>
      </c>
      <c r="CO490" s="368">
        <v>2.2100000000000002E-2</v>
      </c>
      <c r="CP490" s="346">
        <f t="shared" si="157"/>
        <v>4.4200000000000003E-2</v>
      </c>
      <c r="CQ490" s="367">
        <v>2.0653299999999999E-2</v>
      </c>
      <c r="CR490" s="337">
        <f>ROUND($CR$5*CQ490*CN490/366,3)</f>
        <v>9405.152</v>
      </c>
      <c r="CV490" s="337">
        <f t="shared" si="160"/>
        <v>10091.5</v>
      </c>
    </row>
    <row r="491" spans="2:100" hidden="1" x14ac:dyDescent="0.25">
      <c r="B491" s="345"/>
      <c r="E491" s="346"/>
      <c r="F491" s="339">
        <f>ROUND(((F490*SUM($C$10:C490))+(E491*C491))/SUM($C$10:C491),5)</f>
        <v>3.3489999999999999E-2</v>
      </c>
      <c r="I491" s="335">
        <f t="shared" si="164"/>
        <v>36207</v>
      </c>
      <c r="J491" s="345">
        <v>36208</v>
      </c>
      <c r="K491" s="317">
        <f t="shared" si="161"/>
        <v>1</v>
      </c>
      <c r="M491" s="346">
        <v>3.0089999999999999E-2</v>
      </c>
      <c r="N491" s="339">
        <f>ROUND(((N490*SUM($K$10:K490))+(M491*K491))/SUM($K$10:K491),5)</f>
        <v>3.2840000000000001E-2</v>
      </c>
      <c r="O491" s="348">
        <v>96.8</v>
      </c>
      <c r="S491" s="317">
        <f t="shared" si="166"/>
        <v>0</v>
      </c>
      <c r="U491" s="346"/>
      <c r="BB491" s="352"/>
      <c r="BF491" s="345"/>
      <c r="BP491" s="345"/>
      <c r="BR491" s="347"/>
      <c r="BS491" s="337"/>
      <c r="CH491" s="337">
        <f t="shared" si="163"/>
        <v>0</v>
      </c>
      <c r="CL491" s="335">
        <f t="shared" si="162"/>
        <v>39541</v>
      </c>
      <c r="CM491" s="361">
        <v>39548</v>
      </c>
      <c r="CN491" s="317">
        <f t="shared" si="156"/>
        <v>7</v>
      </c>
      <c r="CO491" s="368">
        <v>1.89E-2</v>
      </c>
      <c r="CP491" s="346">
        <f t="shared" si="157"/>
        <v>0.1323</v>
      </c>
      <c r="CQ491" s="367">
        <v>2.0653299999999999E-2</v>
      </c>
      <c r="CR491" s="337">
        <f t="shared" si="165"/>
        <v>32918.0308</v>
      </c>
      <c r="CV491" s="337">
        <f t="shared" si="160"/>
        <v>30206.1</v>
      </c>
    </row>
    <row r="492" spans="2:100" hidden="1" x14ac:dyDescent="0.25">
      <c r="B492" s="345"/>
      <c r="E492" s="346"/>
      <c r="F492" s="339">
        <f>ROUND(((F491*SUM($C$10:C491))+(E492*C492))/SUM($C$10:C492),5)</f>
        <v>3.3489999999999999E-2</v>
      </c>
      <c r="I492" s="335">
        <f t="shared" si="164"/>
        <v>36208</v>
      </c>
      <c r="J492" s="345">
        <v>36210</v>
      </c>
      <c r="K492" s="317">
        <f t="shared" si="161"/>
        <v>2</v>
      </c>
      <c r="M492" s="346">
        <v>3.0040000000000001E-2</v>
      </c>
      <c r="N492" s="339">
        <f>ROUND(((N491*SUM($K$10:K491))+(M492*K492))/SUM($K$10:K492),5)</f>
        <v>3.2840000000000001E-2</v>
      </c>
      <c r="O492" s="348">
        <v>93.8</v>
      </c>
      <c r="S492" s="317">
        <f t="shared" si="166"/>
        <v>0</v>
      </c>
      <c r="U492" s="346"/>
      <c r="BB492" s="352"/>
      <c r="BF492" s="345"/>
      <c r="BP492" s="345"/>
      <c r="BR492" s="347"/>
      <c r="BS492" s="337"/>
      <c r="CH492" s="337">
        <f t="shared" si="163"/>
        <v>0</v>
      </c>
      <c r="CL492" s="335">
        <f t="shared" si="162"/>
        <v>39548</v>
      </c>
      <c r="CM492" s="361">
        <v>39555</v>
      </c>
      <c r="CN492" s="317">
        <f t="shared" si="156"/>
        <v>7</v>
      </c>
      <c r="CO492" s="368">
        <v>1.8000000000000002E-2</v>
      </c>
      <c r="CP492" s="346">
        <f t="shared" si="157"/>
        <v>0.126</v>
      </c>
      <c r="CQ492" s="367">
        <v>2.0653299999999999E-2</v>
      </c>
      <c r="CR492" s="337">
        <f t="shared" si="165"/>
        <v>32918.0308</v>
      </c>
      <c r="CV492" s="337">
        <f t="shared" si="160"/>
        <v>28767.7</v>
      </c>
    </row>
    <row r="493" spans="2:100" hidden="1" x14ac:dyDescent="0.25">
      <c r="B493" s="345"/>
      <c r="E493" s="346"/>
      <c r="F493" s="339">
        <f>ROUND(((F492*SUM($C$10:C492))+(E493*C493))/SUM($C$10:C493),5)</f>
        <v>3.3489999999999999E-2</v>
      </c>
      <c r="I493" s="335">
        <f t="shared" si="164"/>
        <v>36210</v>
      </c>
      <c r="J493" s="345">
        <v>36213</v>
      </c>
      <c r="K493" s="317">
        <f t="shared" si="161"/>
        <v>3</v>
      </c>
      <c r="M493" s="346">
        <v>2.989E-2</v>
      </c>
      <c r="N493" s="339">
        <f>ROUND(((N492*SUM($K$10:K492))+(M493*K493))/SUM($K$10:K493),5)</f>
        <v>3.2840000000000001E-2</v>
      </c>
      <c r="O493" s="348">
        <v>75.3</v>
      </c>
      <c r="S493" s="317">
        <f t="shared" si="166"/>
        <v>0</v>
      </c>
      <c r="U493" s="346"/>
      <c r="BB493" s="352"/>
      <c r="BF493" s="345"/>
      <c r="BP493" s="345"/>
      <c r="BR493" s="347"/>
      <c r="BS493" s="337"/>
      <c r="CH493" s="337">
        <f t="shared" si="163"/>
        <v>0</v>
      </c>
      <c r="CL493" s="335">
        <f t="shared" si="162"/>
        <v>39555</v>
      </c>
      <c r="CM493" s="361">
        <v>39562</v>
      </c>
      <c r="CN493" s="317">
        <f t="shared" si="156"/>
        <v>7</v>
      </c>
      <c r="CO493" s="368">
        <v>2.1000000000000001E-2</v>
      </c>
      <c r="CP493" s="346">
        <f t="shared" si="157"/>
        <v>0.14700000000000002</v>
      </c>
      <c r="CQ493" s="367">
        <v>2.0653299999999999E-2</v>
      </c>
      <c r="CR493" s="337">
        <f t="shared" si="165"/>
        <v>32918.0308</v>
      </c>
      <c r="CV493" s="337">
        <f t="shared" si="160"/>
        <v>33562.300000000003</v>
      </c>
    </row>
    <row r="494" spans="2:100" hidden="1" x14ac:dyDescent="0.25">
      <c r="B494" s="345"/>
      <c r="E494" s="346"/>
      <c r="F494" s="339">
        <f>ROUND(((F493*SUM($C$10:C493))+(E494*C494))/SUM($C$10:C494),5)</f>
        <v>3.3489999999999999E-2</v>
      </c>
      <c r="I494" s="335">
        <f t="shared" si="164"/>
        <v>36213</v>
      </c>
      <c r="J494" s="345">
        <v>36215</v>
      </c>
      <c r="K494" s="317">
        <f t="shared" si="161"/>
        <v>2</v>
      </c>
      <c r="M494" s="346">
        <v>2.9780000000000001E-2</v>
      </c>
      <c r="N494" s="339">
        <f>ROUND(((N493*SUM($K$10:K493))+(M494*K494))/SUM($K$10:K494),5)</f>
        <v>3.2840000000000001E-2</v>
      </c>
      <c r="O494" s="348">
        <v>79.599999999999994</v>
      </c>
      <c r="S494" s="317">
        <f t="shared" si="166"/>
        <v>0</v>
      </c>
      <c r="U494" s="346"/>
      <c r="BB494" s="352"/>
      <c r="BF494" s="345"/>
      <c r="BP494" s="345"/>
      <c r="BR494" s="347"/>
      <c r="BS494" s="337"/>
      <c r="CH494" s="337">
        <f t="shared" si="163"/>
        <v>0</v>
      </c>
      <c r="CL494" s="335">
        <f t="shared" si="162"/>
        <v>39562</v>
      </c>
      <c r="CM494" s="361">
        <v>39569</v>
      </c>
      <c r="CN494" s="317">
        <f t="shared" si="156"/>
        <v>7</v>
      </c>
      <c r="CO494" s="368">
        <v>2.4300000000000002E-2</v>
      </c>
      <c r="CP494" s="346">
        <f t="shared" si="157"/>
        <v>0.17010000000000003</v>
      </c>
      <c r="CQ494" s="365">
        <v>2.0653299999999999E-2</v>
      </c>
      <c r="CR494" s="337">
        <f t="shared" si="165"/>
        <v>32918.0308</v>
      </c>
      <c r="CS494" s="337">
        <f>(ROUND(SUM(CR490:CR494),2))</f>
        <v>141077.28</v>
      </c>
      <c r="CT494" s="337">
        <f>ROUND($CR$5*0.05495*30/360,2)</f>
        <v>381604.85</v>
      </c>
      <c r="CU494" s="366">
        <f>CS494-CT494</f>
        <v>-240527.56999999998</v>
      </c>
      <c r="CV494" s="337">
        <f t="shared" si="160"/>
        <v>38836.400000000001</v>
      </c>
    </row>
    <row r="495" spans="2:100" hidden="1" x14ac:dyDescent="0.25">
      <c r="B495" s="345"/>
      <c r="E495" s="346"/>
      <c r="F495" s="339">
        <f>ROUND(((F494*SUM($C$10:C494))+(E495*C495))/SUM($C$10:C495),5)</f>
        <v>3.3489999999999999E-2</v>
      </c>
      <c r="I495" s="335">
        <f t="shared" si="164"/>
        <v>36215</v>
      </c>
      <c r="J495" s="345">
        <v>36217</v>
      </c>
      <c r="K495" s="317">
        <f t="shared" si="161"/>
        <v>2</v>
      </c>
      <c r="M495" s="346">
        <v>2.989E-2</v>
      </c>
      <c r="N495" s="339">
        <f>ROUND(((N494*SUM($K$10:K494))+(M495*K495))/SUM($K$10:K495),5)</f>
        <v>3.2840000000000001E-2</v>
      </c>
      <c r="O495" s="348">
        <v>84.9</v>
      </c>
      <c r="S495" s="317">
        <f t="shared" si="166"/>
        <v>0</v>
      </c>
      <c r="U495" s="346"/>
      <c r="BB495" s="352"/>
      <c r="BF495" s="345"/>
      <c r="BP495" s="345"/>
      <c r="BR495" s="347"/>
      <c r="BS495" s="337"/>
      <c r="CH495" s="337">
        <f t="shared" si="163"/>
        <v>0</v>
      </c>
      <c r="CL495" s="335">
        <f t="shared" si="162"/>
        <v>39569</v>
      </c>
      <c r="CM495" s="361">
        <v>39576</v>
      </c>
      <c r="CN495" s="317">
        <f t="shared" si="156"/>
        <v>7</v>
      </c>
      <c r="CO495" s="368">
        <v>2.6699999999999998E-2</v>
      </c>
      <c r="CP495" s="346">
        <f t="shared" si="157"/>
        <v>0.18689999999999998</v>
      </c>
      <c r="CQ495" s="367">
        <v>2.0684399999999999E-2</v>
      </c>
      <c r="CR495" s="337">
        <f t="shared" ref="CR495:CR536" si="167">ROUND($CR$5*CQ495*CN495/366,6)</f>
        <v>32967.59923</v>
      </c>
      <c r="CV495" s="337">
        <f t="shared" si="160"/>
        <v>42672.1</v>
      </c>
    </row>
    <row r="496" spans="2:100" hidden="1" x14ac:dyDescent="0.25">
      <c r="B496" s="345"/>
      <c r="E496" s="346"/>
      <c r="F496" s="339">
        <f>ROUND(((F495*SUM($C$10:C495))+(E496*C496))/SUM($C$10:C496),5)</f>
        <v>3.3489999999999999E-2</v>
      </c>
      <c r="I496" s="335">
        <f t="shared" si="164"/>
        <v>36217</v>
      </c>
      <c r="J496" s="345">
        <v>36220</v>
      </c>
      <c r="K496" s="317">
        <f t="shared" si="161"/>
        <v>3</v>
      </c>
      <c r="M496" s="346">
        <v>2.9950000000000001E-2</v>
      </c>
      <c r="N496" s="339">
        <f>ROUND(((N495*SUM($K$10:K495))+(M496*K496))/SUM($K$10:K496),5)</f>
        <v>3.2840000000000001E-2</v>
      </c>
      <c r="O496" s="348">
        <v>85.7</v>
      </c>
      <c r="S496" s="317">
        <f t="shared" si="166"/>
        <v>0</v>
      </c>
      <c r="U496" s="346"/>
      <c r="BB496" s="352"/>
      <c r="BF496" s="345"/>
      <c r="BP496" s="345"/>
      <c r="BR496" s="347"/>
      <c r="BS496" s="337"/>
      <c r="CH496" s="337">
        <f t="shared" si="163"/>
        <v>0</v>
      </c>
      <c r="CL496" s="335">
        <f t="shared" si="162"/>
        <v>39576</v>
      </c>
      <c r="CM496" s="361">
        <v>39583</v>
      </c>
      <c r="CN496" s="317">
        <f t="shared" si="156"/>
        <v>7</v>
      </c>
      <c r="CO496" s="368">
        <v>2.3300000000000001E-2</v>
      </c>
      <c r="CP496" s="346">
        <f t="shared" si="157"/>
        <v>0.16310000000000002</v>
      </c>
      <c r="CQ496" s="367">
        <v>2.0684399999999999E-2</v>
      </c>
      <c r="CR496" s="337">
        <f t="shared" si="167"/>
        <v>32967.59923</v>
      </c>
      <c r="CV496" s="337">
        <f t="shared" si="160"/>
        <v>37238.199999999997</v>
      </c>
    </row>
    <row r="497" spans="2:100" hidden="1" x14ac:dyDescent="0.25">
      <c r="B497" s="345"/>
      <c r="E497" s="346"/>
      <c r="F497" s="339">
        <f>ROUND(((F496*SUM($C$10:C496))+(E497*C497))/SUM($C$10:C497),5)</f>
        <v>3.3489999999999999E-2</v>
      </c>
      <c r="I497" s="335">
        <f t="shared" si="164"/>
        <v>36220</v>
      </c>
      <c r="J497" s="345">
        <v>36228</v>
      </c>
      <c r="K497" s="317">
        <f t="shared" si="161"/>
        <v>8</v>
      </c>
      <c r="M497" s="346">
        <v>2.9399999999999999E-2</v>
      </c>
      <c r="N497" s="339">
        <f>ROUND(((N496*SUM($K$10:K496))+(M497*K497))/SUM($K$10:K497),5)</f>
        <v>3.2829999999999998E-2</v>
      </c>
      <c r="O497" s="348">
        <v>75.7</v>
      </c>
      <c r="S497" s="317">
        <f t="shared" si="166"/>
        <v>0</v>
      </c>
      <c r="U497" s="346"/>
      <c r="BB497" s="352"/>
      <c r="BF497" s="345"/>
      <c r="BP497" s="345"/>
      <c r="BR497" s="347"/>
      <c r="BS497" s="337"/>
      <c r="CH497" s="337">
        <f t="shared" si="163"/>
        <v>0</v>
      </c>
      <c r="CL497" s="335">
        <f t="shared" si="162"/>
        <v>39583</v>
      </c>
      <c r="CM497" s="361">
        <v>39590</v>
      </c>
      <c r="CN497" s="317">
        <f t="shared" ref="CN497:CN568" si="168">CM497-CL497</f>
        <v>7</v>
      </c>
      <c r="CO497" s="368">
        <v>1.83E-2</v>
      </c>
      <c r="CP497" s="346">
        <f t="shared" si="157"/>
        <v>0.12809999999999999</v>
      </c>
      <c r="CQ497" s="367">
        <v>2.0684399999999999E-2</v>
      </c>
      <c r="CR497" s="337">
        <f t="shared" si="167"/>
        <v>32967.59923</v>
      </c>
      <c r="CV497" s="337">
        <f t="shared" si="160"/>
        <v>29247.200000000001</v>
      </c>
    </row>
    <row r="498" spans="2:100" hidden="1" x14ac:dyDescent="0.25">
      <c r="B498" s="345"/>
      <c r="E498" s="346"/>
      <c r="F498" s="339">
        <f>ROUND(((F497*SUM($C$10:C497))+(E498*C498))/SUM($C$10:C498),5)</f>
        <v>3.3489999999999999E-2</v>
      </c>
      <c r="I498" s="335">
        <f t="shared" si="164"/>
        <v>36228</v>
      </c>
      <c r="J498" s="345">
        <v>36229</v>
      </c>
      <c r="K498" s="317">
        <f t="shared" si="161"/>
        <v>1</v>
      </c>
      <c r="M498" s="346">
        <v>2.9399999999999999E-2</v>
      </c>
      <c r="N498" s="339">
        <f>ROUND(((N497*SUM($K$10:K497))+(M498*K498))/SUM($K$10:K498),5)</f>
        <v>3.2829999999999998E-2</v>
      </c>
      <c r="O498" s="348">
        <v>77.099999999999994</v>
      </c>
      <c r="S498" s="317">
        <f t="shared" si="166"/>
        <v>0</v>
      </c>
      <c r="U498" s="346"/>
      <c r="BB498" s="352"/>
      <c r="BF498" s="345"/>
      <c r="BP498" s="345"/>
      <c r="BR498" s="347"/>
      <c r="BS498" s="337"/>
      <c r="CH498" s="337">
        <f t="shared" si="163"/>
        <v>0</v>
      </c>
      <c r="CL498" s="335">
        <f t="shared" si="162"/>
        <v>39590</v>
      </c>
      <c r="CM498" s="361">
        <v>39597</v>
      </c>
      <c r="CN498" s="317">
        <f t="shared" si="168"/>
        <v>7</v>
      </c>
      <c r="CO498" s="368">
        <v>1.7000000000000001E-2</v>
      </c>
      <c r="CP498" s="346">
        <f t="shared" si="157"/>
        <v>0.11900000000000001</v>
      </c>
      <c r="CQ498" s="367">
        <v>2.0684399999999999E-2</v>
      </c>
      <c r="CR498" s="337">
        <f t="shared" si="167"/>
        <v>32967.59923</v>
      </c>
      <c r="CV498" s="337">
        <f t="shared" si="160"/>
        <v>27169.5</v>
      </c>
    </row>
    <row r="499" spans="2:100" hidden="1" x14ac:dyDescent="0.25">
      <c r="B499" s="345"/>
      <c r="E499" s="346"/>
      <c r="F499" s="339">
        <f>ROUND(((F498*SUM($C$10:C498))+(E499*C499))/SUM($C$10:C499),5)</f>
        <v>3.3489999999999999E-2</v>
      </c>
      <c r="I499" s="335">
        <f t="shared" si="164"/>
        <v>36229</v>
      </c>
      <c r="J499" s="345">
        <v>36230</v>
      </c>
      <c r="K499" s="317">
        <f t="shared" si="161"/>
        <v>1</v>
      </c>
      <c r="M499" s="346">
        <v>2.929E-2</v>
      </c>
      <c r="N499" s="339">
        <f>ROUND(((N498*SUM($K$10:K498))+(M499*K499))/SUM($K$10:K499),5)</f>
        <v>3.2829999999999998E-2</v>
      </c>
      <c r="O499" s="348">
        <v>70.3</v>
      </c>
      <c r="S499" s="317">
        <f t="shared" si="166"/>
        <v>0</v>
      </c>
      <c r="U499" s="346"/>
      <c r="BB499" s="352"/>
      <c r="BF499" s="345"/>
      <c r="BP499" s="345"/>
      <c r="BR499" s="347"/>
      <c r="BS499" s="337"/>
      <c r="CH499" s="337">
        <f t="shared" si="163"/>
        <v>0</v>
      </c>
      <c r="CL499" s="335">
        <f t="shared" si="162"/>
        <v>39597</v>
      </c>
      <c r="CM499" s="361">
        <v>39601</v>
      </c>
      <c r="CN499" s="317">
        <f t="shared" si="168"/>
        <v>4</v>
      </c>
      <c r="CO499" s="368">
        <v>1.6200000000000003E-2</v>
      </c>
      <c r="CP499" s="346">
        <f t="shared" si="157"/>
        <v>6.480000000000001E-2</v>
      </c>
      <c r="CQ499" s="365">
        <f>ROUND(SUM(CP495:CP499)/32,7)</f>
        <v>2.0684399999999999E-2</v>
      </c>
      <c r="CR499" s="337">
        <f t="shared" si="167"/>
        <v>18838.628131000001</v>
      </c>
      <c r="CS499" s="337">
        <f>(ROUND(SUM(CR495:CR499),2))</f>
        <v>150709.03</v>
      </c>
      <c r="CT499" s="337">
        <f>ROUND($CR$5*0.05495*31/360,2)</f>
        <v>394325.02</v>
      </c>
      <c r="CU499" s="366">
        <f>CS499-CT499</f>
        <v>-243615.99000000002</v>
      </c>
      <c r="CV499" s="337">
        <f t="shared" si="160"/>
        <v>14794.8</v>
      </c>
    </row>
    <row r="500" spans="2:100" hidden="1" x14ac:dyDescent="0.25">
      <c r="B500" s="345"/>
      <c r="E500" s="346"/>
      <c r="F500" s="339">
        <f>ROUND(((F499*SUM($C$10:C499))+(E500*C500))/SUM($C$10:C500),5)</f>
        <v>3.3489999999999999E-2</v>
      </c>
      <c r="I500" s="335">
        <f t="shared" si="164"/>
        <v>36230</v>
      </c>
      <c r="J500" s="345">
        <v>36234</v>
      </c>
      <c r="K500" s="317">
        <f t="shared" si="161"/>
        <v>4</v>
      </c>
      <c r="M500" s="346">
        <v>2.9309999999999999E-2</v>
      </c>
      <c r="N500" s="339">
        <f>ROUND(((N499*SUM($K$10:K499))+(M500*K500))/SUM($K$10:K500),5)</f>
        <v>3.2820000000000002E-2</v>
      </c>
      <c r="O500" s="348">
        <v>70.599999999999994</v>
      </c>
      <c r="S500" s="317">
        <f t="shared" si="166"/>
        <v>0</v>
      </c>
      <c r="U500" s="346"/>
      <c r="BB500" s="352"/>
      <c r="BF500" s="345"/>
      <c r="BP500" s="345"/>
      <c r="BR500" s="347"/>
      <c r="BS500" s="337"/>
      <c r="CH500" s="337">
        <f t="shared" si="163"/>
        <v>0</v>
      </c>
      <c r="CL500" s="335">
        <f t="shared" si="162"/>
        <v>39601</v>
      </c>
      <c r="CM500" s="361">
        <v>39604</v>
      </c>
      <c r="CN500" s="317">
        <f t="shared" si="168"/>
        <v>3</v>
      </c>
      <c r="CO500" s="368">
        <v>1.6200000000000003E-2</v>
      </c>
      <c r="CP500" s="346">
        <f t="shared" si="157"/>
        <v>4.8600000000000004E-2</v>
      </c>
      <c r="CQ500" s="365">
        <v>1.58862E-2</v>
      </c>
      <c r="CR500" s="337">
        <f t="shared" si="167"/>
        <v>10851.446533</v>
      </c>
      <c r="CV500" s="337">
        <f t="shared" si="160"/>
        <v>11096.1</v>
      </c>
    </row>
    <row r="501" spans="2:100" hidden="1" x14ac:dyDescent="0.25">
      <c r="B501" s="345"/>
      <c r="E501" s="346"/>
      <c r="F501" s="339">
        <f>ROUND(((F500*SUM($C$10:C500))+(E501*C501))/SUM($C$10:C501),5)</f>
        <v>3.3489999999999999E-2</v>
      </c>
      <c r="I501" s="335">
        <f t="shared" si="164"/>
        <v>36234</v>
      </c>
      <c r="J501" s="345">
        <v>36236</v>
      </c>
      <c r="K501" s="317">
        <f t="shared" si="161"/>
        <v>2</v>
      </c>
      <c r="M501" s="346">
        <v>2.9409999999999999E-2</v>
      </c>
      <c r="N501" s="339">
        <f>ROUND(((N500*SUM($K$10:K500))+(M501*K501))/SUM($K$10:K501),5)</f>
        <v>3.2820000000000002E-2</v>
      </c>
      <c r="O501" s="348">
        <v>70.900000000000006</v>
      </c>
      <c r="S501" s="317">
        <f t="shared" si="166"/>
        <v>0</v>
      </c>
      <c r="U501" s="346"/>
      <c r="BB501" s="352"/>
      <c r="BF501" s="345"/>
      <c r="BP501" s="345"/>
      <c r="BR501" s="347"/>
      <c r="BS501" s="337"/>
      <c r="CH501" s="337">
        <f t="shared" si="163"/>
        <v>0</v>
      </c>
      <c r="CL501" s="335">
        <f t="shared" si="162"/>
        <v>39604</v>
      </c>
      <c r="CM501" s="361">
        <v>39611</v>
      </c>
      <c r="CN501" s="317">
        <f t="shared" si="168"/>
        <v>7</v>
      </c>
      <c r="CO501" s="368">
        <v>1.4800000000000001E-2</v>
      </c>
      <c r="CP501" s="346">
        <f t="shared" si="157"/>
        <v>0.1036</v>
      </c>
      <c r="CQ501" s="365">
        <v>1.58862E-2</v>
      </c>
      <c r="CR501" s="337">
        <f t="shared" si="167"/>
        <v>25320.04191</v>
      </c>
      <c r="CV501" s="337">
        <f t="shared" si="160"/>
        <v>23653.4</v>
      </c>
    </row>
    <row r="502" spans="2:100" hidden="1" x14ac:dyDescent="0.25">
      <c r="B502" s="345"/>
      <c r="E502" s="346"/>
      <c r="F502" s="339">
        <f>ROUND(((F501*SUM($C$10:C501))+(E502*C502))/SUM($C$10:C502),5)</f>
        <v>3.3489999999999999E-2</v>
      </c>
      <c r="I502" s="335">
        <f t="shared" si="164"/>
        <v>36236</v>
      </c>
      <c r="J502" s="345">
        <v>36237</v>
      </c>
      <c r="K502" s="317">
        <f t="shared" si="161"/>
        <v>1</v>
      </c>
      <c r="M502" s="346">
        <v>2.9420000000000002E-2</v>
      </c>
      <c r="N502" s="339">
        <f>ROUND(((N501*SUM($K$10:K501))+(M502*K502))/SUM($K$10:K502),5)</f>
        <v>3.2820000000000002E-2</v>
      </c>
      <c r="O502" s="348">
        <v>71.5</v>
      </c>
      <c r="S502" s="317">
        <f t="shared" si="166"/>
        <v>0</v>
      </c>
      <c r="U502" s="346"/>
      <c r="BB502" s="352"/>
      <c r="BF502" s="345"/>
      <c r="BP502" s="345"/>
      <c r="BR502" s="347"/>
      <c r="BS502" s="337"/>
      <c r="CH502" s="337">
        <f t="shared" si="163"/>
        <v>0</v>
      </c>
      <c r="CL502" s="335">
        <f t="shared" si="162"/>
        <v>39611</v>
      </c>
      <c r="CM502" s="361">
        <v>39618</v>
      </c>
      <c r="CN502" s="317">
        <f t="shared" si="168"/>
        <v>7</v>
      </c>
      <c r="CO502" s="368">
        <v>1.6399999999999998E-2</v>
      </c>
      <c r="CP502" s="346">
        <f t="shared" si="157"/>
        <v>0.11479999999999999</v>
      </c>
      <c r="CQ502" s="365">
        <v>1.58862E-2</v>
      </c>
      <c r="CR502" s="337">
        <f t="shared" si="167"/>
        <v>25320.04191</v>
      </c>
      <c r="CV502" s="337">
        <f t="shared" si="160"/>
        <v>26210.6</v>
      </c>
    </row>
    <row r="503" spans="2:100" hidden="1" x14ac:dyDescent="0.25">
      <c r="B503" s="345"/>
      <c r="E503" s="346"/>
      <c r="F503" s="339">
        <f>ROUND(((F502*SUM($C$10:C502))+(E503*C503))/SUM($C$10:C503),5)</f>
        <v>3.3489999999999999E-2</v>
      </c>
      <c r="I503" s="335">
        <f t="shared" si="164"/>
        <v>36237</v>
      </c>
      <c r="J503" s="345">
        <v>36244</v>
      </c>
      <c r="K503" s="317">
        <f t="shared" si="161"/>
        <v>7</v>
      </c>
      <c r="M503" s="346">
        <v>2.9819999999999999E-2</v>
      </c>
      <c r="N503" s="339">
        <f>ROUND(((N502*SUM($K$10:K502))+(M503*K503))/SUM($K$10:K503),5)</f>
        <v>3.2809999999999999E-2</v>
      </c>
      <c r="O503" s="348">
        <v>86</v>
      </c>
      <c r="S503" s="317">
        <f t="shared" si="166"/>
        <v>0</v>
      </c>
      <c r="U503" s="346"/>
      <c r="BB503" s="352"/>
      <c r="BF503" s="345"/>
      <c r="BP503" s="345"/>
      <c r="BR503" s="347"/>
      <c r="BS503" s="337"/>
      <c r="CH503" s="337">
        <f t="shared" si="163"/>
        <v>0</v>
      </c>
      <c r="CL503" s="335">
        <f t="shared" si="162"/>
        <v>39618</v>
      </c>
      <c r="CM503" s="361">
        <v>39625</v>
      </c>
      <c r="CN503" s="317">
        <f t="shared" si="168"/>
        <v>7</v>
      </c>
      <c r="CO503" s="368">
        <v>1.66E-2</v>
      </c>
      <c r="CP503" s="346">
        <f t="shared" si="157"/>
        <v>0.1162</v>
      </c>
      <c r="CQ503" s="365">
        <v>1.58862E-2</v>
      </c>
      <c r="CR503" s="337">
        <f t="shared" si="167"/>
        <v>25320.04191</v>
      </c>
      <c r="CV503" s="337">
        <f t="shared" si="160"/>
        <v>26530.2</v>
      </c>
    </row>
    <row r="504" spans="2:100" hidden="1" x14ac:dyDescent="0.25">
      <c r="B504" s="345"/>
      <c r="E504" s="346"/>
      <c r="F504" s="339">
        <f>ROUND(((F503*SUM($C$10:C503))+(E504*C504))/SUM($C$10:C504),5)</f>
        <v>3.3489999999999999E-2</v>
      </c>
      <c r="I504" s="335">
        <f t="shared" si="164"/>
        <v>36244</v>
      </c>
      <c r="J504" s="345">
        <v>36248</v>
      </c>
      <c r="K504" s="317">
        <f t="shared" si="161"/>
        <v>4</v>
      </c>
      <c r="M504" s="346">
        <v>3.022E-2</v>
      </c>
      <c r="N504" s="339">
        <f>ROUND(((N503*SUM($K$10:K503))+(M504*K504))/SUM($K$10:K504),5)</f>
        <v>3.2809999999999999E-2</v>
      </c>
      <c r="O504" s="348">
        <v>100.5</v>
      </c>
      <c r="S504" s="317">
        <f t="shared" si="166"/>
        <v>0</v>
      </c>
      <c r="U504" s="346"/>
      <c r="BB504" s="352"/>
      <c r="BF504" s="345"/>
      <c r="BP504" s="345"/>
      <c r="BR504" s="347"/>
      <c r="BS504" s="337"/>
      <c r="CH504" s="337">
        <f t="shared" si="163"/>
        <v>0</v>
      </c>
      <c r="CL504" s="335">
        <f t="shared" si="162"/>
        <v>39625</v>
      </c>
      <c r="CM504" s="361">
        <v>39630</v>
      </c>
      <c r="CN504" s="317">
        <f t="shared" si="168"/>
        <v>5</v>
      </c>
      <c r="CO504" s="368">
        <v>1.55E-2</v>
      </c>
      <c r="CP504" s="346">
        <f t="shared" si="157"/>
        <v>7.7499999999999999E-2</v>
      </c>
      <c r="CQ504" s="365">
        <f>ROUND(SUM(CP500:CP504)/29,7)</f>
        <v>1.58862E-2</v>
      </c>
      <c r="CR504" s="337">
        <f t="shared" si="167"/>
        <v>18085.744221000001</v>
      </c>
      <c r="CS504" s="337">
        <f>(ROUND(SUM(CR500:CR504),2))</f>
        <v>104897.32</v>
      </c>
      <c r="CT504" s="337">
        <f>ROUND($CR$5*0.05495*29/360,2)</f>
        <v>368884.69</v>
      </c>
      <c r="CU504" s="366">
        <f>CS504-CT504</f>
        <v>-263987.37</v>
      </c>
      <c r="CV504" s="337">
        <f t="shared" si="160"/>
        <v>17694.400000000001</v>
      </c>
    </row>
    <row r="505" spans="2:100" hidden="1" x14ac:dyDescent="0.25">
      <c r="B505" s="345"/>
      <c r="E505" s="346"/>
      <c r="I505" s="335">
        <f t="shared" si="164"/>
        <v>36248</v>
      </c>
      <c r="J505" s="345">
        <v>36256</v>
      </c>
      <c r="K505" s="317">
        <f t="shared" si="161"/>
        <v>8</v>
      </c>
      <c r="M505" s="346">
        <v>3.0339999999999999E-2</v>
      </c>
      <c r="N505" s="339">
        <f>ROUND(((N504*SUM($K$10:K504))+(M505*K505))/SUM($K$10:K505),5)</f>
        <v>3.2800000000000003E-2</v>
      </c>
      <c r="O505" s="348">
        <v>106.3</v>
      </c>
      <c r="S505" s="317">
        <f t="shared" si="166"/>
        <v>0</v>
      </c>
      <c r="U505" s="346"/>
      <c r="BB505" s="352"/>
      <c r="BF505" s="345"/>
      <c r="BP505" s="345"/>
      <c r="BR505" s="347"/>
      <c r="BS505" s="337"/>
      <c r="CH505" s="337">
        <f t="shared" si="163"/>
        <v>0</v>
      </c>
      <c r="CL505" s="335">
        <f t="shared" si="162"/>
        <v>39630</v>
      </c>
      <c r="CM505" s="361">
        <v>39632</v>
      </c>
      <c r="CN505" s="317">
        <f t="shared" si="168"/>
        <v>2</v>
      </c>
      <c r="CO505" s="368">
        <v>1.55E-2</v>
      </c>
      <c r="CP505" s="346">
        <f t="shared" si="157"/>
        <v>3.1E-2</v>
      </c>
      <c r="CQ505" s="367">
        <v>1.66258E-2</v>
      </c>
      <c r="CR505" s="337">
        <f t="shared" si="167"/>
        <v>7571.0985959999998</v>
      </c>
      <c r="CV505" s="337">
        <f t="shared" si="160"/>
        <v>7077.8</v>
      </c>
    </row>
    <row r="506" spans="2:100" hidden="1" x14ac:dyDescent="0.25">
      <c r="B506" s="345"/>
      <c r="E506" s="346"/>
      <c r="I506" s="335">
        <f t="shared" si="164"/>
        <v>36256</v>
      </c>
      <c r="J506" s="345">
        <v>36257</v>
      </c>
      <c r="K506" s="317">
        <f t="shared" si="161"/>
        <v>1</v>
      </c>
      <c r="M506" s="346">
        <v>3.0439999999999998E-2</v>
      </c>
      <c r="N506" s="339">
        <f>ROUND(((N505*SUM($K$10:K505))+(M506*K506))/SUM($K$10:K506),5)</f>
        <v>3.2800000000000003E-2</v>
      </c>
      <c r="O506" s="348">
        <v>106.4</v>
      </c>
      <c r="S506" s="317">
        <f t="shared" si="166"/>
        <v>0</v>
      </c>
      <c r="U506" s="346"/>
      <c r="BB506" s="352"/>
      <c r="BF506" s="345"/>
      <c r="BP506" s="345"/>
      <c r="BR506" s="347"/>
      <c r="BS506" s="337"/>
      <c r="CH506" s="337">
        <f t="shared" si="163"/>
        <v>0</v>
      </c>
      <c r="CL506" s="335">
        <f t="shared" si="162"/>
        <v>39632</v>
      </c>
      <c r="CM506" s="361">
        <v>39639</v>
      </c>
      <c r="CN506" s="317">
        <f t="shared" si="168"/>
        <v>7</v>
      </c>
      <c r="CO506" s="368">
        <v>1.3999999999999999E-2</v>
      </c>
      <c r="CP506" s="346">
        <f t="shared" si="157"/>
        <v>9.799999999999999E-2</v>
      </c>
      <c r="CQ506" s="367">
        <v>1.66258E-2</v>
      </c>
      <c r="CR506" s="337">
        <f t="shared" si="167"/>
        <v>26498.845085000001</v>
      </c>
      <c r="CV506" s="337">
        <f t="shared" si="160"/>
        <v>22374.9</v>
      </c>
    </row>
    <row r="507" spans="2:100" hidden="1" x14ac:dyDescent="0.25">
      <c r="B507" s="345"/>
      <c r="E507" s="346"/>
      <c r="I507" s="335">
        <f t="shared" si="164"/>
        <v>36257</v>
      </c>
      <c r="J507" s="345">
        <v>36258</v>
      </c>
      <c r="K507" s="317">
        <f t="shared" si="161"/>
        <v>1</v>
      </c>
      <c r="M507" s="346">
        <v>3.0460000000000001E-2</v>
      </c>
      <c r="N507" s="339">
        <f>ROUND(((N506*SUM($K$10:K506))+(M507*K507))/SUM($K$10:K507),5)</f>
        <v>3.2800000000000003E-2</v>
      </c>
      <c r="O507" s="348">
        <v>108.4</v>
      </c>
      <c r="S507" s="317">
        <f t="shared" si="166"/>
        <v>0</v>
      </c>
      <c r="U507" s="346"/>
      <c r="BB507" s="352"/>
      <c r="BF507" s="345"/>
      <c r="BP507" s="345"/>
      <c r="BR507" s="347"/>
      <c r="BS507" s="337"/>
      <c r="CH507" s="337">
        <f t="shared" si="163"/>
        <v>0</v>
      </c>
      <c r="CL507" s="335">
        <f t="shared" si="162"/>
        <v>39639</v>
      </c>
      <c r="CM507" s="361">
        <v>39646</v>
      </c>
      <c r="CN507" s="317">
        <f t="shared" si="168"/>
        <v>7</v>
      </c>
      <c r="CO507" s="368">
        <v>1.3600000000000001E-2</v>
      </c>
      <c r="CP507" s="346">
        <f t="shared" si="157"/>
        <v>9.5200000000000007E-2</v>
      </c>
      <c r="CQ507" s="367">
        <v>1.66258E-2</v>
      </c>
      <c r="CR507" s="337">
        <f t="shared" si="167"/>
        <v>26498.845085000001</v>
      </c>
      <c r="CV507" s="337">
        <f t="shared" si="160"/>
        <v>21735.599999999999</v>
      </c>
    </row>
    <row r="508" spans="2:100" hidden="1" x14ac:dyDescent="0.25">
      <c r="B508" s="345"/>
      <c r="E508" s="346"/>
      <c r="I508" s="335">
        <f t="shared" si="164"/>
        <v>36258</v>
      </c>
      <c r="J508" s="345">
        <v>36263</v>
      </c>
      <c r="K508" s="317">
        <f t="shared" si="161"/>
        <v>5</v>
      </c>
      <c r="M508" s="346">
        <v>3.0509999999999999E-2</v>
      </c>
      <c r="N508" s="339">
        <f>ROUND(((N507*SUM($K$10:K507))+(M508*K508))/SUM($K$10:K508),5)</f>
        <v>3.2800000000000003E-2</v>
      </c>
      <c r="O508" s="348">
        <v>106.5</v>
      </c>
      <c r="S508" s="317">
        <f t="shared" si="166"/>
        <v>0</v>
      </c>
      <c r="U508" s="346"/>
      <c r="BB508" s="352"/>
      <c r="BF508" s="345"/>
      <c r="BP508" s="345"/>
      <c r="BR508" s="347"/>
      <c r="BS508" s="337"/>
      <c r="CH508" s="337">
        <f t="shared" si="163"/>
        <v>0</v>
      </c>
      <c r="CL508" s="335">
        <f t="shared" si="162"/>
        <v>39646</v>
      </c>
      <c r="CM508" s="361">
        <v>39653</v>
      </c>
      <c r="CN508" s="317">
        <f t="shared" si="168"/>
        <v>7</v>
      </c>
      <c r="CO508" s="368">
        <v>1.49E-2</v>
      </c>
      <c r="CP508" s="346">
        <f t="shared" si="157"/>
        <v>0.1043</v>
      </c>
      <c r="CQ508" s="367">
        <v>1.66258E-2</v>
      </c>
      <c r="CR508" s="337">
        <f t="shared" si="167"/>
        <v>26498.845085000001</v>
      </c>
      <c r="CV508" s="337">
        <f t="shared" si="160"/>
        <v>23813.3</v>
      </c>
    </row>
    <row r="509" spans="2:100" hidden="1" x14ac:dyDescent="0.25">
      <c r="B509" s="345"/>
      <c r="E509" s="346"/>
      <c r="I509" s="335">
        <f t="shared" si="164"/>
        <v>36263</v>
      </c>
      <c r="J509" s="345">
        <v>36265</v>
      </c>
      <c r="K509" s="317">
        <f t="shared" si="161"/>
        <v>2</v>
      </c>
      <c r="M509" s="346">
        <v>3.0710000000000001E-2</v>
      </c>
      <c r="N509" s="339">
        <f>ROUND(((N508*SUM($K$10:K508))+(M509*K509))/SUM($K$10:K509),5)</f>
        <v>3.2800000000000003E-2</v>
      </c>
      <c r="O509" s="348">
        <v>103.9</v>
      </c>
      <c r="S509" s="317">
        <f t="shared" si="166"/>
        <v>0</v>
      </c>
      <c r="U509" s="346"/>
      <c r="BB509" s="352"/>
      <c r="BF509" s="345"/>
      <c r="BP509" s="345"/>
      <c r="BR509" s="347"/>
      <c r="BS509" s="337"/>
      <c r="CH509" s="337">
        <f t="shared" si="163"/>
        <v>0</v>
      </c>
      <c r="CL509" s="335">
        <f t="shared" si="162"/>
        <v>39653</v>
      </c>
      <c r="CM509" s="361">
        <v>39660</v>
      </c>
      <c r="CN509" s="317">
        <f t="shared" si="168"/>
        <v>7</v>
      </c>
      <c r="CO509" s="368">
        <v>2.35E-2</v>
      </c>
      <c r="CP509" s="346">
        <f t="shared" si="157"/>
        <v>0.16450000000000001</v>
      </c>
      <c r="CQ509" s="367">
        <v>1.66258E-2</v>
      </c>
      <c r="CR509" s="337">
        <f t="shared" si="167"/>
        <v>26498.845085000001</v>
      </c>
      <c r="CV509" s="337">
        <f t="shared" ref="CV509:CV574" si="169">ROUND($CR$5*CO509*CN509/365,1)</f>
        <v>37557.800000000003</v>
      </c>
    </row>
    <row r="510" spans="2:100" hidden="1" x14ac:dyDescent="0.25">
      <c r="B510" s="345"/>
      <c r="E510" s="346"/>
      <c r="I510" s="335">
        <f t="shared" si="164"/>
        <v>36265</v>
      </c>
      <c r="J510" s="345">
        <v>36290</v>
      </c>
      <c r="K510" s="317">
        <f t="shared" si="161"/>
        <v>25</v>
      </c>
      <c r="M510" s="346">
        <v>3.073E-2</v>
      </c>
      <c r="N510" s="339">
        <f>ROUND(((N509*SUM($K$10:K509))+(M510*K510))/SUM($K$10:K510),5)</f>
        <v>3.2779999999999997E-2</v>
      </c>
      <c r="O510" s="348">
        <v>104.1</v>
      </c>
      <c r="S510" s="317">
        <f t="shared" si="166"/>
        <v>0</v>
      </c>
      <c r="U510" s="346"/>
      <c r="BB510" s="352"/>
      <c r="BF510" s="345"/>
      <c r="BP510" s="345"/>
      <c r="BR510" s="347"/>
      <c r="BS510" s="337"/>
      <c r="CH510" s="337">
        <f t="shared" si="163"/>
        <v>0</v>
      </c>
      <c r="CL510" s="335">
        <f t="shared" si="162"/>
        <v>39660</v>
      </c>
      <c r="CM510" s="361">
        <v>39661</v>
      </c>
      <c r="CN510" s="317">
        <f t="shared" si="168"/>
        <v>1</v>
      </c>
      <c r="CO510" s="368">
        <v>2.2400000000000003E-2</v>
      </c>
      <c r="CP510" s="346">
        <f t="shared" si="157"/>
        <v>2.2400000000000003E-2</v>
      </c>
      <c r="CQ510" s="365">
        <f>ROUND(SUM(CP505:CP510)/31,7)</f>
        <v>1.66258E-2</v>
      </c>
      <c r="CR510" s="337">
        <f t="shared" si="167"/>
        <v>3785.5492979999999</v>
      </c>
      <c r="CS510" s="337">
        <f>(ROUND(SUM(CR505:CR510),2))</f>
        <v>117352.03</v>
      </c>
      <c r="CT510" s="337">
        <f>ROUND($CR$5*0.05495*30/360,2)</f>
        <v>381604.85</v>
      </c>
      <c r="CU510" s="366">
        <f>CS510-CT510</f>
        <v>-264252.81999999995</v>
      </c>
      <c r="CV510" s="337">
        <f t="shared" si="169"/>
        <v>5114.3</v>
      </c>
    </row>
    <row r="511" spans="2:100" hidden="1" x14ac:dyDescent="0.25">
      <c r="B511" s="345"/>
      <c r="E511" s="346"/>
      <c r="I511" s="335">
        <f t="shared" si="164"/>
        <v>36290</v>
      </c>
      <c r="J511" s="345">
        <v>36291</v>
      </c>
      <c r="K511" s="317">
        <f t="shared" si="161"/>
        <v>1</v>
      </c>
      <c r="M511" s="346">
        <v>3.0970000000000001E-2</v>
      </c>
      <c r="N511" s="339">
        <f>ROUND(((N510*SUM($K$10:K510))+(M511*K511))/SUM($K$10:K511),5)</f>
        <v>3.2779999999999997E-2</v>
      </c>
      <c r="O511" s="348">
        <v>105.1</v>
      </c>
      <c r="S511" s="317">
        <f t="shared" si="166"/>
        <v>0</v>
      </c>
      <c r="U511" s="346"/>
      <c r="BB511" s="352"/>
      <c r="BF511" s="345"/>
      <c r="BP511" s="345"/>
      <c r="BR511" s="347"/>
      <c r="BS511" s="337"/>
      <c r="CH511" s="337">
        <f t="shared" si="163"/>
        <v>0</v>
      </c>
      <c r="CL511" s="335">
        <f t="shared" si="162"/>
        <v>39661</v>
      </c>
      <c r="CM511" s="361">
        <v>39667</v>
      </c>
      <c r="CN511" s="317">
        <f t="shared" si="168"/>
        <v>6</v>
      </c>
      <c r="CO511" s="368">
        <v>2.2400000000000003E-2</v>
      </c>
      <c r="CP511" s="346">
        <f t="shared" si="157"/>
        <v>0.13440000000000002</v>
      </c>
      <c r="CQ511" s="365">
        <f>$CQ$515</f>
        <v>1.8275E-2</v>
      </c>
      <c r="CR511" s="337">
        <f t="shared" si="167"/>
        <v>24966.346311000001</v>
      </c>
      <c r="CV511" s="337">
        <f t="shared" si="169"/>
        <v>30685.5</v>
      </c>
    </row>
    <row r="512" spans="2:100" hidden="1" x14ac:dyDescent="0.25">
      <c r="B512" s="345"/>
      <c r="E512" s="346"/>
      <c r="I512" s="335">
        <f t="shared" si="164"/>
        <v>36291</v>
      </c>
      <c r="J512" s="345">
        <v>36297</v>
      </c>
      <c r="K512" s="317">
        <f t="shared" si="161"/>
        <v>6</v>
      </c>
      <c r="M512" s="346">
        <v>3.0980000000000001E-2</v>
      </c>
      <c r="N512" s="339">
        <f>ROUND(((N511*SUM($K$10:K511))+(M512*K512))/SUM($K$10:K512),5)</f>
        <v>3.2779999999999997E-2</v>
      </c>
      <c r="O512" s="348">
        <v>104.5</v>
      </c>
      <c r="S512" s="317">
        <f t="shared" si="166"/>
        <v>0</v>
      </c>
      <c r="U512" s="346"/>
      <c r="BB512" s="352"/>
      <c r="BF512" s="345"/>
      <c r="BP512" s="345"/>
      <c r="BR512" s="347"/>
      <c r="BS512" s="337"/>
      <c r="CH512" s="337">
        <f t="shared" si="163"/>
        <v>0</v>
      </c>
      <c r="CL512" s="335">
        <f t="shared" si="162"/>
        <v>39667</v>
      </c>
      <c r="CM512" s="361">
        <v>39674</v>
      </c>
      <c r="CN512" s="317">
        <f t="shared" si="168"/>
        <v>7</v>
      </c>
      <c r="CO512" s="368">
        <v>1.8000000000000002E-2</v>
      </c>
      <c r="CP512" s="346">
        <f t="shared" si="157"/>
        <v>0.126</v>
      </c>
      <c r="CQ512" s="365">
        <f>$CQ$515</f>
        <v>1.8275E-2</v>
      </c>
      <c r="CR512" s="337">
        <f t="shared" si="167"/>
        <v>29127.404030000002</v>
      </c>
      <c r="CV512" s="337">
        <f t="shared" si="169"/>
        <v>28767.7</v>
      </c>
    </row>
    <row r="513" spans="2:100" hidden="1" x14ac:dyDescent="0.25">
      <c r="B513" s="345"/>
      <c r="E513" s="346"/>
      <c r="I513" s="335">
        <f t="shared" si="164"/>
        <v>36297</v>
      </c>
      <c r="J513" s="345">
        <v>36300</v>
      </c>
      <c r="K513" s="317">
        <f t="shared" si="161"/>
        <v>3</v>
      </c>
      <c r="M513" s="346">
        <v>3.109E-2</v>
      </c>
      <c r="N513" s="339">
        <f>ROUND(((N512*SUM($K$10:K512))+(M513*K513))/SUM($K$10:K513),5)</f>
        <v>3.2779999999999997E-2</v>
      </c>
      <c r="O513" s="348">
        <v>102.7</v>
      </c>
      <c r="S513" s="317">
        <f t="shared" si="166"/>
        <v>0</v>
      </c>
      <c r="U513" s="346"/>
      <c r="BB513" s="352"/>
      <c r="BF513" s="345"/>
      <c r="BP513" s="345"/>
      <c r="BR513" s="347"/>
      <c r="BS513" s="337"/>
      <c r="CH513" s="337">
        <f t="shared" si="163"/>
        <v>0</v>
      </c>
      <c r="CL513" s="335">
        <f t="shared" si="162"/>
        <v>39674</v>
      </c>
      <c r="CM513" s="361">
        <v>39681</v>
      </c>
      <c r="CN513" s="317">
        <f t="shared" si="168"/>
        <v>7</v>
      </c>
      <c r="CO513" s="368">
        <v>1.66E-2</v>
      </c>
      <c r="CP513" s="346">
        <f t="shared" si="157"/>
        <v>0.1162</v>
      </c>
      <c r="CQ513" s="365">
        <f>$CQ$515</f>
        <v>1.8275E-2</v>
      </c>
      <c r="CR513" s="337">
        <f t="shared" si="167"/>
        <v>29127.404030000002</v>
      </c>
      <c r="CV513" s="337">
        <f t="shared" si="169"/>
        <v>26530.2</v>
      </c>
    </row>
    <row r="514" spans="2:100" hidden="1" x14ac:dyDescent="0.25">
      <c r="B514" s="345"/>
      <c r="E514" s="346"/>
      <c r="I514" s="335">
        <f t="shared" si="164"/>
        <v>36300</v>
      </c>
      <c r="J514" s="345">
        <v>36312</v>
      </c>
      <c r="K514" s="317">
        <f t="shared" si="161"/>
        <v>12</v>
      </c>
      <c r="M514" s="346">
        <v>3.107E-2</v>
      </c>
      <c r="N514" s="339">
        <f>ROUND(((N513*SUM($K$10:K513))+(M514*K514))/SUM($K$10:K514),5)</f>
        <v>3.2770000000000001E-2</v>
      </c>
      <c r="O514" s="348">
        <v>105.5</v>
      </c>
      <c r="S514" s="317">
        <f t="shared" si="166"/>
        <v>0</v>
      </c>
      <c r="U514" s="346"/>
      <c r="BB514" s="352"/>
      <c r="BF514" s="345"/>
      <c r="BP514" s="345"/>
      <c r="BR514" s="347"/>
      <c r="BS514" s="337"/>
      <c r="CH514" s="337">
        <f t="shared" si="163"/>
        <v>0</v>
      </c>
      <c r="CL514" s="335">
        <f t="shared" si="162"/>
        <v>39681</v>
      </c>
      <c r="CM514" s="361">
        <v>39688</v>
      </c>
      <c r="CN514" s="317">
        <f t="shared" si="168"/>
        <v>7</v>
      </c>
      <c r="CO514" s="368">
        <v>1.66E-2</v>
      </c>
      <c r="CP514" s="346">
        <f t="shared" ref="CP514:CP577" si="170">CN514*CO514</f>
        <v>0.1162</v>
      </c>
      <c r="CQ514" s="365">
        <f>$CQ$515</f>
        <v>1.8275E-2</v>
      </c>
      <c r="CR514" s="337">
        <f t="shared" si="167"/>
        <v>29127.404030000002</v>
      </c>
      <c r="CV514" s="337">
        <f t="shared" si="169"/>
        <v>26530.2</v>
      </c>
    </row>
    <row r="515" spans="2:100" hidden="1" x14ac:dyDescent="0.25">
      <c r="B515" s="345"/>
      <c r="E515" s="346"/>
      <c r="I515" s="335">
        <f t="shared" si="164"/>
        <v>36312</v>
      </c>
      <c r="J515" s="345">
        <v>36314</v>
      </c>
      <c r="K515" s="317">
        <f t="shared" si="161"/>
        <v>2</v>
      </c>
      <c r="M515" s="346">
        <v>3.108E-2</v>
      </c>
      <c r="N515" s="339">
        <f>ROUND(((N514*SUM($K$10:K514))+(M515*K515))/SUM($K$10:K515),5)</f>
        <v>3.2770000000000001E-2</v>
      </c>
      <c r="O515" s="348">
        <v>107.8</v>
      </c>
      <c r="S515" s="317">
        <f t="shared" si="166"/>
        <v>0</v>
      </c>
      <c r="U515" s="346"/>
      <c r="BB515" s="352"/>
      <c r="BF515" s="345"/>
      <c r="BP515" s="345"/>
      <c r="BR515" s="347"/>
      <c r="BS515" s="337"/>
      <c r="CH515" s="337">
        <f t="shared" si="163"/>
        <v>0</v>
      </c>
      <c r="CL515" s="335">
        <f t="shared" si="162"/>
        <v>39688</v>
      </c>
      <c r="CM515" s="361">
        <v>39693</v>
      </c>
      <c r="CN515" s="317">
        <f t="shared" si="168"/>
        <v>5</v>
      </c>
      <c r="CO515" s="368">
        <v>1.84E-2</v>
      </c>
      <c r="CP515" s="346">
        <f t="shared" si="170"/>
        <v>9.1999999999999998E-2</v>
      </c>
      <c r="CQ515" s="365">
        <f>ROUND(SUM(CP511:CP515)/32,7)</f>
        <v>1.8275E-2</v>
      </c>
      <c r="CR515" s="337">
        <f t="shared" si="167"/>
        <v>20805.288593000001</v>
      </c>
      <c r="CS515" s="337">
        <f>(ROUND(SUM(CR511:CR515),2))</f>
        <v>133153.85</v>
      </c>
      <c r="CT515" s="337">
        <f>ROUND($CR$5*0.05495*31/360,2)</f>
        <v>394325.02</v>
      </c>
      <c r="CU515" s="366">
        <f>CS515-CT515</f>
        <v>-261171.17</v>
      </c>
      <c r="CV515" s="337">
        <f t="shared" si="169"/>
        <v>21005</v>
      </c>
    </row>
    <row r="516" spans="2:100" hidden="1" x14ac:dyDescent="0.25">
      <c r="B516" s="345"/>
      <c r="E516" s="346"/>
      <c r="I516" s="335">
        <f t="shared" si="164"/>
        <v>36314</v>
      </c>
      <c r="J516" s="345">
        <v>36315</v>
      </c>
      <c r="K516" s="317">
        <f t="shared" si="161"/>
        <v>1</v>
      </c>
      <c r="M516" s="346">
        <v>3.107E-2</v>
      </c>
      <c r="N516" s="339">
        <f>ROUND(((N515*SUM($K$10:K515))+(M516*K516))/SUM($K$10:K516),5)</f>
        <v>3.2770000000000001E-2</v>
      </c>
      <c r="O516" s="348">
        <v>108</v>
      </c>
      <c r="S516" s="317">
        <f t="shared" si="166"/>
        <v>0</v>
      </c>
      <c r="U516" s="346"/>
      <c r="BB516" s="352"/>
      <c r="BF516" s="345"/>
      <c r="BP516" s="345"/>
      <c r="BR516" s="347"/>
      <c r="BS516" s="337"/>
      <c r="CH516" s="337">
        <f t="shared" si="163"/>
        <v>0</v>
      </c>
      <c r="CL516" s="335">
        <f t="shared" si="162"/>
        <v>39693</v>
      </c>
      <c r="CM516" s="361">
        <v>39695</v>
      </c>
      <c r="CN516" s="317">
        <f t="shared" si="168"/>
        <v>2</v>
      </c>
      <c r="CO516" s="368">
        <v>1.84E-2</v>
      </c>
      <c r="CP516" s="346">
        <f t="shared" si="170"/>
        <v>3.6799999999999999E-2</v>
      </c>
      <c r="CQ516" s="365">
        <f>$CQ$520</f>
        <v>3.8424100000000003E-2</v>
      </c>
      <c r="CR516" s="337">
        <f t="shared" si="167"/>
        <v>17497.663242999999</v>
      </c>
      <c r="CV516" s="337">
        <f t="shared" si="169"/>
        <v>8402</v>
      </c>
    </row>
    <row r="517" spans="2:100" hidden="1" x14ac:dyDescent="0.25">
      <c r="B517" s="345"/>
      <c r="E517" s="346"/>
      <c r="I517" s="335">
        <f t="shared" si="164"/>
        <v>36315</v>
      </c>
      <c r="J517" s="345">
        <v>36319</v>
      </c>
      <c r="K517" s="317">
        <f t="shared" si="161"/>
        <v>4</v>
      </c>
      <c r="M517" s="346">
        <v>3.108E-2</v>
      </c>
      <c r="N517" s="339">
        <f>ROUND(((N516*SUM($K$10:K516))+(M517*K517))/SUM($K$10:K517),5)</f>
        <v>3.2770000000000001E-2</v>
      </c>
      <c r="O517" s="348">
        <v>107.6</v>
      </c>
      <c r="S517" s="317">
        <f t="shared" si="166"/>
        <v>0</v>
      </c>
      <c r="U517" s="346"/>
      <c r="BB517" s="352"/>
      <c r="BF517" s="345"/>
      <c r="BP517" s="345"/>
      <c r="BR517" s="347"/>
      <c r="BS517" s="337"/>
      <c r="CH517" s="337">
        <f t="shared" si="163"/>
        <v>0</v>
      </c>
      <c r="CL517" s="335">
        <f t="shared" si="162"/>
        <v>39695</v>
      </c>
      <c r="CM517" s="361">
        <v>39702</v>
      </c>
      <c r="CN517" s="317">
        <f t="shared" si="168"/>
        <v>7</v>
      </c>
      <c r="CO517" s="368">
        <v>1.6299999999999999E-2</v>
      </c>
      <c r="CP517" s="346">
        <f t="shared" si="170"/>
        <v>0.11409999999999999</v>
      </c>
      <c r="CQ517" s="365">
        <f>$CQ$520</f>
        <v>3.8424100000000003E-2</v>
      </c>
      <c r="CR517" s="337">
        <f t="shared" si="167"/>
        <v>61241.821350999999</v>
      </c>
      <c r="CV517" s="337">
        <f t="shared" si="169"/>
        <v>26050.7</v>
      </c>
    </row>
    <row r="518" spans="2:100" hidden="1" x14ac:dyDescent="0.25">
      <c r="B518" s="345"/>
      <c r="E518" s="346"/>
      <c r="I518" s="335">
        <f t="shared" si="164"/>
        <v>36319</v>
      </c>
      <c r="J518" s="345">
        <v>36321</v>
      </c>
      <c r="K518" s="317">
        <f t="shared" si="161"/>
        <v>2</v>
      </c>
      <c r="M518" s="346">
        <v>3.108E-2</v>
      </c>
      <c r="N518" s="339">
        <f>ROUND(((N517*SUM($K$10:K517))+(M518*K518))/SUM($K$10:K518),5)</f>
        <v>3.2770000000000001E-2</v>
      </c>
      <c r="O518" s="348">
        <v>110.6</v>
      </c>
      <c r="S518" s="317">
        <f t="shared" si="166"/>
        <v>0</v>
      </c>
      <c r="U518" s="346"/>
      <c r="BB518" s="352"/>
      <c r="BF518" s="345"/>
      <c r="BP518" s="345"/>
      <c r="BR518" s="347"/>
      <c r="BS518" s="337"/>
      <c r="CH518" s="337">
        <f t="shared" si="163"/>
        <v>0</v>
      </c>
      <c r="CL518" s="335">
        <f t="shared" si="162"/>
        <v>39702</v>
      </c>
      <c r="CM518" s="361">
        <v>39709</v>
      </c>
      <c r="CN518" s="317">
        <f t="shared" si="168"/>
        <v>7</v>
      </c>
      <c r="CO518" s="368">
        <v>1.7899999999999999E-2</v>
      </c>
      <c r="CP518" s="346">
        <f t="shared" si="170"/>
        <v>0.12529999999999999</v>
      </c>
      <c r="CQ518" s="365">
        <f>$CQ$520</f>
        <v>3.8424100000000003E-2</v>
      </c>
      <c r="CR518" s="337">
        <f t="shared" si="167"/>
        <v>61241.821350999999</v>
      </c>
      <c r="CV518" s="337">
        <f t="shared" si="169"/>
        <v>28607.9</v>
      </c>
    </row>
    <row r="519" spans="2:100" hidden="1" x14ac:dyDescent="0.25">
      <c r="B519" s="345"/>
      <c r="E519" s="346"/>
      <c r="I519" s="335">
        <f t="shared" si="164"/>
        <v>36321</v>
      </c>
      <c r="J519" s="345">
        <v>36328</v>
      </c>
      <c r="K519" s="317">
        <f t="shared" si="161"/>
        <v>7</v>
      </c>
      <c r="M519" s="346">
        <v>3.1099999999999999E-2</v>
      </c>
      <c r="N519" s="339">
        <f>ROUND(((N518*SUM($K$10:K518))+(M519*K519))/SUM($K$10:K519),5)</f>
        <v>3.2770000000000001E-2</v>
      </c>
      <c r="O519" s="348">
        <v>115.6</v>
      </c>
      <c r="S519" s="317">
        <f t="shared" si="166"/>
        <v>0</v>
      </c>
      <c r="U519" s="346"/>
      <c r="BB519" s="352"/>
      <c r="BF519" s="345"/>
      <c r="BP519" s="345"/>
      <c r="BR519" s="347"/>
      <c r="BS519" s="337"/>
      <c r="CH519" s="337">
        <f t="shared" si="163"/>
        <v>0</v>
      </c>
      <c r="CL519" s="335">
        <f t="shared" si="162"/>
        <v>39709</v>
      </c>
      <c r="CM519" s="361">
        <v>39716</v>
      </c>
      <c r="CN519" s="317">
        <f t="shared" si="168"/>
        <v>7</v>
      </c>
      <c r="CO519" s="368">
        <v>5.1500000000000004E-2</v>
      </c>
      <c r="CP519" s="346">
        <f t="shared" si="170"/>
        <v>0.36050000000000004</v>
      </c>
      <c r="CQ519" s="365">
        <f>$CQ$520</f>
        <v>3.8424100000000003E-2</v>
      </c>
      <c r="CR519" s="337">
        <f t="shared" si="167"/>
        <v>61241.821350999999</v>
      </c>
      <c r="CV519" s="337">
        <f t="shared" si="169"/>
        <v>82307.600000000006</v>
      </c>
    </row>
    <row r="520" spans="2:100" hidden="1" x14ac:dyDescent="0.25">
      <c r="B520" s="345"/>
      <c r="E520" s="346"/>
      <c r="I520" s="335">
        <f t="shared" si="164"/>
        <v>36328</v>
      </c>
      <c r="J520" s="345">
        <v>36335</v>
      </c>
      <c r="K520" s="317">
        <f t="shared" si="161"/>
        <v>7</v>
      </c>
      <c r="M520" s="346">
        <v>3.1507E-2</v>
      </c>
      <c r="N520" s="339">
        <f>ROUND(((N519*SUM($K$10:K519))+(M520*K520))/SUM($K$10:K520),5)</f>
        <v>3.2770000000000001E-2</v>
      </c>
      <c r="O520" s="348">
        <v>114</v>
      </c>
      <c r="S520" s="317">
        <f t="shared" si="166"/>
        <v>0</v>
      </c>
      <c r="U520" s="346"/>
      <c r="BB520" s="352"/>
      <c r="BF520" s="345"/>
      <c r="BP520" s="345"/>
      <c r="BR520" s="347"/>
      <c r="BS520" s="337"/>
      <c r="CH520" s="337">
        <f t="shared" si="163"/>
        <v>0</v>
      </c>
      <c r="CL520" s="335">
        <f t="shared" si="162"/>
        <v>39716</v>
      </c>
      <c r="CM520" s="361">
        <v>39722</v>
      </c>
      <c r="CN520" s="317">
        <f t="shared" si="168"/>
        <v>6</v>
      </c>
      <c r="CO520" s="368">
        <v>7.9600000000000004E-2</v>
      </c>
      <c r="CP520" s="346">
        <f t="shared" si="170"/>
        <v>0.47760000000000002</v>
      </c>
      <c r="CQ520" s="365">
        <f>ROUND(SUM(CP516:CP520)/29,7)</f>
        <v>3.8424100000000003E-2</v>
      </c>
      <c r="CR520" s="337">
        <f t="shared" si="167"/>
        <v>52492.989730000001</v>
      </c>
      <c r="CS520" s="337">
        <f>(ROUND(SUM(CR516:CR520),2))</f>
        <v>253716.12</v>
      </c>
      <c r="CT520" s="337">
        <f>ROUND($CR$5*0.05495*29/360,2)</f>
        <v>368884.69</v>
      </c>
      <c r="CU520" s="366">
        <f>CS520-CT520</f>
        <v>-115168.57</v>
      </c>
      <c r="CV520" s="337">
        <f t="shared" si="169"/>
        <v>109043.3</v>
      </c>
    </row>
    <row r="521" spans="2:100" hidden="1" x14ac:dyDescent="0.25">
      <c r="B521" s="345"/>
      <c r="E521" s="346"/>
      <c r="I521" s="335">
        <f t="shared" si="164"/>
        <v>36335</v>
      </c>
      <c r="J521" s="345">
        <v>36336</v>
      </c>
      <c r="K521" s="317">
        <f t="shared" si="161"/>
        <v>1</v>
      </c>
      <c r="M521" s="346">
        <v>3.1509000000000002E-2</v>
      </c>
      <c r="N521" s="339">
        <f>ROUND(((N520*SUM($K$10:K520))+(M521*K521))/SUM($K$10:K521),5)</f>
        <v>3.2770000000000001E-2</v>
      </c>
      <c r="O521" s="348">
        <v>113.8</v>
      </c>
      <c r="S521" s="317">
        <f t="shared" si="166"/>
        <v>0</v>
      </c>
      <c r="U521" s="346"/>
      <c r="BB521" s="352"/>
      <c r="BF521" s="345"/>
      <c r="BP521" s="345"/>
      <c r="BR521" s="347"/>
      <c r="BS521" s="337"/>
      <c r="CH521" s="337">
        <f t="shared" si="163"/>
        <v>0</v>
      </c>
      <c r="CL521" s="335">
        <f t="shared" si="162"/>
        <v>39722</v>
      </c>
      <c r="CM521" s="361">
        <v>39723</v>
      </c>
      <c r="CN521" s="317">
        <f t="shared" si="168"/>
        <v>1</v>
      </c>
      <c r="CO521" s="368">
        <v>7.9600000000000004E-2</v>
      </c>
      <c r="CP521" s="346">
        <f t="shared" si="170"/>
        <v>7.9600000000000004E-2</v>
      </c>
      <c r="CQ521" s="367">
        <v>3.9172699999999998E-2</v>
      </c>
      <c r="CR521" s="337">
        <f t="shared" si="167"/>
        <v>8919.2812959999992</v>
      </c>
      <c r="CV521" s="337">
        <f t="shared" si="169"/>
        <v>18173.900000000001</v>
      </c>
    </row>
    <row r="522" spans="2:100" hidden="1" x14ac:dyDescent="0.25">
      <c r="B522" s="345"/>
      <c r="E522" s="346"/>
      <c r="I522" s="335">
        <f t="shared" si="164"/>
        <v>36336</v>
      </c>
      <c r="J522" s="345">
        <v>36342</v>
      </c>
      <c r="K522" s="317">
        <f t="shared" ref="K522:K585" si="171">J522-I522</f>
        <v>6</v>
      </c>
      <c r="M522" s="346">
        <v>3.1517000000000003E-2</v>
      </c>
      <c r="N522" s="339">
        <f>ROUND(((N521*SUM($K$10:K521))+(M522*K522))/SUM($K$10:K522),5)</f>
        <v>3.2770000000000001E-2</v>
      </c>
      <c r="O522" s="348">
        <v>113.9</v>
      </c>
      <c r="S522" s="317">
        <f t="shared" si="166"/>
        <v>0</v>
      </c>
      <c r="U522" s="346"/>
      <c r="BB522" s="352"/>
      <c r="BF522" s="345"/>
      <c r="BP522" s="345"/>
      <c r="BR522" s="347"/>
      <c r="BS522" s="337"/>
      <c r="CH522" s="337">
        <f t="shared" si="163"/>
        <v>0</v>
      </c>
      <c r="CL522" s="335">
        <f t="shared" si="162"/>
        <v>39723</v>
      </c>
      <c r="CM522" s="361">
        <v>39730</v>
      </c>
      <c r="CN522" s="317">
        <f t="shared" si="168"/>
        <v>7</v>
      </c>
      <c r="CO522" s="368">
        <v>5.74E-2</v>
      </c>
      <c r="CP522" s="346">
        <f t="shared" si="170"/>
        <v>0.40179999999999999</v>
      </c>
      <c r="CQ522" s="367">
        <v>3.9172699999999998E-2</v>
      </c>
      <c r="CR522" s="337">
        <f t="shared" si="167"/>
        <v>62434.969075000001</v>
      </c>
      <c r="CV522" s="337">
        <f t="shared" si="169"/>
        <v>91737</v>
      </c>
    </row>
    <row r="523" spans="2:100" hidden="1" x14ac:dyDescent="0.25">
      <c r="B523" s="345"/>
      <c r="E523" s="346"/>
      <c r="I523" s="335">
        <f t="shared" si="164"/>
        <v>36342</v>
      </c>
      <c r="J523" s="345">
        <v>36343</v>
      </c>
      <c r="K523" s="317">
        <f t="shared" si="171"/>
        <v>1</v>
      </c>
      <c r="M523" s="346">
        <v>3.1507E-2</v>
      </c>
      <c r="N523" s="339">
        <f>ROUND(((N522*SUM($K$10:K522))+(M523*K523))/SUM($K$10:K523),5)</f>
        <v>3.2770000000000001E-2</v>
      </c>
      <c r="O523" s="348">
        <v>113.8</v>
      </c>
      <c r="S523" s="317">
        <f t="shared" si="166"/>
        <v>0</v>
      </c>
      <c r="U523" s="346"/>
      <c r="BB523" s="352"/>
      <c r="BF523" s="345"/>
      <c r="BP523" s="345"/>
      <c r="BR523" s="347"/>
      <c r="BS523" s="337"/>
      <c r="CH523" s="337">
        <f t="shared" si="163"/>
        <v>0</v>
      </c>
      <c r="CL523" s="335">
        <f t="shared" si="162"/>
        <v>39730</v>
      </c>
      <c r="CM523" s="361">
        <v>39737</v>
      </c>
      <c r="CN523" s="317">
        <f t="shared" si="168"/>
        <v>7</v>
      </c>
      <c r="CO523" s="368">
        <v>4.82E-2</v>
      </c>
      <c r="CP523" s="346">
        <f t="shared" si="170"/>
        <v>0.33739999999999998</v>
      </c>
      <c r="CQ523" s="367">
        <v>3.9172699999999998E-2</v>
      </c>
      <c r="CR523" s="337">
        <f t="shared" si="167"/>
        <v>62434.969075000001</v>
      </c>
      <c r="CV523" s="337">
        <f t="shared" si="169"/>
        <v>77033.5</v>
      </c>
    </row>
    <row r="524" spans="2:100" hidden="1" x14ac:dyDescent="0.25">
      <c r="B524" s="345"/>
      <c r="E524" s="346"/>
      <c r="I524" s="335">
        <f t="shared" si="164"/>
        <v>36343</v>
      </c>
      <c r="J524" s="345">
        <v>36350</v>
      </c>
      <c r="K524" s="317">
        <f t="shared" si="171"/>
        <v>7</v>
      </c>
      <c r="M524" s="346">
        <v>3.1522000000000001E-2</v>
      </c>
      <c r="N524" s="339">
        <f>ROUND(((N523*SUM($K$10:K523))+(M524*K524))/SUM($K$10:K524),5)</f>
        <v>3.2770000000000001E-2</v>
      </c>
      <c r="O524" s="348">
        <v>114.9</v>
      </c>
      <c r="S524" s="317">
        <f t="shared" si="166"/>
        <v>0</v>
      </c>
      <c r="U524" s="346"/>
      <c r="BB524" s="352"/>
      <c r="BF524" s="345"/>
      <c r="BP524" s="345"/>
      <c r="BR524" s="347"/>
      <c r="BS524" s="337"/>
      <c r="CH524" s="337">
        <f t="shared" si="163"/>
        <v>0</v>
      </c>
      <c r="CL524" s="335">
        <f t="shared" ref="CL524:CL563" si="172">CM523</f>
        <v>39737</v>
      </c>
      <c r="CM524" s="361">
        <v>39744</v>
      </c>
      <c r="CN524" s="317">
        <f t="shared" si="168"/>
        <v>7</v>
      </c>
      <c r="CO524" s="368">
        <v>3.4500000000000003E-2</v>
      </c>
      <c r="CP524" s="346">
        <f t="shared" si="170"/>
        <v>0.24150000000000002</v>
      </c>
      <c r="CQ524" s="367">
        <v>3.9172699999999998E-2</v>
      </c>
      <c r="CR524" s="337">
        <f t="shared" si="167"/>
        <v>62434.969075000001</v>
      </c>
      <c r="CV524" s="337">
        <f t="shared" si="169"/>
        <v>55138.1</v>
      </c>
    </row>
    <row r="525" spans="2:100" hidden="1" x14ac:dyDescent="0.25">
      <c r="B525" s="345"/>
      <c r="E525" s="346"/>
      <c r="I525" s="335">
        <f t="shared" si="164"/>
        <v>36350</v>
      </c>
      <c r="J525" s="345">
        <v>36362</v>
      </c>
      <c r="K525" s="317">
        <f t="shared" si="171"/>
        <v>12</v>
      </c>
      <c r="M525" s="346">
        <v>3.1522000000000001E-2</v>
      </c>
      <c r="N525" s="339">
        <f>ROUND(((N524*SUM($K$10:K524))+(M525*K525))/SUM($K$10:K525),5)</f>
        <v>3.2759999999999997E-2</v>
      </c>
      <c r="O525" s="316">
        <v>115.5</v>
      </c>
      <c r="S525" s="317">
        <f t="shared" si="166"/>
        <v>0</v>
      </c>
      <c r="U525" s="346"/>
      <c r="BB525" s="352"/>
      <c r="BF525" s="345"/>
      <c r="BP525" s="345"/>
      <c r="BR525" s="347"/>
      <c r="BS525" s="337"/>
      <c r="CH525" s="337">
        <f t="shared" si="163"/>
        <v>0</v>
      </c>
      <c r="CL525" s="335">
        <f t="shared" si="172"/>
        <v>39744</v>
      </c>
      <c r="CM525" s="361">
        <v>39751</v>
      </c>
      <c r="CN525" s="317">
        <f t="shared" si="168"/>
        <v>7</v>
      </c>
      <c r="CO525" s="368">
        <v>2.2799999999999997E-2</v>
      </c>
      <c r="CP525" s="346">
        <f t="shared" si="170"/>
        <v>0.15959999999999999</v>
      </c>
      <c r="CQ525" s="367">
        <v>3.9172699999999998E-2</v>
      </c>
      <c r="CR525" s="337">
        <f t="shared" si="167"/>
        <v>62434.969075000001</v>
      </c>
      <c r="CV525" s="337">
        <f t="shared" si="169"/>
        <v>36439.1</v>
      </c>
    </row>
    <row r="526" spans="2:100" hidden="1" x14ac:dyDescent="0.25">
      <c r="B526" s="345"/>
      <c r="E526" s="346"/>
      <c r="I526" s="335">
        <f t="shared" si="164"/>
        <v>36362</v>
      </c>
      <c r="J526" s="345">
        <v>36368</v>
      </c>
      <c r="K526" s="317">
        <f t="shared" si="171"/>
        <v>6</v>
      </c>
      <c r="M526" s="346">
        <v>3.1543000000000002E-2</v>
      </c>
      <c r="N526" s="339">
        <f>ROUND(((N525*SUM($K$10:K525))+(M526*K526))/SUM($K$10:K526),5)</f>
        <v>3.2759999999999997E-2</v>
      </c>
      <c r="O526" s="316">
        <v>115.6</v>
      </c>
      <c r="S526" s="317">
        <f t="shared" si="166"/>
        <v>0</v>
      </c>
      <c r="U526" s="346"/>
      <c r="BB526" s="352"/>
      <c r="BF526" s="345"/>
      <c r="BP526" s="345"/>
      <c r="BR526" s="347"/>
      <c r="BS526" s="337"/>
      <c r="CH526" s="337">
        <f t="shared" si="163"/>
        <v>0</v>
      </c>
      <c r="CL526" s="335">
        <f t="shared" si="172"/>
        <v>39751</v>
      </c>
      <c r="CM526" s="361">
        <v>39755</v>
      </c>
      <c r="CN526" s="317">
        <f t="shared" si="168"/>
        <v>4</v>
      </c>
      <c r="CO526" s="368">
        <v>1.8200000000000001E-2</v>
      </c>
      <c r="CP526" s="346">
        <f t="shared" si="170"/>
        <v>7.2800000000000004E-2</v>
      </c>
      <c r="CQ526" s="365">
        <f>ROUND(SUM(CP521:CP526)/33,7)</f>
        <v>3.9172699999999998E-2</v>
      </c>
      <c r="CR526" s="337">
        <f t="shared" si="167"/>
        <v>35677.125185999997</v>
      </c>
      <c r="CS526" s="337">
        <f>(ROUND(SUM(CR521:CR526),2))</f>
        <v>294336.28000000003</v>
      </c>
      <c r="CT526" s="337">
        <f>ROUND($CR$5*0.05495*32/360,2)</f>
        <v>407045.18</v>
      </c>
      <c r="CU526" s="366">
        <f>CS526-CT526</f>
        <v>-112708.89999999997</v>
      </c>
      <c r="CV526" s="337">
        <f t="shared" si="169"/>
        <v>16621.3</v>
      </c>
    </row>
    <row r="527" spans="2:100" hidden="1" x14ac:dyDescent="0.25">
      <c r="B527" s="345"/>
      <c r="E527" s="346"/>
      <c r="I527" s="335">
        <f t="shared" si="164"/>
        <v>36368</v>
      </c>
      <c r="J527" s="345">
        <v>36369</v>
      </c>
      <c r="K527" s="317">
        <f t="shared" si="171"/>
        <v>1</v>
      </c>
      <c r="M527" s="346">
        <v>3.1885999999999998E-2</v>
      </c>
      <c r="N527" s="339">
        <f>ROUND(((N526*SUM($K$10:K526))+(M527*K527))/SUM($K$10:K527),5)</f>
        <v>3.2759999999999997E-2</v>
      </c>
      <c r="O527" s="316">
        <v>119.5</v>
      </c>
      <c r="S527" s="317">
        <f t="shared" si="166"/>
        <v>0</v>
      </c>
      <c r="U527" s="346"/>
      <c r="BB527" s="352"/>
      <c r="BF527" s="345"/>
      <c r="BP527" s="345"/>
      <c r="BR527" s="347"/>
      <c r="BS527" s="337"/>
      <c r="CH527" s="337">
        <f t="shared" si="163"/>
        <v>0</v>
      </c>
      <c r="CL527" s="335">
        <f t="shared" si="172"/>
        <v>39755</v>
      </c>
      <c r="CM527" s="361">
        <v>39758</v>
      </c>
      <c r="CN527" s="317">
        <f t="shared" si="168"/>
        <v>3</v>
      </c>
      <c r="CO527" s="368">
        <v>1.8200000000000001E-2</v>
      </c>
      <c r="CP527" s="346">
        <f t="shared" si="170"/>
        <v>5.4600000000000003E-2</v>
      </c>
      <c r="CQ527" s="365">
        <v>1.235E-2</v>
      </c>
      <c r="CR527" s="337">
        <f t="shared" si="167"/>
        <v>8435.9610659999998</v>
      </c>
      <c r="CV527" s="337">
        <f t="shared" si="169"/>
        <v>12466</v>
      </c>
    </row>
    <row r="528" spans="2:100" hidden="1" x14ac:dyDescent="0.25">
      <c r="B528" s="345"/>
      <c r="E528" s="346"/>
      <c r="I528" s="335">
        <f t="shared" si="164"/>
        <v>36369</v>
      </c>
      <c r="J528" s="345">
        <v>36376</v>
      </c>
      <c r="K528" s="317">
        <f t="shared" si="171"/>
        <v>7</v>
      </c>
      <c r="M528" s="346">
        <v>3.2626000000000002E-2</v>
      </c>
      <c r="N528" s="339">
        <f>ROUND(((N527*SUM($K$10:K527))+(M528*K528))/SUM($K$10:K528),5)</f>
        <v>3.2759999999999997E-2</v>
      </c>
      <c r="O528" s="316">
        <v>128.5</v>
      </c>
      <c r="S528" s="317">
        <f t="shared" si="166"/>
        <v>0</v>
      </c>
      <c r="U528" s="346"/>
      <c r="BB528" s="352"/>
      <c r="BP528" s="345"/>
      <c r="BR528" s="347"/>
      <c r="BS528" s="337"/>
      <c r="CH528" s="337">
        <f t="shared" ref="CH528:CH533" si="173">ROUND($CA$5*CG528*CF528/365,6)</f>
        <v>0</v>
      </c>
      <c r="CL528" s="335">
        <f t="shared" si="172"/>
        <v>39758</v>
      </c>
      <c r="CM528" s="361">
        <v>39765</v>
      </c>
      <c r="CN528" s="317">
        <f t="shared" si="168"/>
        <v>7</v>
      </c>
      <c r="CO528" s="368">
        <v>1.26E-2</v>
      </c>
      <c r="CP528" s="346">
        <f t="shared" si="170"/>
        <v>8.8200000000000001E-2</v>
      </c>
      <c r="CQ528" s="365">
        <v>1.235E-2</v>
      </c>
      <c r="CR528" s="337">
        <f t="shared" si="167"/>
        <v>19683.909153000001</v>
      </c>
      <c r="CV528" s="337">
        <f t="shared" si="169"/>
        <v>20137.400000000001</v>
      </c>
    </row>
    <row r="529" spans="2:100" hidden="1" x14ac:dyDescent="0.25">
      <c r="B529" s="345"/>
      <c r="E529" s="346"/>
      <c r="I529" s="335">
        <f t="shared" si="164"/>
        <v>36376</v>
      </c>
      <c r="J529" s="345">
        <v>36382</v>
      </c>
      <c r="K529" s="317">
        <f t="shared" si="171"/>
        <v>6</v>
      </c>
      <c r="M529" s="346">
        <v>3.3252999999999998E-2</v>
      </c>
      <c r="N529" s="339">
        <f>ROUND(((N528*SUM($K$10:K528))+(M529*K529))/SUM($K$10:K529),5)</f>
        <v>3.2759999999999997E-2</v>
      </c>
      <c r="O529" s="316">
        <v>150.80000000000001</v>
      </c>
      <c r="S529" s="317">
        <f t="shared" si="166"/>
        <v>0</v>
      </c>
      <c r="U529" s="346"/>
      <c r="BB529" s="352"/>
      <c r="BP529" s="345"/>
      <c r="BR529" s="347"/>
      <c r="BS529" s="337"/>
      <c r="CH529" s="337">
        <f t="shared" si="173"/>
        <v>0</v>
      </c>
      <c r="CL529" s="335">
        <f t="shared" si="172"/>
        <v>39765</v>
      </c>
      <c r="CM529" s="361">
        <v>39772</v>
      </c>
      <c r="CN529" s="317">
        <f t="shared" si="168"/>
        <v>7</v>
      </c>
      <c r="CO529" s="368">
        <v>1.1399999999999999E-2</v>
      </c>
      <c r="CP529" s="346">
        <f t="shared" si="170"/>
        <v>7.9799999999999996E-2</v>
      </c>
      <c r="CQ529" s="365">
        <v>1.235E-2</v>
      </c>
      <c r="CR529" s="337">
        <f t="shared" si="167"/>
        <v>19683.909153000001</v>
      </c>
      <c r="CV529" s="337">
        <f t="shared" si="169"/>
        <v>18219.5</v>
      </c>
    </row>
    <row r="530" spans="2:100" hidden="1" x14ac:dyDescent="0.25">
      <c r="B530" s="345"/>
      <c r="E530" s="346"/>
      <c r="I530" s="335">
        <f t="shared" si="164"/>
        <v>36382</v>
      </c>
      <c r="J530" s="345">
        <v>36384</v>
      </c>
      <c r="K530" s="317">
        <f t="shared" si="171"/>
        <v>2</v>
      </c>
      <c r="M530" s="346">
        <v>3.3700000000000001E-2</v>
      </c>
      <c r="N530" s="339">
        <f>ROUND(((N529*SUM($K$10:K529))+(M530*K530))/SUM($K$10:K530),5)</f>
        <v>3.2759999999999997E-2</v>
      </c>
      <c r="O530" s="316">
        <v>153.4</v>
      </c>
      <c r="S530" s="317">
        <f t="shared" si="166"/>
        <v>0</v>
      </c>
      <c r="U530" s="346"/>
      <c r="BB530" s="352"/>
      <c r="BP530" s="345"/>
      <c r="BR530" s="347"/>
      <c r="BS530" s="337"/>
      <c r="CH530" s="337">
        <f t="shared" si="173"/>
        <v>0</v>
      </c>
      <c r="CL530" s="335">
        <f t="shared" si="172"/>
        <v>39772</v>
      </c>
      <c r="CM530" s="361">
        <v>39779</v>
      </c>
      <c r="CN530" s="317">
        <f t="shared" si="168"/>
        <v>7</v>
      </c>
      <c r="CO530" s="368">
        <v>1.1200000000000002E-2</v>
      </c>
      <c r="CP530" s="346">
        <f t="shared" si="170"/>
        <v>7.8400000000000011E-2</v>
      </c>
      <c r="CQ530" s="365">
        <v>1.235E-2</v>
      </c>
      <c r="CR530" s="337">
        <f t="shared" si="167"/>
        <v>19683.909153000001</v>
      </c>
      <c r="CV530" s="337">
        <f t="shared" si="169"/>
        <v>17899.900000000001</v>
      </c>
    </row>
    <row r="531" spans="2:100" hidden="1" x14ac:dyDescent="0.25">
      <c r="B531" s="345"/>
      <c r="E531" s="346"/>
      <c r="I531" s="335">
        <f t="shared" ref="I531:I599" si="174">J530</f>
        <v>36384</v>
      </c>
      <c r="J531" s="345">
        <v>36405</v>
      </c>
      <c r="K531" s="317">
        <f t="shared" si="171"/>
        <v>21</v>
      </c>
      <c r="M531" s="346">
        <v>3.4465999999999997E-2</v>
      </c>
      <c r="N531" s="339">
        <f>ROUND(((N530*SUM($K$10:K530))+(M531*K531))/SUM($K$10:K531),5)</f>
        <v>3.2770000000000001E-2</v>
      </c>
      <c r="O531" s="348">
        <v>156</v>
      </c>
      <c r="S531" s="317">
        <f t="shared" si="166"/>
        <v>0</v>
      </c>
      <c r="U531" s="346"/>
      <c r="BB531" s="352"/>
      <c r="BP531" s="345"/>
      <c r="BR531" s="347"/>
      <c r="BS531" s="337"/>
      <c r="CH531" s="337">
        <f t="shared" si="173"/>
        <v>0</v>
      </c>
      <c r="CL531" s="335">
        <f t="shared" si="172"/>
        <v>39779</v>
      </c>
      <c r="CM531" s="361">
        <v>39783</v>
      </c>
      <c r="CN531" s="317">
        <f t="shared" si="168"/>
        <v>4</v>
      </c>
      <c r="CO531" s="368">
        <v>1.1200000000000002E-2</v>
      </c>
      <c r="CP531" s="346">
        <f t="shared" si="170"/>
        <v>4.4800000000000006E-2</v>
      </c>
      <c r="CQ531" s="365">
        <f>ROUND(SUM(CP527:CP531)/28,7)</f>
        <v>1.235E-2</v>
      </c>
      <c r="CR531" s="337">
        <f t="shared" si="167"/>
        <v>11247.948087000001</v>
      </c>
      <c r="CS531" s="337">
        <f>(ROUND(SUM(CR527:CR531),2))</f>
        <v>78735.64</v>
      </c>
      <c r="CT531" s="337">
        <f>ROUND($CR$5*0.05495*28/360,2)</f>
        <v>356164.53</v>
      </c>
      <c r="CU531" s="366">
        <f>CS531-CT531</f>
        <v>-277428.89</v>
      </c>
      <c r="CV531" s="337">
        <f t="shared" si="169"/>
        <v>10228.5</v>
      </c>
    </row>
    <row r="532" spans="2:100" hidden="1" x14ac:dyDescent="0.25">
      <c r="B532" s="345"/>
      <c r="E532" s="346"/>
      <c r="I532" s="335">
        <f t="shared" si="174"/>
        <v>36405</v>
      </c>
      <c r="J532" s="345">
        <v>36412</v>
      </c>
      <c r="K532" s="317">
        <f t="shared" si="171"/>
        <v>7</v>
      </c>
      <c r="M532" s="346">
        <v>3.4472000000000003E-2</v>
      </c>
      <c r="N532" s="339">
        <f>ROUND(((N531*SUM($K$10:K531))+(M532*K532))/SUM($K$10:K532),5)</f>
        <v>3.2770000000000001E-2</v>
      </c>
      <c r="O532" s="316">
        <v>156.19999999999999</v>
      </c>
      <c r="S532" s="317">
        <f t="shared" si="166"/>
        <v>0</v>
      </c>
      <c r="U532" s="346"/>
      <c r="BB532" s="352"/>
      <c r="BP532" s="345"/>
      <c r="BR532" s="347"/>
      <c r="BS532" s="337"/>
      <c r="CH532" s="337">
        <f t="shared" si="173"/>
        <v>0</v>
      </c>
      <c r="CL532" s="361">
        <f t="shared" si="172"/>
        <v>39783</v>
      </c>
      <c r="CM532" s="361">
        <v>39786</v>
      </c>
      <c r="CN532" s="317">
        <f t="shared" si="168"/>
        <v>3</v>
      </c>
      <c r="CO532" s="368">
        <v>1.03E-2</v>
      </c>
      <c r="CP532" s="346">
        <f t="shared" si="170"/>
        <v>3.09E-2</v>
      </c>
      <c r="CQ532" s="365">
        <f>CQ537</f>
        <v>1.0118800000000001E-2</v>
      </c>
      <c r="CR532" s="337">
        <f t="shared" si="167"/>
        <v>6911.8868689999999</v>
      </c>
      <c r="CV532" s="337">
        <f t="shared" si="169"/>
        <v>7054.9</v>
      </c>
    </row>
    <row r="533" spans="2:100" hidden="1" x14ac:dyDescent="0.25">
      <c r="B533" s="345"/>
      <c r="E533" s="346"/>
      <c r="I533" s="335">
        <f t="shared" si="174"/>
        <v>36412</v>
      </c>
      <c r="J533" s="345">
        <v>36413</v>
      </c>
      <c r="K533" s="317">
        <f t="shared" si="171"/>
        <v>1</v>
      </c>
      <c r="M533" s="346">
        <v>3.4499000000000002E-2</v>
      </c>
      <c r="N533" s="339">
        <f>ROUND(((N532*SUM($K$10:K532))+(M533*K533))/SUM($K$10:K533),5)</f>
        <v>3.2770000000000001E-2</v>
      </c>
      <c r="O533" s="316">
        <v>154.6</v>
      </c>
      <c r="S533" s="317">
        <f t="shared" si="166"/>
        <v>0</v>
      </c>
      <c r="U533" s="346"/>
      <c r="BB533" s="352"/>
      <c r="BP533" s="345"/>
      <c r="BR533" s="347"/>
      <c r="BS533" s="337"/>
      <c r="CH533" s="337">
        <f t="shared" si="173"/>
        <v>0</v>
      </c>
      <c r="CL533" s="361">
        <f t="shared" si="172"/>
        <v>39786</v>
      </c>
      <c r="CM533" s="361">
        <v>39793</v>
      </c>
      <c r="CN533" s="317">
        <f t="shared" si="168"/>
        <v>7</v>
      </c>
      <c r="CO533" s="368">
        <v>8.5000000000000006E-3</v>
      </c>
      <c r="CP533" s="346">
        <f>CN533*CO533</f>
        <v>5.9500000000000004E-2</v>
      </c>
      <c r="CQ533" s="365">
        <f>CQ537</f>
        <v>1.0118800000000001E-2</v>
      </c>
      <c r="CR533" s="337">
        <f t="shared" si="167"/>
        <v>16127.736027000001</v>
      </c>
      <c r="CV533" s="337">
        <f t="shared" si="169"/>
        <v>13584.7</v>
      </c>
    </row>
    <row r="534" spans="2:100" hidden="1" x14ac:dyDescent="0.25">
      <c r="B534" s="345"/>
      <c r="E534" s="346"/>
      <c r="I534" s="335"/>
      <c r="J534" s="345"/>
      <c r="K534" s="317"/>
      <c r="M534" s="346"/>
      <c r="N534" s="339"/>
      <c r="S534" s="317"/>
      <c r="U534" s="346"/>
      <c r="BB534" s="352"/>
      <c r="BP534" s="345"/>
      <c r="BR534" s="347"/>
      <c r="BS534" s="337"/>
      <c r="CH534" s="337"/>
      <c r="CL534" s="361">
        <f t="shared" si="172"/>
        <v>39793</v>
      </c>
      <c r="CM534" s="361">
        <v>39800</v>
      </c>
      <c r="CN534" s="317">
        <f t="shared" si="168"/>
        <v>7</v>
      </c>
      <c r="CO534" s="368">
        <v>8.5000000000000006E-3</v>
      </c>
      <c r="CP534" s="346">
        <f>CN534*CO534</f>
        <v>5.9500000000000004E-2</v>
      </c>
      <c r="CQ534" s="365">
        <f>CQ537</f>
        <v>1.0118800000000001E-2</v>
      </c>
      <c r="CR534" s="337">
        <f t="shared" si="167"/>
        <v>16127.736027000001</v>
      </c>
      <c r="CV534" s="337">
        <f t="shared" si="169"/>
        <v>13584.7</v>
      </c>
    </row>
    <row r="535" spans="2:100" hidden="1" x14ac:dyDescent="0.25">
      <c r="B535" s="345"/>
      <c r="E535" s="346"/>
      <c r="I535" s="335">
        <f>J533</f>
        <v>36413</v>
      </c>
      <c r="J535" s="345">
        <v>36416</v>
      </c>
      <c r="K535" s="317">
        <f t="shared" si="171"/>
        <v>3</v>
      </c>
      <c r="M535" s="346">
        <v>3.4568000000000002E-2</v>
      </c>
      <c r="N535" s="339">
        <f>ROUND(((N533*SUM($K$10:K533))+(M535*K535))/SUM($K$10:K535),5)</f>
        <v>3.2770000000000001E-2</v>
      </c>
      <c r="O535" s="348">
        <v>159</v>
      </c>
      <c r="S535" s="317">
        <f t="shared" si="166"/>
        <v>0</v>
      </c>
      <c r="U535" s="346"/>
      <c r="BB535" s="352"/>
      <c r="BP535" s="345"/>
      <c r="BR535" s="347"/>
      <c r="BS535" s="337"/>
      <c r="CH535" s="337">
        <f t="shared" ref="CH535:CH598" si="175">ROUND($CA$5*CG535*CF535/365,6)</f>
        <v>0</v>
      </c>
      <c r="CL535" s="361">
        <f t="shared" si="172"/>
        <v>39800</v>
      </c>
      <c r="CM535" s="361">
        <v>39808</v>
      </c>
      <c r="CN535" s="317">
        <f t="shared" si="168"/>
        <v>8</v>
      </c>
      <c r="CO535" s="368">
        <v>1.0800000000000001E-2</v>
      </c>
      <c r="CP535" s="346">
        <f t="shared" si="170"/>
        <v>8.6400000000000005E-2</v>
      </c>
      <c r="CQ535" s="365">
        <f>CQ537</f>
        <v>1.0118800000000001E-2</v>
      </c>
      <c r="CR535" s="337">
        <f t="shared" si="167"/>
        <v>18431.698316999998</v>
      </c>
      <c r="CV535" s="337">
        <f t="shared" si="169"/>
        <v>19726.400000000001</v>
      </c>
    </row>
    <row r="536" spans="2:100" hidden="1" x14ac:dyDescent="0.25">
      <c r="B536" s="345"/>
      <c r="E536" s="346"/>
      <c r="I536" s="335">
        <f t="shared" si="174"/>
        <v>36416</v>
      </c>
      <c r="J536" s="345">
        <v>36417</v>
      </c>
      <c r="K536" s="317">
        <f t="shared" si="171"/>
        <v>1</v>
      </c>
      <c r="M536" s="346">
        <v>3.4674999999999997E-2</v>
      </c>
      <c r="N536" s="339">
        <f>ROUND(((N535*SUM($K$10:K535))+(M536*K536))/SUM($K$10:K536),5)</f>
        <v>3.2770000000000001E-2</v>
      </c>
      <c r="O536" s="316">
        <v>159.5</v>
      </c>
      <c r="S536" s="317">
        <f t="shared" si="166"/>
        <v>0</v>
      </c>
      <c r="U536" s="346"/>
      <c r="BB536" s="352"/>
      <c r="BP536" s="345"/>
      <c r="BR536" s="347"/>
      <c r="BS536" s="337"/>
      <c r="CH536" s="337">
        <f t="shared" si="175"/>
        <v>0</v>
      </c>
      <c r="CL536" s="361">
        <f t="shared" si="172"/>
        <v>39808</v>
      </c>
      <c r="CM536" s="361">
        <v>39814</v>
      </c>
      <c r="CN536" s="317">
        <f t="shared" si="168"/>
        <v>6</v>
      </c>
      <c r="CO536" s="368">
        <v>1.2500000000000001E-2</v>
      </c>
      <c r="CP536" s="346">
        <f t="shared" si="170"/>
        <v>7.5000000000000011E-2</v>
      </c>
      <c r="CQ536" s="365">
        <f>CQ537</f>
        <v>1.0118800000000001E-2</v>
      </c>
      <c r="CR536" s="337">
        <f t="shared" si="167"/>
        <v>13823.773738</v>
      </c>
      <c r="CS536" s="337"/>
      <c r="CT536" s="337"/>
      <c r="CU536" s="366"/>
      <c r="CV536" s="337">
        <f t="shared" si="169"/>
        <v>17123.599999999999</v>
      </c>
    </row>
    <row r="537" spans="2:100" hidden="1" x14ac:dyDescent="0.25">
      <c r="B537" s="345"/>
      <c r="E537" s="346"/>
      <c r="I537" s="335">
        <f t="shared" si="174"/>
        <v>36417</v>
      </c>
      <c r="J537" s="345">
        <v>36418</v>
      </c>
      <c r="K537" s="317">
        <f t="shared" si="171"/>
        <v>1</v>
      </c>
      <c r="M537" s="346">
        <v>3.4701999999999997E-2</v>
      </c>
      <c r="N537" s="339">
        <f>ROUND(((N536*SUM($K$10:K536))+(M537*K537))/SUM($K$10:K537),5)</f>
        <v>3.2770000000000001E-2</v>
      </c>
      <c r="O537" s="316">
        <v>158.69999999999999</v>
      </c>
      <c r="S537" s="317">
        <f t="shared" si="166"/>
        <v>0</v>
      </c>
      <c r="U537" s="346"/>
      <c r="BB537" s="352"/>
      <c r="BP537" s="345"/>
      <c r="BR537" s="347"/>
      <c r="BS537" s="337"/>
      <c r="CH537" s="337">
        <f t="shared" si="175"/>
        <v>0</v>
      </c>
      <c r="CL537" s="361">
        <f t="shared" si="172"/>
        <v>39814</v>
      </c>
      <c r="CM537" s="361">
        <v>39815</v>
      </c>
      <c r="CN537" s="317">
        <f t="shared" si="168"/>
        <v>1</v>
      </c>
      <c r="CO537" s="368">
        <v>1.2500000000000001E-2</v>
      </c>
      <c r="CP537" s="346">
        <f t="shared" si="170"/>
        <v>1.2500000000000001E-2</v>
      </c>
      <c r="CQ537" s="365">
        <f>ROUND(SUM(CP532:CP537)/32,7)</f>
        <v>1.0118800000000001E-2</v>
      </c>
      <c r="CR537" s="337">
        <f t="shared" ref="CR537:CR562" si="176">ROUND($CR$5*CQ537*CN537/365,6)</f>
        <v>2310.2745150000001</v>
      </c>
      <c r="CS537" s="337">
        <f>(ROUND(SUM(CR532:CR537),2))-0.36</f>
        <v>73732.75</v>
      </c>
      <c r="CT537" s="337">
        <f>ROUND($CR$5*0.05495*31/360,2)</f>
        <v>394325.02</v>
      </c>
      <c r="CU537" s="366">
        <f>CS537-CT537</f>
        <v>-320592.27</v>
      </c>
      <c r="CV537" s="337">
        <f t="shared" si="169"/>
        <v>2853.9</v>
      </c>
    </row>
    <row r="538" spans="2:100" hidden="1" x14ac:dyDescent="0.25">
      <c r="B538" s="345"/>
      <c r="E538" s="346"/>
      <c r="I538" s="335">
        <f t="shared" si="174"/>
        <v>36418</v>
      </c>
      <c r="J538" s="345">
        <v>36419</v>
      </c>
      <c r="K538" s="317">
        <f t="shared" si="171"/>
        <v>1</v>
      </c>
      <c r="M538" s="346">
        <v>3.5118000000000003E-2</v>
      </c>
      <c r="N538" s="339">
        <f>ROUND(((N537*SUM($K$10:K537))+(M538*K538))/SUM($K$10:K538),5)</f>
        <v>3.2770000000000001E-2</v>
      </c>
      <c r="O538" s="316">
        <v>147.6</v>
      </c>
      <c r="S538" s="317">
        <f t="shared" si="166"/>
        <v>0</v>
      </c>
      <c r="U538" s="346"/>
      <c r="BB538" s="352"/>
      <c r="BP538" s="345"/>
      <c r="BR538" s="347"/>
      <c r="BS538" s="337"/>
      <c r="CH538" s="337">
        <f t="shared" si="175"/>
        <v>0</v>
      </c>
      <c r="CL538" s="361">
        <f t="shared" si="172"/>
        <v>39815</v>
      </c>
      <c r="CM538" s="361">
        <v>39821</v>
      </c>
      <c r="CN538" s="317">
        <f t="shared" si="168"/>
        <v>6</v>
      </c>
      <c r="CO538" s="368">
        <v>8.9999999999999993E-3</v>
      </c>
      <c r="CP538" s="346">
        <f t="shared" si="170"/>
        <v>5.3999999999999992E-2</v>
      </c>
      <c r="CQ538" s="365">
        <f>+CQ539</f>
        <v>5.9484000000000004E-3</v>
      </c>
      <c r="CR538" s="337">
        <f t="shared" si="176"/>
        <v>8148.656121</v>
      </c>
      <c r="CV538" s="337">
        <f t="shared" si="169"/>
        <v>12329</v>
      </c>
    </row>
    <row r="539" spans="2:100" hidden="1" x14ac:dyDescent="0.25">
      <c r="B539" s="345"/>
      <c r="I539" s="335">
        <f t="shared" si="174"/>
        <v>36419</v>
      </c>
      <c r="J539" s="345">
        <v>36427</v>
      </c>
      <c r="K539" s="317">
        <f t="shared" si="171"/>
        <v>8</v>
      </c>
      <c r="M539" s="346">
        <v>3.5187000000000003E-2</v>
      </c>
      <c r="N539" s="339">
        <f>ROUND(((N538*SUM($K$10:K538))+(M539*K539))/SUM($K$10:K539),5)</f>
        <v>3.2779999999999997E-2</v>
      </c>
      <c r="O539" s="316">
        <v>145.4</v>
      </c>
      <c r="S539" s="317">
        <f t="shared" si="166"/>
        <v>0</v>
      </c>
      <c r="U539" s="346"/>
      <c r="BB539" s="352"/>
      <c r="BP539" s="345"/>
      <c r="BR539" s="347"/>
      <c r="BS539" s="337"/>
      <c r="CH539" s="337">
        <f t="shared" si="175"/>
        <v>0</v>
      </c>
      <c r="CL539" s="361">
        <f t="shared" si="172"/>
        <v>39821</v>
      </c>
      <c r="CM539" s="361">
        <v>39828</v>
      </c>
      <c r="CN539" s="317">
        <f t="shared" si="168"/>
        <v>7</v>
      </c>
      <c r="CO539" s="368">
        <v>5.8999999999999999E-3</v>
      </c>
      <c r="CP539" s="346">
        <f t="shared" si="170"/>
        <v>4.1299999999999996E-2</v>
      </c>
      <c r="CQ539" s="365">
        <f>+CQ540</f>
        <v>5.9484000000000004E-3</v>
      </c>
      <c r="CR539" s="337">
        <f t="shared" si="176"/>
        <v>9506.7654739999998</v>
      </c>
      <c r="CV539" s="337">
        <f t="shared" si="169"/>
        <v>9429.4</v>
      </c>
    </row>
    <row r="540" spans="2:100" hidden="1" x14ac:dyDescent="0.25">
      <c r="B540" s="345"/>
      <c r="I540" s="335">
        <f t="shared" si="174"/>
        <v>36427</v>
      </c>
      <c r="J540" s="345">
        <v>36432</v>
      </c>
      <c r="K540" s="317">
        <f t="shared" si="171"/>
        <v>5</v>
      </c>
      <c r="M540" s="346">
        <v>3.5236000000000003E-2</v>
      </c>
      <c r="N540" s="339">
        <f>ROUND(((N539*SUM($K$10:K539))+(M540*K540))/SUM($K$10:K540),5)</f>
        <v>3.2779999999999997E-2</v>
      </c>
      <c r="O540" s="348">
        <v>146</v>
      </c>
      <c r="S540" s="317">
        <f t="shared" si="166"/>
        <v>0</v>
      </c>
      <c r="U540" s="346"/>
      <c r="BB540" s="352"/>
      <c r="BP540" s="345"/>
      <c r="BR540" s="347"/>
      <c r="BS540" s="337"/>
      <c r="CH540" s="337">
        <f t="shared" si="175"/>
        <v>0</v>
      </c>
      <c r="CL540" s="361">
        <f t="shared" si="172"/>
        <v>39828</v>
      </c>
      <c r="CM540" s="361">
        <v>39835</v>
      </c>
      <c r="CN540" s="317">
        <f t="shared" si="168"/>
        <v>7</v>
      </c>
      <c r="CO540" s="368">
        <v>4.5999999999999999E-3</v>
      </c>
      <c r="CP540" s="346">
        <f t="shared" si="170"/>
        <v>3.2199999999999999E-2</v>
      </c>
      <c r="CQ540" s="365">
        <f>+CQ541</f>
        <v>5.9484000000000004E-3</v>
      </c>
      <c r="CR540" s="337">
        <f t="shared" si="176"/>
        <v>9506.7654739999998</v>
      </c>
      <c r="CV540" s="337">
        <f t="shared" si="169"/>
        <v>7351.7</v>
      </c>
    </row>
    <row r="541" spans="2:100" hidden="1" x14ac:dyDescent="0.25">
      <c r="B541" s="345"/>
      <c r="I541" s="335">
        <f t="shared" si="174"/>
        <v>36432</v>
      </c>
      <c r="J541" s="345">
        <v>36440</v>
      </c>
      <c r="K541" s="317">
        <f t="shared" si="171"/>
        <v>8</v>
      </c>
      <c r="M541" s="346">
        <v>3.5242000000000002E-2</v>
      </c>
      <c r="N541" s="339">
        <f>ROUND(((N540*SUM($K$10:K540))+(M541*K541))/SUM($K$10:K541),5)</f>
        <v>3.279E-2</v>
      </c>
      <c r="O541" s="316">
        <v>145.9</v>
      </c>
      <c r="S541" s="317">
        <f t="shared" si="166"/>
        <v>0</v>
      </c>
      <c r="U541" s="346"/>
      <c r="BB541" s="352"/>
      <c r="BP541" s="345"/>
      <c r="BR541" s="347"/>
      <c r="BS541" s="337"/>
      <c r="CH541" s="337">
        <f t="shared" si="175"/>
        <v>0</v>
      </c>
      <c r="CL541" s="361">
        <f t="shared" si="172"/>
        <v>39835</v>
      </c>
      <c r="CM541" s="361">
        <v>39842</v>
      </c>
      <c r="CN541" s="317">
        <f t="shared" si="168"/>
        <v>7</v>
      </c>
      <c r="CO541" s="368">
        <v>5.1000000000000004E-3</v>
      </c>
      <c r="CP541" s="346">
        <f t="shared" si="170"/>
        <v>3.5700000000000003E-2</v>
      </c>
      <c r="CQ541" s="365">
        <f>+CQ542</f>
        <v>5.9484000000000004E-3</v>
      </c>
      <c r="CR541" s="337">
        <f t="shared" si="176"/>
        <v>9506.7654739999998</v>
      </c>
      <c r="CV541" s="337">
        <f t="shared" si="169"/>
        <v>8150.8</v>
      </c>
    </row>
    <row r="542" spans="2:100" hidden="1" x14ac:dyDescent="0.25">
      <c r="B542" s="345"/>
      <c r="I542" s="335">
        <f t="shared" si="174"/>
        <v>36440</v>
      </c>
      <c r="J542" s="345">
        <v>36441</v>
      </c>
      <c r="K542" s="317">
        <f t="shared" si="171"/>
        <v>1</v>
      </c>
      <c r="M542" s="346">
        <v>3.5374999999999997E-2</v>
      </c>
      <c r="N542" s="339">
        <f>ROUND(((N541*SUM($K$10:K541))+(M542*K542))/SUM($K$10:K542),5)</f>
        <v>3.279E-2</v>
      </c>
      <c r="O542" s="316">
        <v>145.9</v>
      </c>
      <c r="S542" s="317">
        <f t="shared" si="166"/>
        <v>0</v>
      </c>
      <c r="U542" s="346"/>
      <c r="BB542" s="352"/>
      <c r="BP542" s="345"/>
      <c r="BR542" s="347"/>
      <c r="BS542" s="337"/>
      <c r="CH542" s="337">
        <f t="shared" si="175"/>
        <v>0</v>
      </c>
      <c r="CL542" s="361">
        <f t="shared" si="172"/>
        <v>39842</v>
      </c>
      <c r="CM542" s="361">
        <v>39846</v>
      </c>
      <c r="CN542" s="317">
        <f t="shared" si="168"/>
        <v>4</v>
      </c>
      <c r="CO542" s="368">
        <v>5.3E-3</v>
      </c>
      <c r="CP542" s="346">
        <f t="shared" si="170"/>
        <v>2.12E-2</v>
      </c>
      <c r="CQ542" s="365">
        <f>ROUND(SUM(CP538:CP542)/31,7)</f>
        <v>5.9484000000000004E-3</v>
      </c>
      <c r="CR542" s="337">
        <f t="shared" si="176"/>
        <v>5432.437414</v>
      </c>
      <c r="CS542" s="337">
        <f>(ROUND(SUM(CR538:CR542),2))</f>
        <v>42101.39</v>
      </c>
      <c r="CT542" s="337">
        <f>ROUND($CR$5*0.05495*30/360,2)</f>
        <v>381604.85</v>
      </c>
      <c r="CU542" s="366">
        <f>CS542-CT542</f>
        <v>-339503.45999999996</v>
      </c>
      <c r="CV542" s="337">
        <f t="shared" si="169"/>
        <v>4840.3</v>
      </c>
    </row>
    <row r="543" spans="2:100" hidden="1" x14ac:dyDescent="0.25">
      <c r="B543" s="345"/>
      <c r="I543" s="335">
        <f t="shared" si="174"/>
        <v>36441</v>
      </c>
      <c r="J543" s="345">
        <v>36445</v>
      </c>
      <c r="K543" s="317">
        <f t="shared" si="171"/>
        <v>4</v>
      </c>
      <c r="M543" s="346">
        <v>3.5374999999999997E-2</v>
      </c>
      <c r="N543" s="339">
        <f>ROUND(((N542*SUM($K$10:K542))+(M543*K543))/SUM($K$10:K543),5)</f>
        <v>3.279E-2</v>
      </c>
      <c r="O543" s="316">
        <v>145.9</v>
      </c>
      <c r="S543" s="317">
        <f t="shared" si="166"/>
        <v>0</v>
      </c>
      <c r="U543" s="346"/>
      <c r="BB543" s="352"/>
      <c r="BP543" s="345"/>
      <c r="BR543" s="347"/>
      <c r="BS543" s="337"/>
      <c r="CH543" s="337">
        <f t="shared" si="175"/>
        <v>0</v>
      </c>
      <c r="CL543" s="361">
        <f t="shared" si="172"/>
        <v>39846</v>
      </c>
      <c r="CM543" s="361">
        <v>39849</v>
      </c>
      <c r="CN543" s="317">
        <f t="shared" si="168"/>
        <v>3</v>
      </c>
      <c r="CO543" s="368">
        <v>5.3E-3</v>
      </c>
      <c r="CP543" s="346">
        <f t="shared" si="170"/>
        <v>1.5900000000000001E-2</v>
      </c>
      <c r="CQ543" s="365">
        <f>+CQ544</f>
        <v>5.7499999999999999E-3</v>
      </c>
      <c r="CR543" s="337">
        <f t="shared" si="176"/>
        <v>3938.4349320000001</v>
      </c>
      <c r="CV543" s="337">
        <f t="shared" si="169"/>
        <v>3630.2</v>
      </c>
    </row>
    <row r="544" spans="2:100" hidden="1" x14ac:dyDescent="0.25">
      <c r="B544" s="345"/>
      <c r="I544" s="335">
        <f t="shared" si="174"/>
        <v>36445</v>
      </c>
      <c r="J544" s="345">
        <v>36446</v>
      </c>
      <c r="K544" s="317">
        <f t="shared" si="171"/>
        <v>1</v>
      </c>
      <c r="M544" s="346">
        <v>3.5416999999999997E-2</v>
      </c>
      <c r="N544" s="339">
        <f>ROUND(((N543*SUM($K$10:K543))+(M544*K544))/SUM($K$10:K544),5)</f>
        <v>3.279E-2</v>
      </c>
      <c r="O544" s="316">
        <v>153.1</v>
      </c>
      <c r="S544" s="317">
        <f t="shared" si="166"/>
        <v>0</v>
      </c>
      <c r="U544" s="346"/>
      <c r="BB544" s="352"/>
      <c r="BP544" s="345"/>
      <c r="BR544" s="347"/>
      <c r="BS544" s="337"/>
      <c r="CH544" s="337">
        <f t="shared" si="175"/>
        <v>0</v>
      </c>
      <c r="CL544" s="361">
        <f t="shared" si="172"/>
        <v>39849</v>
      </c>
      <c r="CM544" s="361">
        <v>39856</v>
      </c>
      <c r="CN544" s="317">
        <f t="shared" si="168"/>
        <v>7</v>
      </c>
      <c r="CO544" s="368">
        <v>4.7999999999999996E-3</v>
      </c>
      <c r="CP544" s="346">
        <f t="shared" si="170"/>
        <v>3.3599999999999998E-2</v>
      </c>
      <c r="CQ544" s="365">
        <f>+CQ545</f>
        <v>5.7499999999999999E-3</v>
      </c>
      <c r="CR544" s="337">
        <f t="shared" si="176"/>
        <v>9189.6815069999993</v>
      </c>
      <c r="CV544" s="337">
        <f t="shared" si="169"/>
        <v>7671.4</v>
      </c>
    </row>
    <row r="545" spans="2:100" hidden="1" x14ac:dyDescent="0.25">
      <c r="B545" s="345"/>
      <c r="I545" s="335">
        <f t="shared" si="174"/>
        <v>36446</v>
      </c>
      <c r="J545" s="345">
        <v>36447</v>
      </c>
      <c r="K545" s="317">
        <f t="shared" si="171"/>
        <v>1</v>
      </c>
      <c r="M545" s="346">
        <v>3.5444999999999997E-2</v>
      </c>
      <c r="N545" s="339">
        <f>ROUND(((N544*SUM($K$10:K544))+(M545*K545))/SUM($K$10:K545),5)</f>
        <v>3.279E-2</v>
      </c>
      <c r="O545" s="316">
        <v>154.80000000000001</v>
      </c>
      <c r="S545" s="317">
        <f t="shared" si="166"/>
        <v>0</v>
      </c>
      <c r="U545" s="346"/>
      <c r="BB545" s="352"/>
      <c r="BP545" s="345"/>
      <c r="BR545" s="347"/>
      <c r="BS545" s="337"/>
      <c r="CH545" s="337">
        <f t="shared" si="175"/>
        <v>0</v>
      </c>
      <c r="CL545" s="361">
        <f t="shared" si="172"/>
        <v>39856</v>
      </c>
      <c r="CM545" s="361">
        <v>39863</v>
      </c>
      <c r="CN545" s="317">
        <f t="shared" si="168"/>
        <v>7</v>
      </c>
      <c r="CO545" s="368">
        <v>5.4999999999999997E-3</v>
      </c>
      <c r="CP545" s="346">
        <f t="shared" si="170"/>
        <v>3.85E-2</v>
      </c>
      <c r="CQ545" s="365">
        <f>+CQ546</f>
        <v>5.7499999999999999E-3</v>
      </c>
      <c r="CR545" s="337">
        <f t="shared" si="176"/>
        <v>9189.6815069999993</v>
      </c>
      <c r="CV545" s="337">
        <f t="shared" si="169"/>
        <v>8790.1</v>
      </c>
    </row>
    <row r="546" spans="2:100" hidden="1" x14ac:dyDescent="0.25">
      <c r="B546" s="345"/>
      <c r="I546" s="335">
        <f t="shared" si="174"/>
        <v>36447</v>
      </c>
      <c r="J546" s="345">
        <v>36472</v>
      </c>
      <c r="K546" s="317">
        <f t="shared" si="171"/>
        <v>25</v>
      </c>
      <c r="M546" s="346">
        <v>3.5687999999999998E-2</v>
      </c>
      <c r="N546" s="339">
        <f>ROUND(((N545*SUM($K$10:K545))+(M546*K546))/SUM($K$10:K546),5)</f>
        <v>3.2820000000000002E-2</v>
      </c>
      <c r="O546" s="316">
        <v>156.69999999999999</v>
      </c>
      <c r="S546" s="317">
        <f t="shared" ref="S546:S613" si="177">R546-Q546</f>
        <v>0</v>
      </c>
      <c r="U546" s="346"/>
      <c r="BB546" s="352"/>
      <c r="BP546" s="345"/>
      <c r="BR546" s="347"/>
      <c r="BS546" s="337"/>
      <c r="CH546" s="337">
        <f t="shared" si="175"/>
        <v>0</v>
      </c>
      <c r="CL546" s="361">
        <f t="shared" si="172"/>
        <v>39863</v>
      </c>
      <c r="CM546" s="361">
        <v>39870</v>
      </c>
      <c r="CN546" s="317">
        <f t="shared" si="168"/>
        <v>7</v>
      </c>
      <c r="CO546" s="368">
        <v>6.6E-3</v>
      </c>
      <c r="CP546" s="346">
        <f t="shared" si="170"/>
        <v>4.6199999999999998E-2</v>
      </c>
      <c r="CQ546" s="365">
        <f>+CQ547</f>
        <v>5.7499999999999999E-3</v>
      </c>
      <c r="CR546" s="337">
        <f t="shared" si="176"/>
        <v>9189.6815069999993</v>
      </c>
      <c r="CS546" s="337"/>
      <c r="CT546" s="337"/>
      <c r="CU546" s="366"/>
      <c r="CV546" s="337">
        <f t="shared" si="169"/>
        <v>10548.2</v>
      </c>
    </row>
    <row r="547" spans="2:100" hidden="1" x14ac:dyDescent="0.25">
      <c r="B547" s="345"/>
      <c r="I547" s="335">
        <f t="shared" si="174"/>
        <v>36472</v>
      </c>
      <c r="J547" s="345">
        <v>36479</v>
      </c>
      <c r="K547" s="317">
        <f t="shared" si="171"/>
        <v>7</v>
      </c>
      <c r="M547" s="346">
        <v>3.5716999999999999E-2</v>
      </c>
      <c r="N547" s="339">
        <f>ROUND(((N546*SUM($K$10:K546))+(M547*K547))/SUM($K$10:K547),5)</f>
        <v>3.2829999999999998E-2</v>
      </c>
      <c r="O547" s="348">
        <v>157</v>
      </c>
      <c r="S547" s="317">
        <f t="shared" si="177"/>
        <v>0</v>
      </c>
      <c r="U547" s="346"/>
      <c r="BB547" s="352"/>
      <c r="BP547" s="345"/>
      <c r="BR547" s="347"/>
      <c r="BS547" s="337"/>
      <c r="CH547" s="337">
        <f t="shared" si="175"/>
        <v>0</v>
      </c>
      <c r="CL547" s="361">
        <f t="shared" si="172"/>
        <v>39870</v>
      </c>
      <c r="CM547" s="361">
        <v>39874</v>
      </c>
      <c r="CN547" s="317">
        <f t="shared" si="168"/>
        <v>4</v>
      </c>
      <c r="CO547" s="368">
        <v>6.7000000000000002E-3</v>
      </c>
      <c r="CP547" s="346">
        <f t="shared" si="170"/>
        <v>2.6800000000000001E-2</v>
      </c>
      <c r="CQ547" s="365">
        <f>ROUND(SUM(CP543:CP547)/28,7)</f>
        <v>5.7499999999999999E-3</v>
      </c>
      <c r="CR547" s="337">
        <f t="shared" si="176"/>
        <v>5251.2465750000001</v>
      </c>
      <c r="CS547" s="337">
        <f>(ROUND(SUM(CR543:CR547),2))</f>
        <v>36758.730000000003</v>
      </c>
      <c r="CT547" s="337">
        <f>ROUND($CR$5*0.05495*30/360,2)</f>
        <v>381604.85</v>
      </c>
      <c r="CU547" s="366">
        <f>CS547-CT547</f>
        <v>-344846.12</v>
      </c>
      <c r="CV547" s="337">
        <f t="shared" si="169"/>
        <v>6118.8</v>
      </c>
    </row>
    <row r="548" spans="2:100" hidden="1" x14ac:dyDescent="0.25">
      <c r="B548" s="345"/>
      <c r="I548" s="335">
        <f t="shared" si="174"/>
        <v>36479</v>
      </c>
      <c r="J548" s="345">
        <v>36445</v>
      </c>
      <c r="K548" s="317">
        <f t="shared" si="171"/>
        <v>-34</v>
      </c>
      <c r="M548" s="346">
        <v>3.5374999999999997E-2</v>
      </c>
      <c r="N548" s="339">
        <f>ROUND(((N547*SUM($K$10:K547))+(M548*K548))/SUM($K$10:K548),5)</f>
        <v>3.2800000000000003E-2</v>
      </c>
      <c r="O548" s="316">
        <v>145.9</v>
      </c>
      <c r="S548" s="317">
        <f t="shared" si="177"/>
        <v>0</v>
      </c>
      <c r="U548" s="346"/>
      <c r="BB548" s="352"/>
      <c r="BP548" s="345"/>
      <c r="BR548" s="347"/>
      <c r="BS548" s="337"/>
      <c r="CH548" s="337">
        <f t="shared" si="175"/>
        <v>0</v>
      </c>
      <c r="CL548" s="361">
        <f t="shared" si="172"/>
        <v>39874</v>
      </c>
      <c r="CM548" s="361">
        <v>39877</v>
      </c>
      <c r="CN548" s="317">
        <f t="shared" si="168"/>
        <v>3</v>
      </c>
      <c r="CO548" s="368">
        <v>6.7000000000000002E-3</v>
      </c>
      <c r="CP548" s="346">
        <f t="shared" si="170"/>
        <v>2.01E-2</v>
      </c>
      <c r="CQ548" s="365">
        <f>+CQ549</f>
        <v>5.7166999999999999E-3</v>
      </c>
      <c r="CR548" s="337">
        <f t="shared" si="176"/>
        <v>3915.626256</v>
      </c>
      <c r="CV548" s="337">
        <f t="shared" si="169"/>
        <v>4589.1000000000004</v>
      </c>
    </row>
    <row r="549" spans="2:100" hidden="1" x14ac:dyDescent="0.25">
      <c r="B549" s="345"/>
      <c r="I549" s="335">
        <f t="shared" si="174"/>
        <v>36445</v>
      </c>
      <c r="J549" s="345">
        <v>36446</v>
      </c>
      <c r="K549" s="317">
        <f t="shared" si="171"/>
        <v>1</v>
      </c>
      <c r="M549" s="346">
        <v>3.5416999999999997E-2</v>
      </c>
      <c r="N549" s="339">
        <f>ROUND(((N548*SUM($K$10:K548))+(M549*K549))/SUM($K$10:K549),5)</f>
        <v>3.2800000000000003E-2</v>
      </c>
      <c r="O549" s="316">
        <v>153.1</v>
      </c>
      <c r="S549" s="317">
        <f t="shared" si="177"/>
        <v>0</v>
      </c>
      <c r="U549" s="346"/>
      <c r="BB549" s="352"/>
      <c r="BP549" s="345"/>
      <c r="BR549" s="347"/>
      <c r="BS549" s="337"/>
      <c r="CH549" s="337">
        <f t="shared" si="175"/>
        <v>0</v>
      </c>
      <c r="CL549" s="361">
        <f t="shared" si="172"/>
        <v>39877</v>
      </c>
      <c r="CM549" s="361">
        <v>39884</v>
      </c>
      <c r="CN549" s="317">
        <f t="shared" si="168"/>
        <v>7</v>
      </c>
      <c r="CO549" s="368">
        <v>5.4999999999999997E-3</v>
      </c>
      <c r="CP549" s="346">
        <f t="shared" si="170"/>
        <v>3.85E-2</v>
      </c>
      <c r="CQ549" s="365">
        <f>+CQ550</f>
        <v>5.7166999999999999E-3</v>
      </c>
      <c r="CR549" s="337">
        <f t="shared" si="176"/>
        <v>9136.4612639999996</v>
      </c>
      <c r="CV549" s="337">
        <f t="shared" si="169"/>
        <v>8790.1</v>
      </c>
    </row>
    <row r="550" spans="2:100" hidden="1" x14ac:dyDescent="0.25">
      <c r="B550" s="345"/>
      <c r="I550" s="335">
        <f t="shared" si="174"/>
        <v>36446</v>
      </c>
      <c r="J550" s="345">
        <v>36447</v>
      </c>
      <c r="K550" s="317">
        <f t="shared" si="171"/>
        <v>1</v>
      </c>
      <c r="M550" s="346">
        <v>3.5444999999999997E-2</v>
      </c>
      <c r="N550" s="339">
        <f>ROUND(((N549*SUM($K$10:K549))+(M550*K550))/SUM($K$10:K550),5)</f>
        <v>3.2800000000000003E-2</v>
      </c>
      <c r="O550" s="316">
        <v>154.80000000000001</v>
      </c>
      <c r="S550" s="317">
        <f t="shared" si="177"/>
        <v>0</v>
      </c>
      <c r="U550" s="346"/>
      <c r="BB550" s="352"/>
      <c r="BP550" s="345"/>
      <c r="BR550" s="347"/>
      <c r="BS550" s="337"/>
      <c r="CH550" s="337">
        <f t="shared" si="175"/>
        <v>0</v>
      </c>
      <c r="CL550" s="361">
        <f t="shared" si="172"/>
        <v>39884</v>
      </c>
      <c r="CM550" s="361">
        <v>39891</v>
      </c>
      <c r="CN550" s="317">
        <f t="shared" si="168"/>
        <v>7</v>
      </c>
      <c r="CO550" s="368">
        <v>5.7999999999999996E-3</v>
      </c>
      <c r="CP550" s="346">
        <f t="shared" si="170"/>
        <v>4.0599999999999997E-2</v>
      </c>
      <c r="CQ550" s="365">
        <f>+CQ551</f>
        <v>5.7166999999999999E-3</v>
      </c>
      <c r="CR550" s="337">
        <f t="shared" si="176"/>
        <v>9136.4612639999996</v>
      </c>
      <c r="CV550" s="337">
        <f t="shared" si="169"/>
        <v>9269.6</v>
      </c>
    </row>
    <row r="551" spans="2:100" hidden="1" x14ac:dyDescent="0.25">
      <c r="B551" s="345"/>
      <c r="I551" s="335">
        <f t="shared" si="174"/>
        <v>36447</v>
      </c>
      <c r="J551" s="345">
        <v>36472</v>
      </c>
      <c r="K551" s="317">
        <f t="shared" si="171"/>
        <v>25</v>
      </c>
      <c r="M551" s="346">
        <v>3.5687999999999998E-2</v>
      </c>
      <c r="N551" s="339">
        <f>ROUND(((N550*SUM($K$10:K550))+(M551*K551))/SUM($K$10:K551),5)</f>
        <v>3.2829999999999998E-2</v>
      </c>
      <c r="O551" s="316">
        <v>156.69999999999999</v>
      </c>
      <c r="S551" s="317">
        <f t="shared" si="177"/>
        <v>0</v>
      </c>
      <c r="U551" s="346"/>
      <c r="BB551" s="352"/>
      <c r="BP551" s="345"/>
      <c r="BR551" s="347"/>
      <c r="BS551" s="337"/>
      <c r="CH551" s="337">
        <f t="shared" si="175"/>
        <v>0</v>
      </c>
      <c r="CL551" s="361">
        <f t="shared" si="172"/>
        <v>39891</v>
      </c>
      <c r="CM551" s="361">
        <v>39898</v>
      </c>
      <c r="CN551" s="317">
        <f t="shared" si="168"/>
        <v>7</v>
      </c>
      <c r="CO551" s="368">
        <v>5.7000000000000002E-3</v>
      </c>
      <c r="CP551" s="346">
        <f t="shared" si="170"/>
        <v>3.9900000000000005E-2</v>
      </c>
      <c r="CQ551" s="365">
        <f>+CQ552</f>
        <v>5.7166999999999999E-3</v>
      </c>
      <c r="CR551" s="337">
        <f t="shared" si="176"/>
        <v>9136.4612639999996</v>
      </c>
      <c r="CS551" s="337"/>
      <c r="CT551" s="337"/>
      <c r="CU551" s="366"/>
      <c r="CV551" s="337">
        <f t="shared" si="169"/>
        <v>9109.7999999999993</v>
      </c>
    </row>
    <row r="552" spans="2:100" hidden="1" x14ac:dyDescent="0.25">
      <c r="B552" s="345"/>
      <c r="I552" s="335">
        <f t="shared" si="174"/>
        <v>36472</v>
      </c>
      <c r="J552" s="345">
        <v>36479</v>
      </c>
      <c r="K552" s="317">
        <f t="shared" si="171"/>
        <v>7</v>
      </c>
      <c r="M552" s="346">
        <v>3.5716999999999999E-2</v>
      </c>
      <c r="N552" s="339">
        <f>ROUND(((N551*SUM($K$10:K551))+(M552*K552))/SUM($K$10:K552),5)</f>
        <v>3.2840000000000001E-2</v>
      </c>
      <c r="O552" s="348">
        <v>157</v>
      </c>
      <c r="S552" s="317">
        <f t="shared" si="177"/>
        <v>0</v>
      </c>
      <c r="U552" s="346"/>
      <c r="BB552" s="352"/>
      <c r="BP552" s="345"/>
      <c r="BR552" s="347"/>
      <c r="BS552" s="337"/>
      <c r="CH552" s="337">
        <f t="shared" si="175"/>
        <v>0</v>
      </c>
      <c r="CL552" s="361">
        <f t="shared" si="172"/>
        <v>39898</v>
      </c>
      <c r="CM552" s="361">
        <v>39904</v>
      </c>
      <c r="CN552" s="317">
        <f t="shared" si="168"/>
        <v>6</v>
      </c>
      <c r="CO552" s="368">
        <v>5.4000000000000003E-3</v>
      </c>
      <c r="CP552" s="346">
        <f t="shared" si="170"/>
        <v>3.2399999999999998E-2</v>
      </c>
      <c r="CQ552" s="365">
        <f>ROUND(SUM(CP548:CP552)/30,7)</f>
        <v>5.7166999999999999E-3</v>
      </c>
      <c r="CR552" s="337">
        <f t="shared" si="176"/>
        <v>7831.252512</v>
      </c>
      <c r="CS552" s="337">
        <f>(ROUND(SUM(CR548:CR552),2))</f>
        <v>39156.26</v>
      </c>
      <c r="CT552" s="337">
        <f>ROUND($CR$5*0.05495*29/360,2)</f>
        <v>368884.69</v>
      </c>
      <c r="CU552" s="366">
        <f>CS552-CT552</f>
        <v>-329728.43</v>
      </c>
      <c r="CV552" s="337">
        <f t="shared" si="169"/>
        <v>7397.4</v>
      </c>
    </row>
    <row r="553" spans="2:100" hidden="1" x14ac:dyDescent="0.25">
      <c r="B553" s="345"/>
      <c r="I553" s="335">
        <f t="shared" si="174"/>
        <v>36479</v>
      </c>
      <c r="J553" s="345">
        <v>36445</v>
      </c>
      <c r="K553" s="317">
        <f t="shared" si="171"/>
        <v>-34</v>
      </c>
      <c r="M553" s="346">
        <v>3.5374999999999997E-2</v>
      </c>
      <c r="N553" s="339">
        <f>ROUND(((N552*SUM($K$10:K552))+(M553*K553))/SUM($K$10:K553),5)</f>
        <v>3.2809999999999999E-2</v>
      </c>
      <c r="O553" s="316">
        <v>145.9</v>
      </c>
      <c r="S553" s="317">
        <f t="shared" si="177"/>
        <v>0</v>
      </c>
      <c r="U553" s="346"/>
      <c r="BB553" s="352"/>
      <c r="BP553" s="345"/>
      <c r="BR553" s="347"/>
      <c r="BS553" s="337"/>
      <c r="CH553" s="337">
        <f t="shared" si="175"/>
        <v>0</v>
      </c>
      <c r="CL553" s="361">
        <f t="shared" si="172"/>
        <v>39904</v>
      </c>
      <c r="CM553" s="361">
        <v>39905</v>
      </c>
      <c r="CN553" s="317">
        <f t="shared" si="168"/>
        <v>1</v>
      </c>
      <c r="CO553" s="368">
        <v>5.4000000000000003E-3</v>
      </c>
      <c r="CP553" s="346">
        <f t="shared" si="170"/>
        <v>5.4000000000000003E-3</v>
      </c>
      <c r="CQ553" s="365">
        <f>+CQ554</f>
        <v>5.2667E-3</v>
      </c>
      <c r="CR553" s="337">
        <f t="shared" si="176"/>
        <v>1202.4669710000001</v>
      </c>
      <c r="CV553" s="337">
        <f t="shared" si="169"/>
        <v>1232.9000000000001</v>
      </c>
    </row>
    <row r="554" spans="2:100" hidden="1" x14ac:dyDescent="0.25">
      <c r="B554" s="345"/>
      <c r="I554" s="335">
        <f t="shared" si="174"/>
        <v>36445</v>
      </c>
      <c r="J554" s="345">
        <v>36446</v>
      </c>
      <c r="K554" s="317">
        <f t="shared" si="171"/>
        <v>1</v>
      </c>
      <c r="M554" s="346">
        <v>3.5416999999999997E-2</v>
      </c>
      <c r="N554" s="339">
        <f>ROUND(((N553*SUM($K$10:K553))+(M554*K554))/SUM($K$10:K554),5)</f>
        <v>3.2809999999999999E-2</v>
      </c>
      <c r="O554" s="316">
        <v>153.1</v>
      </c>
      <c r="S554" s="317">
        <f t="shared" si="177"/>
        <v>0</v>
      </c>
      <c r="U554" s="346"/>
      <c r="BB554" s="352"/>
      <c r="BP554" s="345"/>
      <c r="BR554" s="347"/>
      <c r="BS554" s="337"/>
      <c r="CH554" s="337">
        <f t="shared" si="175"/>
        <v>0</v>
      </c>
      <c r="CL554" s="361">
        <f t="shared" si="172"/>
        <v>39905</v>
      </c>
      <c r="CM554" s="361">
        <v>39912</v>
      </c>
      <c r="CN554" s="317">
        <f t="shared" si="168"/>
        <v>7</v>
      </c>
      <c r="CO554" s="368">
        <v>4.7999999999999996E-3</v>
      </c>
      <c r="CP554" s="346">
        <f t="shared" si="170"/>
        <v>3.3599999999999998E-2</v>
      </c>
      <c r="CQ554" s="365">
        <f>+CQ555</f>
        <v>5.2667E-3</v>
      </c>
      <c r="CR554" s="337">
        <f t="shared" si="176"/>
        <v>8417.2687989999995</v>
      </c>
      <c r="CV554" s="337">
        <f t="shared" si="169"/>
        <v>7671.4</v>
      </c>
    </row>
    <row r="555" spans="2:100" hidden="1" x14ac:dyDescent="0.25">
      <c r="B555" s="345"/>
      <c r="I555" s="335">
        <f t="shared" si="174"/>
        <v>36446</v>
      </c>
      <c r="J555" s="345">
        <v>36447</v>
      </c>
      <c r="K555" s="317">
        <f t="shared" si="171"/>
        <v>1</v>
      </c>
      <c r="M555" s="346">
        <v>3.5444999999999997E-2</v>
      </c>
      <c r="N555" s="339">
        <f>ROUND(((N554*SUM($K$10:K554))+(M555*K555))/SUM($K$10:K555),5)</f>
        <v>3.2809999999999999E-2</v>
      </c>
      <c r="O555" s="316">
        <v>154.80000000000001</v>
      </c>
      <c r="S555" s="317">
        <f t="shared" si="177"/>
        <v>0</v>
      </c>
      <c r="U555" s="346"/>
      <c r="BB555" s="352"/>
      <c r="BP555" s="345"/>
      <c r="BR555" s="347"/>
      <c r="BS555" s="337"/>
      <c r="CH555" s="337">
        <f t="shared" si="175"/>
        <v>0</v>
      </c>
      <c r="CL555" s="361">
        <f t="shared" si="172"/>
        <v>39912</v>
      </c>
      <c r="CM555" s="361">
        <v>39919</v>
      </c>
      <c r="CN555" s="317">
        <f t="shared" si="168"/>
        <v>7</v>
      </c>
      <c r="CO555" s="368">
        <v>5.1000000000000004E-3</v>
      </c>
      <c r="CP555" s="346">
        <f t="shared" si="170"/>
        <v>3.5700000000000003E-2</v>
      </c>
      <c r="CQ555" s="365">
        <f>+CQ556</f>
        <v>5.2667E-3</v>
      </c>
      <c r="CR555" s="337">
        <f t="shared" si="176"/>
        <v>8417.2687989999995</v>
      </c>
      <c r="CV555" s="337">
        <f t="shared" si="169"/>
        <v>8150.8</v>
      </c>
    </row>
    <row r="556" spans="2:100" hidden="1" x14ac:dyDescent="0.25">
      <c r="B556" s="345"/>
      <c r="I556" s="335">
        <f t="shared" si="174"/>
        <v>36447</v>
      </c>
      <c r="J556" s="345">
        <v>36472</v>
      </c>
      <c r="K556" s="317">
        <f t="shared" si="171"/>
        <v>25</v>
      </c>
      <c r="M556" s="346">
        <v>3.5687999999999998E-2</v>
      </c>
      <c r="N556" s="339">
        <f>ROUND(((N555*SUM($K$10:K555))+(M556*K556))/SUM($K$10:K556),5)</f>
        <v>3.2840000000000001E-2</v>
      </c>
      <c r="O556" s="316">
        <v>156.69999999999999</v>
      </c>
      <c r="S556" s="317">
        <f t="shared" si="177"/>
        <v>0</v>
      </c>
      <c r="U556" s="346"/>
      <c r="BB556" s="352"/>
      <c r="BP556" s="345"/>
      <c r="BR556" s="347"/>
      <c r="BS556" s="337"/>
      <c r="CH556" s="337">
        <f t="shared" si="175"/>
        <v>0</v>
      </c>
      <c r="CL556" s="361">
        <f t="shared" si="172"/>
        <v>39919</v>
      </c>
      <c r="CM556" s="361">
        <v>39926</v>
      </c>
      <c r="CN556" s="317">
        <f t="shared" si="168"/>
        <v>7</v>
      </c>
      <c r="CO556" s="368">
        <v>5.3E-3</v>
      </c>
      <c r="CP556" s="346">
        <f t="shared" si="170"/>
        <v>3.7100000000000001E-2</v>
      </c>
      <c r="CQ556" s="365">
        <f>+CQ557</f>
        <v>5.2667E-3</v>
      </c>
      <c r="CR556" s="337">
        <f t="shared" si="176"/>
        <v>8417.2687989999995</v>
      </c>
      <c r="CS556" s="337"/>
      <c r="CT556" s="337"/>
      <c r="CU556" s="366"/>
      <c r="CV556" s="337">
        <f t="shared" si="169"/>
        <v>8470.5</v>
      </c>
    </row>
    <row r="557" spans="2:100" hidden="1" x14ac:dyDescent="0.25">
      <c r="B557" s="345"/>
      <c r="I557" s="335">
        <f t="shared" si="174"/>
        <v>36472</v>
      </c>
      <c r="J557" s="345">
        <v>36479</v>
      </c>
      <c r="K557" s="317">
        <f t="shared" si="171"/>
        <v>7</v>
      </c>
      <c r="M557" s="346">
        <v>3.5716999999999999E-2</v>
      </c>
      <c r="N557" s="339">
        <f>ROUND(((N556*SUM($K$10:K556))+(M557*K557))/SUM($K$10:K557),5)</f>
        <v>3.2849999999999997E-2</v>
      </c>
      <c r="O557" s="348">
        <v>157</v>
      </c>
      <c r="S557" s="317">
        <f t="shared" si="177"/>
        <v>0</v>
      </c>
      <c r="U557" s="346"/>
      <c r="BB557" s="352"/>
      <c r="BP557" s="345"/>
      <c r="BR557" s="347"/>
      <c r="BS557" s="337"/>
      <c r="CH557" s="337">
        <f t="shared" si="175"/>
        <v>0</v>
      </c>
      <c r="CL557" s="361">
        <f t="shared" si="172"/>
        <v>39926</v>
      </c>
      <c r="CM557" s="361">
        <v>39933</v>
      </c>
      <c r="CN557" s="317">
        <f t="shared" si="168"/>
        <v>7</v>
      </c>
      <c r="CO557" s="368">
        <v>5.7000000000000002E-3</v>
      </c>
      <c r="CP557" s="346">
        <f t="shared" si="170"/>
        <v>3.9900000000000005E-2</v>
      </c>
      <c r="CQ557" s="365">
        <f>+CQ558</f>
        <v>5.2667E-3</v>
      </c>
      <c r="CR557" s="337">
        <f t="shared" si="176"/>
        <v>8417.2687989999995</v>
      </c>
      <c r="CS557" s="337"/>
      <c r="CT557" s="337"/>
      <c r="CU557" s="366"/>
      <c r="CV557" s="337">
        <f t="shared" si="169"/>
        <v>9109.7999999999993</v>
      </c>
    </row>
    <row r="558" spans="2:100" hidden="1" x14ac:dyDescent="0.25">
      <c r="B558" s="345"/>
      <c r="I558" s="335">
        <f>J557</f>
        <v>36479</v>
      </c>
      <c r="J558" s="345">
        <v>36479</v>
      </c>
      <c r="K558" s="317">
        <f>J558-I558</f>
        <v>0</v>
      </c>
      <c r="M558" s="346">
        <v>3.5716999999999999E-2</v>
      </c>
      <c r="N558" s="339">
        <f>ROUND(((N557*SUM($K$10:K557))+(M558*K558))/SUM($K$10:K558),5)</f>
        <v>3.2849999999999997E-2</v>
      </c>
      <c r="O558" s="348">
        <v>157</v>
      </c>
      <c r="S558" s="317">
        <f>R558-Q558</f>
        <v>0</v>
      </c>
      <c r="U558" s="346"/>
      <c r="BB558" s="352"/>
      <c r="BP558" s="345"/>
      <c r="BR558" s="347"/>
      <c r="BS558" s="337"/>
      <c r="CH558" s="337">
        <f t="shared" si="175"/>
        <v>0</v>
      </c>
      <c r="CL558" s="361">
        <f t="shared" si="172"/>
        <v>39933</v>
      </c>
      <c r="CM558" s="361">
        <v>39934</v>
      </c>
      <c r="CN558" s="317">
        <f t="shared" si="168"/>
        <v>1</v>
      </c>
      <c r="CO558" s="368">
        <v>6.3E-3</v>
      </c>
      <c r="CP558" s="346">
        <f t="shared" si="170"/>
        <v>6.3E-3</v>
      </c>
      <c r="CQ558" s="365">
        <f>ROUND(SUM(CP553:CP558)/30,7)</f>
        <v>5.2667E-3</v>
      </c>
      <c r="CR558" s="337">
        <f t="shared" si="176"/>
        <v>1202.4669710000001</v>
      </c>
      <c r="CS558" s="337">
        <f>(ROUND(SUM(CR553:CR558),2))</f>
        <v>36074.01</v>
      </c>
      <c r="CT558" s="337">
        <f>ROUND($CR$5*0.05495*30/360,2)</f>
        <v>381604.85</v>
      </c>
      <c r="CU558" s="366">
        <f>CS558-CT558</f>
        <v>-345530.83999999997</v>
      </c>
      <c r="CV558" s="337">
        <f>ROUND($CR$5*CO558*CN558/365,1)</f>
        <v>1438.4</v>
      </c>
    </row>
    <row r="559" spans="2:100" hidden="1" x14ac:dyDescent="0.25">
      <c r="B559" s="345"/>
      <c r="I559" s="335">
        <f t="shared" si="174"/>
        <v>36479</v>
      </c>
      <c r="J559" s="345">
        <v>36572</v>
      </c>
      <c r="K559" s="317">
        <f t="shared" si="171"/>
        <v>93</v>
      </c>
      <c r="M559" s="346">
        <v>3.5964999999999997E-2</v>
      </c>
      <c r="N559" s="339">
        <f>ROUND(((N558*SUM($K$10:K558))+(M559*K559))/SUM($K$10:K559),5)</f>
        <v>3.2960000000000003E-2</v>
      </c>
      <c r="O559" s="348">
        <v>69.47</v>
      </c>
      <c r="S559" s="317">
        <f t="shared" si="177"/>
        <v>0</v>
      </c>
      <c r="BB559" s="352"/>
      <c r="BP559" s="345"/>
      <c r="BR559" s="347"/>
      <c r="BS559" s="337"/>
      <c r="CH559" s="337">
        <f t="shared" si="175"/>
        <v>0</v>
      </c>
      <c r="CL559" s="361">
        <f t="shared" si="172"/>
        <v>39934</v>
      </c>
      <c r="CM559" s="361">
        <v>39940</v>
      </c>
      <c r="CN559" s="317">
        <f t="shared" si="168"/>
        <v>6</v>
      </c>
      <c r="CO559" s="368">
        <v>6.3E-3</v>
      </c>
      <c r="CP559" s="346">
        <f t="shared" si="170"/>
        <v>3.78E-2</v>
      </c>
      <c r="CQ559" s="365">
        <f>+CQ560</f>
        <v>4.7257999999999996E-3</v>
      </c>
      <c r="CR559" s="337">
        <f t="shared" si="176"/>
        <v>6473.8281040000002</v>
      </c>
      <c r="CV559" s="337">
        <f t="shared" si="169"/>
        <v>8630.2999999999993</v>
      </c>
    </row>
    <row r="560" spans="2:100" hidden="1" x14ac:dyDescent="0.25">
      <c r="B560" s="345"/>
      <c r="I560" s="335">
        <f t="shared" si="174"/>
        <v>36572</v>
      </c>
      <c r="J560" s="345">
        <v>36586</v>
      </c>
      <c r="K560" s="317">
        <f t="shared" si="171"/>
        <v>14</v>
      </c>
      <c r="M560" s="346">
        <v>3.6192000000000002E-2</v>
      </c>
      <c r="N560" s="339">
        <f>ROUND(((N559*SUM($K$10:K559))+(M560*K560))/SUM($K$10:K560),5)</f>
        <v>3.2980000000000002E-2</v>
      </c>
      <c r="O560" s="348">
        <v>70.8</v>
      </c>
      <c r="S560" s="317">
        <f t="shared" si="177"/>
        <v>0</v>
      </c>
      <c r="BB560" s="352"/>
      <c r="BP560" s="345"/>
      <c r="BR560" s="347"/>
      <c r="BS560" s="337"/>
      <c r="CH560" s="337">
        <f t="shared" si="175"/>
        <v>0</v>
      </c>
      <c r="CL560" s="361">
        <f t="shared" si="172"/>
        <v>39940</v>
      </c>
      <c r="CM560" s="361">
        <v>39947</v>
      </c>
      <c r="CN560" s="317">
        <f t="shared" si="168"/>
        <v>7</v>
      </c>
      <c r="CO560" s="368">
        <v>4.7000000000000002E-3</v>
      </c>
      <c r="CP560" s="346">
        <f t="shared" si="170"/>
        <v>3.2899999999999999E-2</v>
      </c>
      <c r="CQ560" s="365">
        <f>+CQ561</f>
        <v>4.7257999999999996E-3</v>
      </c>
      <c r="CR560" s="337">
        <f t="shared" si="176"/>
        <v>7552.7994550000003</v>
      </c>
      <c r="CV560" s="337">
        <f t="shared" si="169"/>
        <v>7511.6</v>
      </c>
    </row>
    <row r="561" spans="2:100" hidden="1" x14ac:dyDescent="0.25">
      <c r="B561" s="345"/>
      <c r="I561" s="335">
        <f t="shared" si="174"/>
        <v>36586</v>
      </c>
      <c r="J561" s="345">
        <v>36587</v>
      </c>
      <c r="K561" s="317">
        <f t="shared" si="171"/>
        <v>1</v>
      </c>
      <c r="M561" s="346">
        <v>3.6193000000000003E-2</v>
      </c>
      <c r="N561" s="339">
        <f>ROUND(((N560*SUM($K$10:K560))+(M561*K561))/SUM($K$10:K561),5)</f>
        <v>3.2980000000000002E-2</v>
      </c>
      <c r="O561" s="348">
        <v>70.5</v>
      </c>
      <c r="S561" s="317">
        <f t="shared" si="177"/>
        <v>0</v>
      </c>
      <c r="BB561" s="352"/>
      <c r="BP561" s="345"/>
      <c r="BR561" s="347"/>
      <c r="BS561" s="337"/>
      <c r="CH561" s="337">
        <f t="shared" si="175"/>
        <v>0</v>
      </c>
      <c r="CL561" s="361">
        <f t="shared" si="172"/>
        <v>39947</v>
      </c>
      <c r="CM561" s="361">
        <v>39954</v>
      </c>
      <c r="CN561" s="317">
        <f t="shared" si="168"/>
        <v>7</v>
      </c>
      <c r="CO561" s="368">
        <v>4.4000000000000003E-3</v>
      </c>
      <c r="CP561" s="346">
        <f t="shared" si="170"/>
        <v>3.0800000000000001E-2</v>
      </c>
      <c r="CQ561" s="365">
        <f>+CQ562</f>
        <v>4.7257999999999996E-3</v>
      </c>
      <c r="CR561" s="337">
        <f t="shared" si="176"/>
        <v>7552.7994550000003</v>
      </c>
      <c r="CV561" s="337">
        <f t="shared" si="169"/>
        <v>7032.1</v>
      </c>
    </row>
    <row r="562" spans="2:100" hidden="1" x14ac:dyDescent="0.25">
      <c r="B562" s="345"/>
      <c r="I562" s="335">
        <f t="shared" si="174"/>
        <v>36587</v>
      </c>
      <c r="J562" s="345">
        <v>36588</v>
      </c>
      <c r="K562" s="317">
        <f t="shared" si="171"/>
        <v>1</v>
      </c>
      <c r="M562" s="346">
        <v>3.619E-2</v>
      </c>
      <c r="N562" s="339">
        <f>ROUND(((N561*SUM($K$10:K561))+(M562*K562))/SUM($K$10:K562),5)</f>
        <v>3.2980000000000002E-2</v>
      </c>
      <c r="O562" s="348">
        <v>70.5</v>
      </c>
      <c r="S562" s="317">
        <f t="shared" si="177"/>
        <v>0</v>
      </c>
      <c r="BB562" s="352"/>
      <c r="BP562" s="345"/>
      <c r="BR562" s="347"/>
      <c r="BS562" s="337"/>
      <c r="CH562" s="337">
        <f t="shared" si="175"/>
        <v>0</v>
      </c>
      <c r="CL562" s="361">
        <f t="shared" si="172"/>
        <v>39954</v>
      </c>
      <c r="CM562" s="361">
        <v>39961</v>
      </c>
      <c r="CN562" s="317">
        <f t="shared" si="168"/>
        <v>7</v>
      </c>
      <c r="CO562" s="368">
        <v>4.1999999999999997E-3</v>
      </c>
      <c r="CP562" s="346">
        <f t="shared" si="170"/>
        <v>2.9399999999999999E-2</v>
      </c>
      <c r="CQ562" s="365">
        <f>+CQ563</f>
        <v>4.7257999999999996E-3</v>
      </c>
      <c r="CR562" s="337">
        <f t="shared" si="176"/>
        <v>7552.7994550000003</v>
      </c>
      <c r="CV562" s="337">
        <f t="shared" si="169"/>
        <v>6712.5</v>
      </c>
    </row>
    <row r="563" spans="2:100" hidden="1" x14ac:dyDescent="0.25">
      <c r="B563" s="345"/>
      <c r="I563" s="335">
        <f t="shared" si="174"/>
        <v>36588</v>
      </c>
      <c r="J563" s="345">
        <v>36591</v>
      </c>
      <c r="K563" s="317">
        <f t="shared" si="171"/>
        <v>3</v>
      </c>
      <c r="M563" s="346">
        <v>3.6193000000000003E-2</v>
      </c>
      <c r="N563" s="339">
        <f>ROUND(((N562*SUM($K$10:K562))+(M563*K563))/SUM($K$10:K563),5)</f>
        <v>3.2980000000000002E-2</v>
      </c>
      <c r="O563" s="348">
        <v>70.5</v>
      </c>
      <c r="S563" s="317">
        <f t="shared" si="177"/>
        <v>0</v>
      </c>
      <c r="BB563" s="352"/>
      <c r="BP563" s="345"/>
      <c r="BR563" s="347"/>
      <c r="BS563" s="337"/>
      <c r="CH563" s="337">
        <f t="shared" si="175"/>
        <v>0</v>
      </c>
      <c r="CL563" s="361">
        <f t="shared" si="172"/>
        <v>39961</v>
      </c>
      <c r="CM563" s="361">
        <v>39965</v>
      </c>
      <c r="CN563" s="317">
        <f t="shared" si="168"/>
        <v>4</v>
      </c>
      <c r="CO563" s="368">
        <v>3.8999999999999998E-3</v>
      </c>
      <c r="CP563" s="346">
        <f t="shared" si="170"/>
        <v>1.5599999999999999E-2</v>
      </c>
      <c r="CQ563" s="365">
        <f>ROUND(SUM(CP559:CP563)/31,7)</f>
        <v>4.7257999999999996E-3</v>
      </c>
      <c r="CR563" s="337">
        <f>ROUND($CR$5*CQ563*CN563/365,6)</f>
        <v>4315.8854030000002</v>
      </c>
      <c r="CS563" s="337">
        <f>(ROUND(SUM(CR559:CR563),2))</f>
        <v>33448.11</v>
      </c>
      <c r="CT563" s="337">
        <f>ROUND($CR$5*0.05495*30/360,2)</f>
        <v>381604.85</v>
      </c>
      <c r="CU563" s="366">
        <f>CS563-CT563</f>
        <v>-348156.74</v>
      </c>
      <c r="CV563" s="337">
        <f t="shared" si="169"/>
        <v>3561.7</v>
      </c>
    </row>
    <row r="564" spans="2:100" hidden="1" x14ac:dyDescent="0.25">
      <c r="B564" s="345"/>
      <c r="I564" s="335">
        <f>J563</f>
        <v>36591</v>
      </c>
      <c r="J564" s="345">
        <v>36572</v>
      </c>
      <c r="K564" s="317">
        <f>J564-I564</f>
        <v>-19</v>
      </c>
      <c r="M564" s="346">
        <v>3.5964999999999997E-2</v>
      </c>
      <c r="N564" s="339">
        <f>ROUND(((N563*SUM($K$10:K563))+(M564*K564))/SUM($K$10:K564),5)</f>
        <v>3.2960000000000003E-2</v>
      </c>
      <c r="O564" s="348">
        <v>69.47</v>
      </c>
      <c r="S564" s="317">
        <f>R564-Q564</f>
        <v>0</v>
      </c>
      <c r="BB564" s="352"/>
      <c r="BP564" s="345"/>
      <c r="BR564" s="347"/>
      <c r="BS564" s="337"/>
      <c r="CH564" s="337">
        <f>ROUND($CA$5*CG564*CF564/365,6)</f>
        <v>0</v>
      </c>
      <c r="CL564" s="361">
        <f>CM563</f>
        <v>39965</v>
      </c>
      <c r="CM564" s="361">
        <v>39968</v>
      </c>
      <c r="CN564" s="317">
        <f t="shared" si="168"/>
        <v>3</v>
      </c>
      <c r="CO564" s="368">
        <v>3.8999999999999998E-3</v>
      </c>
      <c r="CP564" s="346">
        <f t="shared" si="170"/>
        <v>1.1699999999999999E-2</v>
      </c>
      <c r="CQ564" s="365">
        <f>+CQ565</f>
        <v>3.6800000000000001E-3</v>
      </c>
      <c r="CR564" s="337">
        <f>ROUND($CR$5*CQ564*CN564/365,6)</f>
        <v>2520.598356</v>
      </c>
      <c r="CV564" s="337">
        <f>ROUND($CR$5*CO564*CN564/365,1)</f>
        <v>2671.3</v>
      </c>
    </row>
    <row r="565" spans="2:100" hidden="1" x14ac:dyDescent="0.25">
      <c r="B565" s="345"/>
      <c r="I565" s="335">
        <f>J564</f>
        <v>36572</v>
      </c>
      <c r="J565" s="345">
        <v>36586</v>
      </c>
      <c r="K565" s="317">
        <f>J565-I565</f>
        <v>14</v>
      </c>
      <c r="M565" s="346">
        <v>3.6192000000000002E-2</v>
      </c>
      <c r="N565" s="339">
        <f>ROUND(((N564*SUM($K$10:K564))+(M565*K565))/SUM($K$10:K565),5)</f>
        <v>3.2980000000000002E-2</v>
      </c>
      <c r="O565" s="348">
        <v>70.8</v>
      </c>
      <c r="S565" s="317">
        <f>R565-Q565</f>
        <v>0</v>
      </c>
      <c r="BB565" s="352"/>
      <c r="BP565" s="345"/>
      <c r="BR565" s="347"/>
      <c r="BS565" s="337"/>
      <c r="CH565" s="337">
        <f>ROUND($CA$5*CG565*CF565/365,6)</f>
        <v>0</v>
      </c>
      <c r="CL565" s="361">
        <f>CM564</f>
        <v>39968</v>
      </c>
      <c r="CM565" s="361">
        <v>39975</v>
      </c>
      <c r="CN565" s="317">
        <f t="shared" si="168"/>
        <v>7</v>
      </c>
      <c r="CO565" s="368">
        <v>3.3999999999999998E-3</v>
      </c>
      <c r="CP565" s="346">
        <f t="shared" si="170"/>
        <v>2.3799999999999998E-2</v>
      </c>
      <c r="CQ565" s="365">
        <f>+CQ566</f>
        <v>3.6800000000000001E-3</v>
      </c>
      <c r="CR565" s="337">
        <f>ROUND($CR$5*CQ565*CN565/365,6)</f>
        <v>5881.3961639999998</v>
      </c>
      <c r="CV565" s="337">
        <f>ROUND($CR$5*CO565*CN565/365,1)</f>
        <v>5433.9</v>
      </c>
    </row>
    <row r="566" spans="2:100" hidden="1" x14ac:dyDescent="0.25">
      <c r="B566" s="345"/>
      <c r="I566" s="335">
        <f>J565</f>
        <v>36586</v>
      </c>
      <c r="J566" s="345">
        <v>36587</v>
      </c>
      <c r="K566" s="317">
        <f>J566-I566</f>
        <v>1</v>
      </c>
      <c r="M566" s="346">
        <v>3.6193000000000003E-2</v>
      </c>
      <c r="N566" s="339">
        <f>ROUND(((N565*SUM($K$10:K565))+(M566*K566))/SUM($K$10:K566),5)</f>
        <v>3.2980000000000002E-2</v>
      </c>
      <c r="O566" s="348">
        <v>70.5</v>
      </c>
      <c r="S566" s="317">
        <f>R566-Q566</f>
        <v>0</v>
      </c>
      <c r="BB566" s="352"/>
      <c r="BP566" s="345"/>
      <c r="BR566" s="347"/>
      <c r="BS566" s="337"/>
      <c r="CH566" s="337">
        <f>ROUND($CA$5*CG566*CF566/365,6)</f>
        <v>0</v>
      </c>
      <c r="CL566" s="361">
        <f>CM565</f>
        <v>39975</v>
      </c>
      <c r="CM566" s="361">
        <v>39989</v>
      </c>
      <c r="CN566" s="317">
        <f t="shared" si="168"/>
        <v>14</v>
      </c>
      <c r="CO566" s="368">
        <v>3.5999999999999999E-3</v>
      </c>
      <c r="CP566" s="346">
        <f t="shared" si="170"/>
        <v>5.04E-2</v>
      </c>
      <c r="CQ566" s="365">
        <f>+CQ567</f>
        <v>3.6800000000000001E-3</v>
      </c>
      <c r="CR566" s="337">
        <f>ROUND($CR$5*CQ566*CN566/365,6)</f>
        <v>11762.792329</v>
      </c>
      <c r="CV566" s="337">
        <f>ROUND($CR$5*CO566*CN566/365,1)</f>
        <v>11507.1</v>
      </c>
    </row>
    <row r="567" spans="2:100" hidden="1" x14ac:dyDescent="0.25">
      <c r="B567" s="345"/>
      <c r="I567" s="335">
        <f>J566</f>
        <v>36587</v>
      </c>
      <c r="J567" s="345">
        <v>36588</v>
      </c>
      <c r="K567" s="317">
        <f>J567-I567</f>
        <v>1</v>
      </c>
      <c r="M567" s="346">
        <v>3.619E-2</v>
      </c>
      <c r="N567" s="339">
        <f>ROUND(((N566*SUM($K$10:K566))+(M567*K567))/SUM($K$10:K567),5)</f>
        <v>3.2980000000000002E-2</v>
      </c>
      <c r="O567" s="348">
        <v>70.5</v>
      </c>
      <c r="S567" s="317">
        <f>R567-Q567</f>
        <v>0</v>
      </c>
      <c r="BB567" s="352"/>
      <c r="BP567" s="345"/>
      <c r="BR567" s="347"/>
      <c r="BS567" s="337"/>
      <c r="CH567" s="337">
        <f>ROUND($CA$5*CG567*CF567/365,6)</f>
        <v>0</v>
      </c>
      <c r="CL567" s="361">
        <f>CM566</f>
        <v>39989</v>
      </c>
      <c r="CM567" s="361">
        <v>39995</v>
      </c>
      <c r="CN567" s="317">
        <f t="shared" si="168"/>
        <v>6</v>
      </c>
      <c r="CO567" s="368">
        <v>3.5000000000000001E-3</v>
      </c>
      <c r="CP567" s="346">
        <f t="shared" si="170"/>
        <v>2.1000000000000001E-2</v>
      </c>
      <c r="CQ567" s="365">
        <f>ROUND(SUM(CP564:CP568)/30,7)</f>
        <v>3.6800000000000001E-3</v>
      </c>
      <c r="CR567" s="337">
        <f>ROUND($CR$5*CQ567*CN567/365,6)</f>
        <v>5041.1967119999999</v>
      </c>
      <c r="CS567" s="337">
        <f>(ROUND(SUM(CR564:CR567),2))</f>
        <v>25205.98</v>
      </c>
      <c r="CT567" s="337">
        <f>ROUND($CR$5*0.05495*30/360,2)</f>
        <v>381604.85</v>
      </c>
      <c r="CU567" s="366">
        <f>CS567-CT567</f>
        <v>-356398.87</v>
      </c>
      <c r="CV567" s="337">
        <f>ROUND($CR$5*CO567*CN567/365,1)</f>
        <v>4794.6000000000004</v>
      </c>
    </row>
    <row r="568" spans="2:100" hidden="1" x14ac:dyDescent="0.25">
      <c r="B568" s="345"/>
      <c r="I568" s="335">
        <f>J567</f>
        <v>36588</v>
      </c>
      <c r="J568" s="345">
        <v>36591</v>
      </c>
      <c r="K568" s="317">
        <f>J568-I568</f>
        <v>3</v>
      </c>
      <c r="M568" s="346">
        <v>3.6193000000000003E-2</v>
      </c>
      <c r="N568" s="339">
        <f>ROUND(((N567*SUM($K$10:K567))+(M568*K568))/SUM($K$10:K568),5)</f>
        <v>3.2980000000000002E-2</v>
      </c>
      <c r="O568" s="348">
        <v>70.5</v>
      </c>
      <c r="S568" s="317">
        <f>R568-Q568</f>
        <v>0</v>
      </c>
      <c r="BB568" s="352"/>
      <c r="BP568" s="345"/>
      <c r="BR568" s="347"/>
      <c r="BS568" s="337"/>
      <c r="CH568" s="337">
        <f>ROUND($CA$5*CG568*CF568/365,6)</f>
        <v>0</v>
      </c>
      <c r="CL568" s="361">
        <f>CM567</f>
        <v>39995</v>
      </c>
      <c r="CM568" s="361">
        <v>39996</v>
      </c>
      <c r="CN568" s="317">
        <f t="shared" si="168"/>
        <v>1</v>
      </c>
      <c r="CO568" s="368">
        <v>3.5000000000000001E-3</v>
      </c>
      <c r="CP568" s="346">
        <f t="shared" si="170"/>
        <v>3.5000000000000001E-3</v>
      </c>
      <c r="CQ568" s="365">
        <f>+CQ569</f>
        <v>3.2758000000000002E-3</v>
      </c>
      <c r="CR568" s="337">
        <f t="shared" ref="CR568:CR631" si="178">ROUND($CR$5*CQ568*CN568/365,6)</f>
        <v>747.91450099999997</v>
      </c>
      <c r="CS568" s="337"/>
      <c r="CT568" s="337"/>
      <c r="CU568" s="366"/>
      <c r="CV568" s="337">
        <f>ROUND($CR$5*CO568*CN568/365,1)</f>
        <v>799.1</v>
      </c>
    </row>
    <row r="569" spans="2:100" hidden="1" x14ac:dyDescent="0.25">
      <c r="B569" s="345"/>
      <c r="I569" s="335">
        <f>J563</f>
        <v>36591</v>
      </c>
      <c r="J569" s="345">
        <v>36592</v>
      </c>
      <c r="K569" s="317">
        <f t="shared" si="171"/>
        <v>1</v>
      </c>
      <c r="M569" s="346">
        <v>3.6193000000000003E-2</v>
      </c>
      <c r="N569" s="339">
        <f>ROUND(((N563*SUM($K$10:K563))+(M569*K569))/SUM($K$10:K569),5)</f>
        <v>3.2980000000000002E-2</v>
      </c>
      <c r="O569" s="316">
        <v>70.5</v>
      </c>
      <c r="S569" s="317">
        <f t="shared" si="177"/>
        <v>0</v>
      </c>
      <c r="BB569" s="352"/>
      <c r="BP569" s="345"/>
      <c r="BR569" s="347"/>
      <c r="BS569" s="337"/>
      <c r="CH569" s="337">
        <f t="shared" si="175"/>
        <v>0</v>
      </c>
      <c r="CL569" s="361">
        <f t="shared" ref="CL569:CL574" si="179">CM568</f>
        <v>39996</v>
      </c>
      <c r="CM569" s="361">
        <v>40003</v>
      </c>
      <c r="CN569" s="317">
        <f t="shared" ref="CN569:CN632" si="180">CM569-CL569</f>
        <v>7</v>
      </c>
      <c r="CO569" s="368">
        <v>3.0000000000000001E-3</v>
      </c>
      <c r="CP569" s="346">
        <f t="shared" si="170"/>
        <v>2.1000000000000001E-2</v>
      </c>
      <c r="CQ569" s="365">
        <f>+CQ570</f>
        <v>3.2758000000000002E-3</v>
      </c>
      <c r="CR569" s="337">
        <f t="shared" si="178"/>
        <v>5235.4015099999997</v>
      </c>
      <c r="CV569" s="337">
        <f t="shared" si="169"/>
        <v>4794.6000000000004</v>
      </c>
    </row>
    <row r="570" spans="2:100" hidden="1" x14ac:dyDescent="0.25">
      <c r="B570" s="345"/>
      <c r="I570" s="335">
        <f t="shared" si="174"/>
        <v>36592</v>
      </c>
      <c r="J570" s="345">
        <v>36593</v>
      </c>
      <c r="K570" s="317">
        <f t="shared" si="171"/>
        <v>1</v>
      </c>
      <c r="M570" s="346">
        <v>3.6193000000000003E-2</v>
      </c>
      <c r="N570" s="339">
        <f>ROUND(((N569*SUM($K$10:K569))+(M570*K570))/SUM($K$10:K570),5)</f>
        <v>3.2980000000000002E-2</v>
      </c>
      <c r="O570" s="316">
        <v>70.5</v>
      </c>
      <c r="S570" s="317">
        <f t="shared" si="177"/>
        <v>0</v>
      </c>
      <c r="BB570" s="352"/>
      <c r="BP570" s="345"/>
      <c r="BR570" s="347"/>
      <c r="BS570" s="337"/>
      <c r="CH570" s="337">
        <f t="shared" si="175"/>
        <v>0</v>
      </c>
      <c r="CL570" s="361">
        <f t="shared" si="179"/>
        <v>40003</v>
      </c>
      <c r="CM570" s="361">
        <v>40010</v>
      </c>
      <c r="CN570" s="317">
        <f t="shared" si="180"/>
        <v>7</v>
      </c>
      <c r="CO570" s="368">
        <v>2.7000000000000001E-3</v>
      </c>
      <c r="CP570" s="346">
        <f t="shared" si="170"/>
        <v>1.89E-2</v>
      </c>
      <c r="CQ570" s="365">
        <f>+CQ571</f>
        <v>3.2758000000000002E-3</v>
      </c>
      <c r="CR570" s="337">
        <f t="shared" si="178"/>
        <v>5235.4015099999997</v>
      </c>
      <c r="CV570" s="337">
        <f t="shared" si="169"/>
        <v>4315.2</v>
      </c>
    </row>
    <row r="571" spans="2:100" hidden="1" x14ac:dyDescent="0.25">
      <c r="B571" s="345"/>
      <c r="I571" s="335">
        <f t="shared" si="174"/>
        <v>36593</v>
      </c>
      <c r="J571" s="345">
        <v>36594</v>
      </c>
      <c r="K571" s="317">
        <f t="shared" si="171"/>
        <v>1</v>
      </c>
      <c r="M571" s="346">
        <v>3.5844000000000001E-2</v>
      </c>
      <c r="N571" s="339">
        <f>ROUND(((N570*SUM($K$10:K570))+(M571*K571))/SUM($K$10:K571),5)</f>
        <v>3.2980000000000002E-2</v>
      </c>
      <c r="O571" s="348">
        <v>53.17</v>
      </c>
      <c r="S571" s="317">
        <f t="shared" si="177"/>
        <v>0</v>
      </c>
      <c r="BB571" s="352"/>
      <c r="BP571" s="345"/>
      <c r="BR571" s="347"/>
      <c r="BS571" s="337"/>
      <c r="CH571" s="337">
        <f t="shared" si="175"/>
        <v>0</v>
      </c>
      <c r="CL571" s="361">
        <f t="shared" si="179"/>
        <v>40010</v>
      </c>
      <c r="CM571" s="361">
        <v>40017</v>
      </c>
      <c r="CN571" s="317">
        <f t="shared" si="180"/>
        <v>7</v>
      </c>
      <c r="CO571" s="368">
        <v>3.2000000000000002E-3</v>
      </c>
      <c r="CP571" s="346">
        <f t="shared" si="170"/>
        <v>2.24E-2</v>
      </c>
      <c r="CQ571" s="365">
        <f>+CQ572</f>
        <v>3.2758000000000002E-3</v>
      </c>
      <c r="CR571" s="337">
        <f t="shared" si="178"/>
        <v>5235.4015099999997</v>
      </c>
      <c r="CV571" s="337">
        <f t="shared" si="169"/>
        <v>5114.3</v>
      </c>
    </row>
    <row r="572" spans="2:100" hidden="1" x14ac:dyDescent="0.25">
      <c r="B572" s="345"/>
      <c r="I572" s="335">
        <f t="shared" si="174"/>
        <v>36594</v>
      </c>
      <c r="J572" s="345">
        <v>36595</v>
      </c>
      <c r="K572" s="317">
        <f t="shared" si="171"/>
        <v>1</v>
      </c>
      <c r="M572" s="346">
        <v>3.5846999999999997E-2</v>
      </c>
      <c r="N572" s="339">
        <f>ROUND(((N571*SUM($K$10:K571))+(M572*K572))/SUM($K$10:K572),5)</f>
        <v>3.2980000000000002E-2</v>
      </c>
      <c r="O572" s="348">
        <v>53.17</v>
      </c>
      <c r="S572" s="317">
        <f t="shared" si="177"/>
        <v>0</v>
      </c>
      <c r="BB572" s="352"/>
      <c r="BP572" s="345"/>
      <c r="BR572" s="347"/>
      <c r="BS572" s="337"/>
      <c r="CH572" s="337">
        <f t="shared" si="175"/>
        <v>0</v>
      </c>
      <c r="CL572" s="361">
        <f t="shared" si="179"/>
        <v>40017</v>
      </c>
      <c r="CM572" s="361">
        <v>40024</v>
      </c>
      <c r="CN572" s="317">
        <f t="shared" si="180"/>
        <v>7</v>
      </c>
      <c r="CO572" s="368">
        <v>3.7000000000000002E-3</v>
      </c>
      <c r="CP572" s="346">
        <f t="shared" si="170"/>
        <v>2.5899999999999999E-2</v>
      </c>
      <c r="CQ572" s="365">
        <f>+CQ573</f>
        <v>3.2758000000000002E-3</v>
      </c>
      <c r="CR572" s="337">
        <f t="shared" si="178"/>
        <v>5235.4015099999997</v>
      </c>
      <c r="CV572" s="337">
        <f t="shared" si="169"/>
        <v>5913.4</v>
      </c>
    </row>
    <row r="573" spans="2:100" hidden="1" x14ac:dyDescent="0.25">
      <c r="B573" s="345"/>
      <c r="I573" s="335">
        <f t="shared" si="174"/>
        <v>36595</v>
      </c>
      <c r="J573" s="345">
        <v>36598</v>
      </c>
      <c r="K573" s="317">
        <f t="shared" si="171"/>
        <v>3</v>
      </c>
      <c r="M573" s="346">
        <v>3.7017000000000001E-2</v>
      </c>
      <c r="N573" s="339">
        <f>ROUND(((N572*SUM($K$10:K572))+(M573*K573))/SUM($K$10:K573),5)</f>
        <v>3.2980000000000002E-2</v>
      </c>
      <c r="O573" s="316">
        <v>55.1</v>
      </c>
      <c r="S573" s="317">
        <f t="shared" si="177"/>
        <v>0</v>
      </c>
      <c r="BB573" s="352"/>
      <c r="BP573" s="345"/>
      <c r="BR573" s="347"/>
      <c r="BS573" s="337"/>
      <c r="CH573" s="337">
        <f t="shared" si="175"/>
        <v>0</v>
      </c>
      <c r="CL573" s="361">
        <f t="shared" si="179"/>
        <v>40024</v>
      </c>
      <c r="CM573" s="361">
        <v>40028</v>
      </c>
      <c r="CN573" s="317">
        <f t="shared" si="180"/>
        <v>4</v>
      </c>
      <c r="CO573" s="368">
        <v>4.1000000000000003E-3</v>
      </c>
      <c r="CP573" s="346">
        <f t="shared" si="170"/>
        <v>1.6400000000000001E-2</v>
      </c>
      <c r="CQ573" s="365">
        <f>ROUND(SUM(CP568:CP573)/33,7)</f>
        <v>3.2758000000000002E-3</v>
      </c>
      <c r="CR573" s="337">
        <f t="shared" si="178"/>
        <v>2991.6580049999998</v>
      </c>
      <c r="CS573" s="337">
        <f>(ROUND(SUM(CR568:CR573),2))</f>
        <v>24681.18</v>
      </c>
      <c r="CT573" s="337">
        <f>ROUND($CR$5*0.05495*32/360,2)</f>
        <v>407045.18</v>
      </c>
      <c r="CU573" s="366">
        <f>CS573-CT573</f>
        <v>-382364</v>
      </c>
      <c r="CV573" s="337">
        <f t="shared" si="169"/>
        <v>3744.4</v>
      </c>
    </row>
    <row r="574" spans="2:100" hidden="1" x14ac:dyDescent="0.25">
      <c r="B574" s="345"/>
      <c r="I574" s="335">
        <f t="shared" si="174"/>
        <v>36598</v>
      </c>
      <c r="J574" s="345">
        <v>36600</v>
      </c>
      <c r="K574" s="317">
        <f t="shared" si="171"/>
        <v>2</v>
      </c>
      <c r="M574" s="346">
        <v>3.7897E-2</v>
      </c>
      <c r="N574" s="339">
        <f>ROUND(((N573*SUM($K$10:K573))+(M574*K574))/SUM($K$10:K574),5)</f>
        <v>3.2980000000000002E-2</v>
      </c>
      <c r="O574" s="348">
        <v>51.71</v>
      </c>
      <c r="S574" s="317">
        <f t="shared" si="177"/>
        <v>0</v>
      </c>
      <c r="BB574" s="352"/>
      <c r="BP574" s="345"/>
      <c r="BR574" s="347"/>
      <c r="BS574" s="337"/>
      <c r="CH574" s="337">
        <f t="shared" si="175"/>
        <v>0</v>
      </c>
      <c r="CL574" s="361">
        <f t="shared" si="179"/>
        <v>40028</v>
      </c>
      <c r="CM574" s="361">
        <v>40031</v>
      </c>
      <c r="CN574" s="317">
        <f t="shared" si="180"/>
        <v>3</v>
      </c>
      <c r="CO574" s="368">
        <v>4.1000000000000003E-3</v>
      </c>
      <c r="CP574" s="346">
        <f t="shared" si="170"/>
        <v>1.2300000000000002E-2</v>
      </c>
      <c r="CQ574" s="365">
        <f>+CQ575</f>
        <v>3.9931000000000003E-3</v>
      </c>
      <c r="CR574" s="337">
        <f t="shared" si="178"/>
        <v>2735.0547000000001</v>
      </c>
      <c r="CV574" s="337">
        <f t="shared" si="169"/>
        <v>2808.3</v>
      </c>
    </row>
    <row r="575" spans="2:100" hidden="1" x14ac:dyDescent="0.25">
      <c r="B575" s="345"/>
      <c r="I575" s="335">
        <f>J570</f>
        <v>36593</v>
      </c>
      <c r="J575" s="345">
        <v>36592</v>
      </c>
      <c r="K575" s="317">
        <f>J575-I575</f>
        <v>-1</v>
      </c>
      <c r="M575" s="346">
        <v>3.6193000000000003E-2</v>
      </c>
      <c r="N575" s="339">
        <f>ROUND(((N570*SUM($K$10:K570))+(M575*K575))/SUM($K$10:K575),5)</f>
        <v>3.2890000000000003E-2</v>
      </c>
      <c r="O575" s="316">
        <v>70.5</v>
      </c>
      <c r="S575" s="317">
        <f>R575-Q575</f>
        <v>0</v>
      </c>
      <c r="BB575" s="352"/>
      <c r="BP575" s="345"/>
      <c r="BR575" s="347"/>
      <c r="BS575" s="337"/>
      <c r="CH575" s="337">
        <f>ROUND($CA$5*CG575*CF575/365,6)</f>
        <v>0</v>
      </c>
      <c r="CL575" s="361">
        <f>+CM574</f>
        <v>40031</v>
      </c>
      <c r="CM575" s="361">
        <v>40038</v>
      </c>
      <c r="CN575" s="317">
        <f t="shared" si="180"/>
        <v>7</v>
      </c>
      <c r="CO575" s="368">
        <v>3.5000000000000001E-3</v>
      </c>
      <c r="CP575" s="346">
        <f t="shared" si="170"/>
        <v>2.4500000000000001E-2</v>
      </c>
      <c r="CQ575" s="365">
        <f>+CQ576</f>
        <v>3.9931000000000003E-3</v>
      </c>
      <c r="CR575" s="337">
        <f t="shared" si="178"/>
        <v>6381.7942999999996</v>
      </c>
      <c r="CV575" s="337">
        <f>ROUND($CR$5*CO575*CN575/365,1)</f>
        <v>5593.7</v>
      </c>
    </row>
    <row r="576" spans="2:100" hidden="1" x14ac:dyDescent="0.25">
      <c r="B576" s="345"/>
      <c r="I576" s="335">
        <f>J575</f>
        <v>36592</v>
      </c>
      <c r="J576" s="345">
        <v>36593</v>
      </c>
      <c r="K576" s="317">
        <f>J576-I576</f>
        <v>1</v>
      </c>
      <c r="M576" s="346">
        <v>3.6193000000000003E-2</v>
      </c>
      <c r="N576" s="339">
        <f>ROUND(((N575*SUM($K$10:K575))+(M576*K576))/SUM($K$10:K576),5)</f>
        <v>3.2890000000000003E-2</v>
      </c>
      <c r="O576" s="316">
        <v>70.5</v>
      </c>
      <c r="S576" s="317">
        <f>R576-Q576</f>
        <v>0</v>
      </c>
      <c r="BB576" s="352"/>
      <c r="BP576" s="345"/>
      <c r="BR576" s="347"/>
      <c r="BS576" s="337"/>
      <c r="CH576" s="337">
        <f>ROUND($CA$5*CG576*CF576/365,6)</f>
        <v>0</v>
      </c>
      <c r="CL576" s="361">
        <f t="shared" ref="CL576:CL639" si="181">CM575</f>
        <v>40038</v>
      </c>
      <c r="CM576" s="361">
        <v>40045</v>
      </c>
      <c r="CN576" s="317">
        <f t="shared" si="180"/>
        <v>7</v>
      </c>
      <c r="CO576" s="368">
        <v>4.3E-3</v>
      </c>
      <c r="CP576" s="346">
        <f t="shared" si="170"/>
        <v>3.0100000000000002E-2</v>
      </c>
      <c r="CQ576" s="365">
        <f>+CQ577</f>
        <v>3.9931000000000003E-3</v>
      </c>
      <c r="CR576" s="337">
        <f t="shared" si="178"/>
        <v>6381.7942999999996</v>
      </c>
      <c r="CV576" s="337">
        <f>ROUND($CR$5*CO576*CN576/365,1)</f>
        <v>6872.3</v>
      </c>
    </row>
    <row r="577" spans="2:100" hidden="1" x14ac:dyDescent="0.25">
      <c r="B577" s="345"/>
      <c r="I577" s="335">
        <f>J576</f>
        <v>36593</v>
      </c>
      <c r="J577" s="345">
        <v>36594</v>
      </c>
      <c r="K577" s="317">
        <f>J577-I577</f>
        <v>1</v>
      </c>
      <c r="M577" s="346">
        <v>3.5844000000000001E-2</v>
      </c>
      <c r="N577" s="339">
        <f>ROUND(((N576*SUM($K$10:K576))+(M577*K577))/SUM($K$10:K577),5)</f>
        <v>3.2890000000000003E-2</v>
      </c>
      <c r="O577" s="348">
        <v>53.17</v>
      </c>
      <c r="S577" s="317">
        <f>R577-Q577</f>
        <v>0</v>
      </c>
      <c r="BB577" s="352"/>
      <c r="BP577" s="345"/>
      <c r="BR577" s="347"/>
      <c r="BS577" s="337"/>
      <c r="CH577" s="337">
        <f>ROUND($CA$5*CG577*CF577/365,6)</f>
        <v>0</v>
      </c>
      <c r="CL577" s="361">
        <f t="shared" si="181"/>
        <v>40045</v>
      </c>
      <c r="CM577" s="361">
        <v>40052</v>
      </c>
      <c r="CN577" s="317">
        <f t="shared" si="180"/>
        <v>7</v>
      </c>
      <c r="CO577" s="368">
        <v>4.1999999999999997E-3</v>
      </c>
      <c r="CP577" s="346">
        <f t="shared" si="170"/>
        <v>2.9399999999999999E-2</v>
      </c>
      <c r="CQ577" s="365">
        <f>+CQ578</f>
        <v>3.9931000000000003E-3</v>
      </c>
      <c r="CR577" s="337">
        <f t="shared" si="178"/>
        <v>6381.7942999999996</v>
      </c>
      <c r="CV577" s="337">
        <f>ROUND($CR$5*CO577*CN577/365,1)</f>
        <v>6712.5</v>
      </c>
    </row>
    <row r="578" spans="2:100" hidden="1" x14ac:dyDescent="0.25">
      <c r="B578" s="345"/>
      <c r="I578" s="335">
        <f>J577</f>
        <v>36594</v>
      </c>
      <c r="J578" s="345">
        <v>36595</v>
      </c>
      <c r="K578" s="317">
        <f>J578-I578</f>
        <v>1</v>
      </c>
      <c r="M578" s="346">
        <v>3.5846999999999997E-2</v>
      </c>
      <c r="N578" s="339">
        <f>ROUND(((N577*SUM($K$10:K577))+(M578*K578))/SUM($K$10:K578),5)</f>
        <v>3.2890000000000003E-2</v>
      </c>
      <c r="O578" s="348">
        <v>53.17</v>
      </c>
      <c r="S578" s="317">
        <f>R578-Q578</f>
        <v>0</v>
      </c>
      <c r="BB578" s="352"/>
      <c r="BP578" s="345"/>
      <c r="BR578" s="347"/>
      <c r="BS578" s="337"/>
      <c r="CH578" s="337">
        <f>ROUND($CA$5*CG578*CF578/365,6)</f>
        <v>0</v>
      </c>
      <c r="CL578" s="361">
        <f t="shared" si="181"/>
        <v>40052</v>
      </c>
      <c r="CM578" s="361">
        <v>40057</v>
      </c>
      <c r="CN578" s="317">
        <f t="shared" si="180"/>
        <v>5</v>
      </c>
      <c r="CO578" s="368">
        <v>3.8999999999999998E-3</v>
      </c>
      <c r="CP578" s="346">
        <f t="shared" ref="CP578:CP641" si="182">CN578*CO578</f>
        <v>1.95E-2</v>
      </c>
      <c r="CQ578" s="365">
        <f>ROUND(SUM(CP574:CP578)/29,7)</f>
        <v>3.9931000000000003E-3</v>
      </c>
      <c r="CR578" s="337">
        <f t="shared" si="178"/>
        <v>4558.4245000000001</v>
      </c>
      <c r="CS578" s="337">
        <f>(ROUND(SUM(CR574:CR578),2))</f>
        <v>26438.86</v>
      </c>
      <c r="CT578" s="337">
        <f>ROUND($CR$5*0.05495*28/360,2)</f>
        <v>356164.53</v>
      </c>
      <c r="CU578" s="366">
        <f>CS578-CT578</f>
        <v>-329725.67000000004</v>
      </c>
      <c r="CV578" s="337">
        <f>ROUND($CR$5*CO578*CN578/365,1)</f>
        <v>4452.1000000000004</v>
      </c>
    </row>
    <row r="579" spans="2:100" hidden="1" x14ac:dyDescent="0.25">
      <c r="B579" s="345"/>
      <c r="I579" s="335">
        <f>J578</f>
        <v>36595</v>
      </c>
      <c r="J579" s="345">
        <v>36598</v>
      </c>
      <c r="K579" s="317">
        <f>J579-I579</f>
        <v>3</v>
      </c>
      <c r="M579" s="346">
        <v>3.7017000000000001E-2</v>
      </c>
      <c r="N579" s="339">
        <f>ROUND(((N578*SUM($K$10:K578))+(M579*K579))/SUM($K$10:K579),5)</f>
        <v>3.2890000000000003E-2</v>
      </c>
      <c r="O579" s="316">
        <v>55.1</v>
      </c>
      <c r="S579" s="317">
        <f>R579-Q579</f>
        <v>0</v>
      </c>
      <c r="BB579" s="352"/>
      <c r="BP579" s="345"/>
      <c r="BR579" s="347"/>
      <c r="BS579" s="337"/>
      <c r="CH579" s="337">
        <f>ROUND($CA$5*CG579*CF579/365,6)</f>
        <v>0</v>
      </c>
      <c r="CL579" s="361">
        <f t="shared" si="181"/>
        <v>40057</v>
      </c>
      <c r="CM579" s="361">
        <v>40059</v>
      </c>
      <c r="CN579" s="317">
        <f t="shared" si="180"/>
        <v>2</v>
      </c>
      <c r="CO579" s="368">
        <v>3.8999999999999998E-3</v>
      </c>
      <c r="CP579" s="346">
        <f t="shared" si="182"/>
        <v>7.7999999999999996E-3</v>
      </c>
      <c r="CQ579" s="365">
        <f>+CQ580</f>
        <v>3.2932999999999999E-3</v>
      </c>
      <c r="CR579" s="337">
        <f t="shared" si="178"/>
        <v>1503.8200300000001</v>
      </c>
      <c r="CS579" s="337"/>
      <c r="CT579" s="337"/>
      <c r="CU579" s="366"/>
      <c r="CV579" s="337">
        <f>ROUND($CR$5*CO579*CN579/365,1)</f>
        <v>1780.9</v>
      </c>
    </row>
    <row r="580" spans="2:100" hidden="1" x14ac:dyDescent="0.25">
      <c r="B580" s="345"/>
      <c r="I580" s="335">
        <f t="shared" si="174"/>
        <v>36598</v>
      </c>
      <c r="J580" s="345">
        <v>36647</v>
      </c>
      <c r="K580" s="317">
        <f t="shared" si="171"/>
        <v>49</v>
      </c>
      <c r="M580" s="346">
        <v>4.0485E-2</v>
      </c>
      <c r="N580" s="339">
        <f>ROUND(((N579*SUM($K$10:K579))+(M580*K580))/SUM($K$10:K580),5)</f>
        <v>3.3020000000000001E-2</v>
      </c>
      <c r="O580" s="348">
        <v>36.44</v>
      </c>
      <c r="S580" s="317">
        <f t="shared" si="177"/>
        <v>0</v>
      </c>
      <c r="BB580" s="352"/>
      <c r="BP580" s="345"/>
      <c r="BR580" s="347"/>
      <c r="BS580" s="337"/>
      <c r="CH580" s="337">
        <f t="shared" si="175"/>
        <v>0</v>
      </c>
      <c r="CL580" s="361">
        <f t="shared" si="181"/>
        <v>40059</v>
      </c>
      <c r="CM580" s="361">
        <v>40066</v>
      </c>
      <c r="CN580" s="317">
        <f t="shared" si="180"/>
        <v>7</v>
      </c>
      <c r="CO580" s="368">
        <v>2.8E-3</v>
      </c>
      <c r="CP580" s="346">
        <f t="shared" si="182"/>
        <v>1.9599999999999999E-2</v>
      </c>
      <c r="CQ580" s="365">
        <f>+CQ581</f>
        <v>3.2932999999999999E-3</v>
      </c>
      <c r="CR580" s="337">
        <f t="shared" si="178"/>
        <v>5263.370105</v>
      </c>
      <c r="CV580" s="337">
        <f t="shared" ref="CV580:CV643" si="183">ROUND($CR$5*CO580*CN580/365,1)</f>
        <v>4475</v>
      </c>
    </row>
    <row r="581" spans="2:100" hidden="1" x14ac:dyDescent="0.25">
      <c r="B581" s="345"/>
      <c r="I581" s="335">
        <f t="shared" si="174"/>
        <v>36647</v>
      </c>
      <c r="J581" s="345">
        <v>36649</v>
      </c>
      <c r="K581" s="317">
        <f t="shared" si="171"/>
        <v>2</v>
      </c>
      <c r="M581" s="346">
        <v>4.0582E-2</v>
      </c>
      <c r="N581" s="339">
        <f>ROUND(((N580*SUM($K$10:K580))+(M581*K581))/SUM($K$10:K581),5)</f>
        <v>3.3029999999999997E-2</v>
      </c>
      <c r="O581" s="348">
        <v>36.590000000000003</v>
      </c>
      <c r="S581" s="317">
        <f t="shared" si="177"/>
        <v>0</v>
      </c>
      <c r="BB581" s="352"/>
      <c r="BP581" s="345"/>
      <c r="BR581" s="347"/>
      <c r="BS581" s="337"/>
      <c r="CH581" s="337">
        <f t="shared" si="175"/>
        <v>0</v>
      </c>
      <c r="CL581" s="361">
        <f t="shared" si="181"/>
        <v>40066</v>
      </c>
      <c r="CM581" s="361">
        <v>40073</v>
      </c>
      <c r="CN581" s="317">
        <f t="shared" si="180"/>
        <v>7</v>
      </c>
      <c r="CO581" s="368">
        <v>3.0999999999999999E-3</v>
      </c>
      <c r="CP581" s="346">
        <f t="shared" si="182"/>
        <v>2.1700000000000001E-2</v>
      </c>
      <c r="CQ581" s="365">
        <f>+CQ582</f>
        <v>3.2932999999999999E-3</v>
      </c>
      <c r="CR581" s="337">
        <f t="shared" si="178"/>
        <v>5263.370105</v>
      </c>
      <c r="CV581" s="337">
        <f t="shared" si="183"/>
        <v>4954.3999999999996</v>
      </c>
    </row>
    <row r="582" spans="2:100" hidden="1" x14ac:dyDescent="0.25">
      <c r="B582" s="345"/>
      <c r="I582" s="335">
        <f t="shared" si="174"/>
        <v>36649</v>
      </c>
      <c r="J582" s="345">
        <v>36651</v>
      </c>
      <c r="K582" s="317">
        <f t="shared" si="171"/>
        <v>2</v>
      </c>
      <c r="M582" s="346">
        <v>4.3824000000000002E-2</v>
      </c>
      <c r="N582" s="339">
        <f>ROUND(((N581*SUM($K$10:K581))+(M582*K582))/SUM($K$10:K582),5)</f>
        <v>3.304E-2</v>
      </c>
      <c r="O582" s="348">
        <v>38.340000000000003</v>
      </c>
      <c r="S582" s="317">
        <f t="shared" si="177"/>
        <v>0</v>
      </c>
      <c r="BB582" s="352"/>
      <c r="BP582" s="345"/>
      <c r="BR582" s="347"/>
      <c r="BS582" s="337"/>
      <c r="CH582" s="337">
        <f t="shared" si="175"/>
        <v>0</v>
      </c>
      <c r="CL582" s="361">
        <f t="shared" si="181"/>
        <v>40073</v>
      </c>
      <c r="CM582" s="361">
        <v>40080</v>
      </c>
      <c r="CN582" s="317">
        <f t="shared" si="180"/>
        <v>7</v>
      </c>
      <c r="CO582" s="368">
        <v>3.0999999999999999E-3</v>
      </c>
      <c r="CP582" s="346">
        <f t="shared" si="182"/>
        <v>2.1700000000000001E-2</v>
      </c>
      <c r="CQ582" s="365">
        <f>+CQ583</f>
        <v>3.2932999999999999E-3</v>
      </c>
      <c r="CR582" s="337">
        <f t="shared" si="178"/>
        <v>5263.370105</v>
      </c>
      <c r="CV582" s="337">
        <f t="shared" si="183"/>
        <v>4954.3999999999996</v>
      </c>
    </row>
    <row r="583" spans="2:100" hidden="1" x14ac:dyDescent="0.25">
      <c r="B583" s="345"/>
      <c r="I583" s="335">
        <f t="shared" si="174"/>
        <v>36651</v>
      </c>
      <c r="J583" s="345">
        <v>36654</v>
      </c>
      <c r="K583" s="317">
        <f t="shared" si="171"/>
        <v>3</v>
      </c>
      <c r="M583" s="346">
        <v>4.4609999999999997E-2</v>
      </c>
      <c r="N583" s="339">
        <f>ROUND(((N582*SUM($K$10:K582))+(M583*K583))/SUM($K$10:K583),5)</f>
        <v>3.3050000000000003E-2</v>
      </c>
      <c r="O583" s="348">
        <v>39.25</v>
      </c>
      <c r="S583" s="317">
        <f t="shared" si="177"/>
        <v>0</v>
      </c>
      <c r="BB583" s="352"/>
      <c r="BP583" s="345"/>
      <c r="BR583" s="347"/>
      <c r="BS583" s="337"/>
      <c r="CH583" s="337">
        <f t="shared" si="175"/>
        <v>0</v>
      </c>
      <c r="CL583" s="361">
        <f t="shared" si="181"/>
        <v>40080</v>
      </c>
      <c r="CM583" s="361">
        <v>40087</v>
      </c>
      <c r="CN583" s="317">
        <f t="shared" si="180"/>
        <v>7</v>
      </c>
      <c r="CO583" s="368">
        <v>4.0000000000000001E-3</v>
      </c>
      <c r="CP583" s="346">
        <f t="shared" si="182"/>
        <v>2.8000000000000001E-2</v>
      </c>
      <c r="CQ583" s="365">
        <f>ROUND(SUM(CP579:CP583)/30,7)</f>
        <v>3.2932999999999999E-3</v>
      </c>
      <c r="CR583" s="337">
        <f t="shared" si="178"/>
        <v>5263.370105</v>
      </c>
      <c r="CS583" s="337">
        <f>(ROUND(SUM(CR579:CR583),2))</f>
        <v>22557.3</v>
      </c>
      <c r="CT583" s="337">
        <f>ROUND($CR$5*0.05495*30/360,2)</f>
        <v>381604.85</v>
      </c>
      <c r="CU583" s="366">
        <f>CS583-CT583</f>
        <v>-359047.55</v>
      </c>
      <c r="CV583" s="337">
        <f t="shared" si="183"/>
        <v>6392.8</v>
      </c>
    </row>
    <row r="584" spans="2:100" hidden="1" x14ac:dyDescent="0.25">
      <c r="B584" s="345"/>
      <c r="I584" s="335">
        <f t="shared" si="174"/>
        <v>36654</v>
      </c>
      <c r="J584" s="345">
        <v>36679</v>
      </c>
      <c r="K584" s="317">
        <f t="shared" si="171"/>
        <v>25</v>
      </c>
      <c r="M584" s="346">
        <v>4.7253999999999997E-2</v>
      </c>
      <c r="N584" s="339">
        <f>ROUND(((N583*SUM($K$10:K583))+(M584*K584))/SUM($K$10:K584),5)</f>
        <v>3.3180000000000001E-2</v>
      </c>
      <c r="O584" s="348">
        <v>43.3</v>
      </c>
      <c r="S584" s="317">
        <f t="shared" si="177"/>
        <v>0</v>
      </c>
      <c r="BB584" s="352"/>
      <c r="BP584" s="345"/>
      <c r="BR584" s="347"/>
      <c r="BS584" s="337"/>
      <c r="CH584" s="337">
        <f t="shared" si="175"/>
        <v>0</v>
      </c>
      <c r="CL584" s="361">
        <v>40087</v>
      </c>
      <c r="CM584" s="361">
        <v>40094</v>
      </c>
      <c r="CN584" s="317">
        <f t="shared" si="180"/>
        <v>7</v>
      </c>
      <c r="CO584" s="368">
        <v>3.3999999999999998E-3</v>
      </c>
      <c r="CP584" s="346">
        <f t="shared" si="182"/>
        <v>2.3799999999999998E-2</v>
      </c>
      <c r="CQ584" s="365">
        <f>+CQ585</f>
        <v>2.7312999999999999E-3</v>
      </c>
      <c r="CR584" s="337">
        <f t="shared" si="178"/>
        <v>4365.1786259999999</v>
      </c>
      <c r="CS584" s="337"/>
      <c r="CT584" s="337"/>
      <c r="CU584" s="366"/>
      <c r="CV584" s="337">
        <f t="shared" si="183"/>
        <v>5433.9</v>
      </c>
    </row>
    <row r="585" spans="2:100" hidden="1" x14ac:dyDescent="0.25">
      <c r="B585" s="345"/>
      <c r="I585" s="335">
        <f t="shared" si="174"/>
        <v>36679</v>
      </c>
      <c r="J585" s="345">
        <v>36683</v>
      </c>
      <c r="K585" s="317">
        <f t="shared" si="171"/>
        <v>4</v>
      </c>
      <c r="M585" s="346">
        <v>4.5662000000000001E-2</v>
      </c>
      <c r="N585" s="339">
        <f>ROUND(((N584*SUM($K$10:K584))+(M585*K585))/SUM($K$10:K585),5)</f>
        <v>3.32E-2</v>
      </c>
      <c r="O585" s="348">
        <v>45.75</v>
      </c>
      <c r="S585" s="317">
        <f t="shared" si="177"/>
        <v>0</v>
      </c>
      <c r="BB585" s="352"/>
      <c r="BP585" s="345"/>
      <c r="BR585" s="347"/>
      <c r="BS585" s="337"/>
      <c r="CH585" s="337">
        <f t="shared" si="175"/>
        <v>0</v>
      </c>
      <c r="CL585" s="361">
        <f t="shared" si="181"/>
        <v>40094</v>
      </c>
      <c r="CM585" s="361">
        <v>40101</v>
      </c>
      <c r="CN585" s="317">
        <f t="shared" si="180"/>
        <v>7</v>
      </c>
      <c r="CO585" s="368">
        <v>2.3999999999999998E-3</v>
      </c>
      <c r="CP585" s="346">
        <f t="shared" si="182"/>
        <v>1.6799999999999999E-2</v>
      </c>
      <c r="CQ585" s="365">
        <f>+CQ586</f>
        <v>2.7312999999999999E-3</v>
      </c>
      <c r="CR585" s="337">
        <f t="shared" si="178"/>
        <v>4365.1786259999999</v>
      </c>
      <c r="CV585" s="337">
        <f t="shared" si="183"/>
        <v>3835.7</v>
      </c>
    </row>
    <row r="586" spans="2:100" hidden="1" x14ac:dyDescent="0.25">
      <c r="B586" s="345"/>
      <c r="I586" s="335">
        <f t="shared" si="174"/>
        <v>36683</v>
      </c>
      <c r="J586" s="345">
        <v>36684</v>
      </c>
      <c r="K586" s="317">
        <f t="shared" ref="K586:K652" si="184">J586-I586</f>
        <v>1</v>
      </c>
      <c r="M586" s="346">
        <v>4.7023000000000002E-2</v>
      </c>
      <c r="N586" s="339">
        <f>ROUND(((N585*SUM($K$10:K585))+(M586*K586))/SUM($K$10:K586),5)</f>
        <v>3.32E-2</v>
      </c>
      <c r="O586" s="348">
        <v>42.7</v>
      </c>
      <c r="S586" s="317">
        <f t="shared" si="177"/>
        <v>0</v>
      </c>
      <c r="BB586" s="352"/>
      <c r="BP586" s="345"/>
      <c r="BR586" s="347"/>
      <c r="BS586" s="337"/>
      <c r="CH586" s="337">
        <f t="shared" si="175"/>
        <v>0</v>
      </c>
      <c r="CL586" s="361">
        <f t="shared" si="181"/>
        <v>40101</v>
      </c>
      <c r="CM586" s="361">
        <v>40108</v>
      </c>
      <c r="CN586" s="317">
        <f t="shared" si="180"/>
        <v>7</v>
      </c>
      <c r="CO586" s="368">
        <v>2.5999999999999999E-3</v>
      </c>
      <c r="CP586" s="346">
        <f t="shared" si="182"/>
        <v>1.8200000000000001E-2</v>
      </c>
      <c r="CQ586" s="365">
        <f>+CQ587</f>
        <v>2.7312999999999999E-3</v>
      </c>
      <c r="CR586" s="337">
        <f t="shared" si="178"/>
        <v>4365.1786259999999</v>
      </c>
      <c r="CV586" s="337">
        <f t="shared" si="183"/>
        <v>4155.3</v>
      </c>
    </row>
    <row r="587" spans="2:100" hidden="1" x14ac:dyDescent="0.25">
      <c r="B587" s="345"/>
      <c r="I587" s="335">
        <f t="shared" si="174"/>
        <v>36684</v>
      </c>
      <c r="J587" s="345">
        <v>36685</v>
      </c>
      <c r="K587" s="317">
        <f t="shared" si="184"/>
        <v>1</v>
      </c>
      <c r="M587" s="346">
        <v>4.6996000000000003E-2</v>
      </c>
      <c r="N587" s="339">
        <f>ROUND(((N586*SUM($K$10:K586))+(M587*K587))/SUM($K$10:K587),5)</f>
        <v>3.32E-2</v>
      </c>
      <c r="O587" s="348">
        <v>42.65</v>
      </c>
      <c r="S587" s="317">
        <f t="shared" si="177"/>
        <v>0</v>
      </c>
      <c r="BB587" s="352"/>
      <c r="BP587" s="345"/>
      <c r="BR587" s="347"/>
      <c r="BS587" s="337"/>
      <c r="CH587" s="337">
        <f t="shared" si="175"/>
        <v>0</v>
      </c>
      <c r="CL587" s="361">
        <f t="shared" si="181"/>
        <v>40108</v>
      </c>
      <c r="CM587" s="361">
        <v>40115</v>
      </c>
      <c r="CN587" s="317">
        <f t="shared" si="180"/>
        <v>7</v>
      </c>
      <c r="CO587" s="368">
        <v>2.5999999999999999E-3</v>
      </c>
      <c r="CP587" s="346">
        <f t="shared" si="182"/>
        <v>1.8200000000000001E-2</v>
      </c>
      <c r="CQ587" s="365">
        <f>+CQ588</f>
        <v>2.7312999999999999E-3</v>
      </c>
      <c r="CR587" s="337">
        <f t="shared" si="178"/>
        <v>4365.1786259999999</v>
      </c>
      <c r="CV587" s="337">
        <f t="shared" si="183"/>
        <v>4155.3</v>
      </c>
    </row>
    <row r="588" spans="2:100" hidden="1" x14ac:dyDescent="0.25">
      <c r="B588" s="345"/>
      <c r="I588" s="335">
        <f t="shared" si="174"/>
        <v>36685</v>
      </c>
      <c r="J588" s="345">
        <v>36686</v>
      </c>
      <c r="K588" s="317">
        <f t="shared" si="184"/>
        <v>1</v>
      </c>
      <c r="M588" s="346">
        <v>4.3726000000000001E-2</v>
      </c>
      <c r="N588" s="339">
        <f>ROUND(((N587*SUM($K$10:K587))+(M588*K588))/SUM($K$10:K588),5)</f>
        <v>3.32E-2</v>
      </c>
      <c r="O588" s="348">
        <v>43.59</v>
      </c>
      <c r="S588" s="317">
        <f t="shared" si="177"/>
        <v>0</v>
      </c>
      <c r="BB588" s="352"/>
      <c r="BP588" s="345"/>
      <c r="BR588" s="347"/>
      <c r="BS588" s="337"/>
      <c r="CH588" s="337">
        <f t="shared" si="175"/>
        <v>0</v>
      </c>
      <c r="CL588" s="361">
        <f t="shared" si="181"/>
        <v>40115</v>
      </c>
      <c r="CM588" s="361">
        <v>40119</v>
      </c>
      <c r="CN588" s="317">
        <f t="shared" si="180"/>
        <v>4</v>
      </c>
      <c r="CO588" s="368">
        <v>2.5999999999999999E-3</v>
      </c>
      <c r="CP588" s="346">
        <f t="shared" si="182"/>
        <v>1.04E-2</v>
      </c>
      <c r="CQ588" s="365">
        <f>ROUND(SUM(CP584:CP588)/32,7)</f>
        <v>2.7312999999999999E-3</v>
      </c>
      <c r="CR588" s="337">
        <f t="shared" si="178"/>
        <v>2494.3877859999998</v>
      </c>
      <c r="CS588" s="337">
        <f>(ROUND(SUM(CR584:CR588),2))</f>
        <v>19955.099999999999</v>
      </c>
      <c r="CT588" s="337">
        <f>ROUND($CR$5*0.05495*31/360,2)</f>
        <v>394325.02</v>
      </c>
      <c r="CU588" s="366">
        <f>CS588-CT588</f>
        <v>-374369.92000000004</v>
      </c>
      <c r="CV588" s="337">
        <f t="shared" si="183"/>
        <v>2374.5</v>
      </c>
    </row>
    <row r="589" spans="2:100" hidden="1" x14ac:dyDescent="0.25">
      <c r="B589" s="345"/>
      <c r="I589" s="335">
        <f t="shared" si="174"/>
        <v>36686</v>
      </c>
      <c r="J589" s="345">
        <v>36714</v>
      </c>
      <c r="K589" s="317">
        <f t="shared" si="184"/>
        <v>28</v>
      </c>
      <c r="M589" s="346">
        <v>4.3064999999999999E-2</v>
      </c>
      <c r="N589" s="339">
        <f>ROUND(((N588*SUM($K$10:K588))+(M589*K589))/SUM($K$10:K589),5)</f>
        <v>3.3300000000000003E-2</v>
      </c>
      <c r="O589" s="348">
        <v>43.39</v>
      </c>
      <c r="S589" s="317">
        <f t="shared" si="177"/>
        <v>0</v>
      </c>
      <c r="BB589" s="352"/>
      <c r="BP589" s="345"/>
      <c r="BR589" s="347"/>
      <c r="BS589" s="337"/>
      <c r="CH589" s="337">
        <f t="shared" si="175"/>
        <v>0</v>
      </c>
      <c r="CL589" s="361">
        <f t="shared" si="181"/>
        <v>40119</v>
      </c>
      <c r="CM589" s="361">
        <v>40122</v>
      </c>
      <c r="CN589" s="317">
        <f t="shared" si="180"/>
        <v>3</v>
      </c>
      <c r="CO589" s="368">
        <v>2.5999999999999999E-3</v>
      </c>
      <c r="CP589" s="346">
        <f t="shared" si="182"/>
        <v>7.7999999999999996E-3</v>
      </c>
      <c r="CQ589" s="365">
        <f>+CQ590</f>
        <v>2.5966000000000001E-3</v>
      </c>
      <c r="CR589" s="337">
        <f t="shared" si="178"/>
        <v>1778.5287209999999</v>
      </c>
      <c r="CV589" s="337">
        <f t="shared" si="183"/>
        <v>1780.9</v>
      </c>
    </row>
    <row r="590" spans="2:100" hidden="1" x14ac:dyDescent="0.25">
      <c r="B590" s="345"/>
      <c r="I590" s="335">
        <f t="shared" si="174"/>
        <v>36714</v>
      </c>
      <c r="J590" s="345">
        <v>36718</v>
      </c>
      <c r="K590" s="317">
        <f t="shared" si="184"/>
        <v>4</v>
      </c>
      <c r="M590" s="346">
        <v>4.1530999999999998E-2</v>
      </c>
      <c r="N590" s="339">
        <f>ROUND(((N589*SUM($K$10:K589))+(M590*K590))/SUM($K$10:K590),5)</f>
        <v>3.3309999999999999E-2</v>
      </c>
      <c r="O590" s="348">
        <v>41.43</v>
      </c>
      <c r="S590" s="317">
        <f t="shared" si="177"/>
        <v>0</v>
      </c>
      <c r="BB590" s="352"/>
      <c r="BP590" s="345"/>
      <c r="BR590" s="347"/>
      <c r="BS590" s="337"/>
      <c r="CH590" s="337">
        <f t="shared" si="175"/>
        <v>0</v>
      </c>
      <c r="CL590" s="361">
        <f t="shared" si="181"/>
        <v>40122</v>
      </c>
      <c r="CM590" s="361">
        <v>40129</v>
      </c>
      <c r="CN590" s="317">
        <f t="shared" si="180"/>
        <v>7</v>
      </c>
      <c r="CO590" s="368">
        <v>2.3E-3</v>
      </c>
      <c r="CP590" s="346">
        <f t="shared" si="182"/>
        <v>1.61E-2</v>
      </c>
      <c r="CQ590" s="365">
        <f>+CQ591</f>
        <v>2.5966000000000001E-3</v>
      </c>
      <c r="CR590" s="337">
        <f t="shared" si="178"/>
        <v>4149.9003480000001</v>
      </c>
      <c r="CV590" s="337">
        <f t="shared" si="183"/>
        <v>3675.9</v>
      </c>
    </row>
    <row r="591" spans="2:100" hidden="1" x14ac:dyDescent="0.25">
      <c r="I591" s="335">
        <f t="shared" si="174"/>
        <v>36718</v>
      </c>
      <c r="J591" s="345">
        <v>36719</v>
      </c>
      <c r="K591" s="317">
        <f t="shared" si="184"/>
        <v>1</v>
      </c>
      <c r="M591" s="346">
        <v>4.1341999999999997E-2</v>
      </c>
      <c r="N591" s="339">
        <f>ROUND(((N590*SUM($K$10:K590))+(M591*K591))/SUM($K$10:K591),5)</f>
        <v>3.3309999999999999E-2</v>
      </c>
      <c r="O591" s="348">
        <v>40.68</v>
      </c>
      <c r="S591" s="317">
        <f t="shared" si="177"/>
        <v>0</v>
      </c>
      <c r="BB591" s="352"/>
      <c r="BP591" s="345"/>
      <c r="BR591" s="347"/>
      <c r="BS591" s="337"/>
      <c r="CH591" s="337">
        <f t="shared" si="175"/>
        <v>0</v>
      </c>
      <c r="CL591" s="361">
        <f t="shared" si="181"/>
        <v>40129</v>
      </c>
      <c r="CM591" s="361">
        <v>40136</v>
      </c>
      <c r="CN591" s="317">
        <f t="shared" si="180"/>
        <v>7</v>
      </c>
      <c r="CO591" s="368">
        <v>2.5999999999999999E-3</v>
      </c>
      <c r="CP591" s="346">
        <f t="shared" si="182"/>
        <v>1.8200000000000001E-2</v>
      </c>
      <c r="CQ591" s="365">
        <f>+CQ592</f>
        <v>2.5966000000000001E-3</v>
      </c>
      <c r="CR591" s="337">
        <f t="shared" si="178"/>
        <v>4149.9003480000001</v>
      </c>
      <c r="CV591" s="337">
        <f t="shared" si="183"/>
        <v>4155.3</v>
      </c>
    </row>
    <row r="592" spans="2:100" hidden="1" x14ac:dyDescent="0.25">
      <c r="I592" s="335">
        <f t="shared" si="174"/>
        <v>36719</v>
      </c>
      <c r="J592" s="345">
        <v>36726</v>
      </c>
      <c r="K592" s="317">
        <f t="shared" si="184"/>
        <v>7</v>
      </c>
      <c r="M592" s="346">
        <v>4.2404999999999998E-2</v>
      </c>
      <c r="N592" s="339">
        <f>ROUND(((N591*SUM($K$10:K591))+(M592*K592))/SUM($K$10:K592),5)</f>
        <v>3.3329999999999999E-2</v>
      </c>
      <c r="O592" s="348">
        <v>37.11</v>
      </c>
      <c r="S592" s="317">
        <f t="shared" si="177"/>
        <v>0</v>
      </c>
      <c r="BB592" s="352"/>
      <c r="BP592" s="345"/>
      <c r="BR592" s="347"/>
      <c r="BS592" s="337"/>
      <c r="CH592" s="337">
        <f t="shared" si="175"/>
        <v>0</v>
      </c>
      <c r="CL592" s="361">
        <f t="shared" si="181"/>
        <v>40136</v>
      </c>
      <c r="CM592" s="361">
        <v>40144</v>
      </c>
      <c r="CN592" s="317">
        <f t="shared" si="180"/>
        <v>8</v>
      </c>
      <c r="CO592" s="368">
        <v>2.8E-3</v>
      </c>
      <c r="CP592" s="346">
        <f t="shared" si="182"/>
        <v>2.24E-2</v>
      </c>
      <c r="CQ592" s="365">
        <f>+CQ593</f>
        <v>2.5966000000000001E-3</v>
      </c>
      <c r="CR592" s="337">
        <f t="shared" si="178"/>
        <v>4742.7432550000003</v>
      </c>
      <c r="CV592" s="337">
        <f t="shared" si="183"/>
        <v>5114.3</v>
      </c>
    </row>
    <row r="593" spans="2:100" hidden="1" x14ac:dyDescent="0.25">
      <c r="B593" s="345"/>
      <c r="I593" s="335">
        <f>J592</f>
        <v>36726</v>
      </c>
      <c r="J593" s="345">
        <v>36686</v>
      </c>
      <c r="K593" s="317">
        <f>J593-I593</f>
        <v>-40</v>
      </c>
      <c r="M593" s="346">
        <v>4.3726000000000001E-2</v>
      </c>
      <c r="N593" s="339">
        <f>ROUND(((N592*SUM($K$10:K592))+(M593*K593))/SUM($K$10:K593),5)</f>
        <v>3.3180000000000001E-2</v>
      </c>
      <c r="O593" s="348">
        <v>43.59</v>
      </c>
      <c r="S593" s="317">
        <f>R593-Q593</f>
        <v>0</v>
      </c>
      <c r="BB593" s="352"/>
      <c r="BP593" s="345"/>
      <c r="BR593" s="347"/>
      <c r="BS593" s="337"/>
      <c r="CH593" s="337">
        <f>ROUND($CA$5*CG593*CF593/365,6)</f>
        <v>0</v>
      </c>
      <c r="CL593" s="361">
        <f t="shared" si="181"/>
        <v>40144</v>
      </c>
      <c r="CM593" s="361">
        <v>40148</v>
      </c>
      <c r="CN593" s="317">
        <f t="shared" si="180"/>
        <v>4</v>
      </c>
      <c r="CO593" s="368">
        <v>2.7000000000000001E-3</v>
      </c>
      <c r="CP593" s="346">
        <f t="shared" si="182"/>
        <v>1.0800000000000001E-2</v>
      </c>
      <c r="CQ593" s="365">
        <f>ROUND(SUM(CP589:CP593)/29,7)</f>
        <v>2.5966000000000001E-3</v>
      </c>
      <c r="CR593" s="337">
        <f t="shared" si="178"/>
        <v>2371.371627</v>
      </c>
      <c r="CS593" s="337">
        <f>(ROUND(SUM(CR589:CR593),2))</f>
        <v>17192.439999999999</v>
      </c>
      <c r="CT593" s="337">
        <f>ROUND($CR$5*0.05495*29/360,2)</f>
        <v>368884.69</v>
      </c>
      <c r="CU593" s="366">
        <f>CS593-CT593</f>
        <v>-351692.25</v>
      </c>
      <c r="CV593" s="337">
        <f>ROUND($CR$5*CO593*CN593/365,1)</f>
        <v>2465.8000000000002</v>
      </c>
    </row>
    <row r="594" spans="2:100" hidden="1" x14ac:dyDescent="0.25">
      <c r="I594" s="335">
        <f t="shared" si="174"/>
        <v>36686</v>
      </c>
      <c r="J594" s="345">
        <v>36747</v>
      </c>
      <c r="K594" s="317">
        <f t="shared" si="184"/>
        <v>61</v>
      </c>
      <c r="M594" s="346">
        <v>4.4032000000000002E-2</v>
      </c>
      <c r="N594" s="339">
        <f>ROUND(((N593*SUM($K$10:K593))+(M594*K594))/SUM($K$10:K594),5)</f>
        <v>3.3410000000000002E-2</v>
      </c>
      <c r="O594" s="348">
        <v>44.48</v>
      </c>
      <c r="S594" s="317">
        <f t="shared" si="177"/>
        <v>0</v>
      </c>
      <c r="BB594" s="352"/>
      <c r="BP594" s="345"/>
      <c r="BR594" s="347"/>
      <c r="BS594" s="337"/>
      <c r="CH594" s="337">
        <f t="shared" si="175"/>
        <v>0</v>
      </c>
      <c r="CL594" s="361">
        <f t="shared" si="181"/>
        <v>40148</v>
      </c>
      <c r="CM594" s="361">
        <v>40150</v>
      </c>
      <c r="CN594" s="317">
        <f t="shared" si="180"/>
        <v>2</v>
      </c>
      <c r="CO594" s="368">
        <v>2.7000000000000001E-3</v>
      </c>
      <c r="CP594" s="346">
        <f t="shared" si="182"/>
        <v>5.4000000000000003E-3</v>
      </c>
      <c r="CQ594" s="365">
        <f>+CQ595</f>
        <v>2.6147000000000002E-3</v>
      </c>
      <c r="CR594" s="337">
        <f t="shared" si="178"/>
        <v>1193.9508189999999</v>
      </c>
      <c r="CV594" s="337">
        <f t="shared" si="183"/>
        <v>1232.9000000000001</v>
      </c>
    </row>
    <row r="595" spans="2:100" hidden="1" x14ac:dyDescent="0.25">
      <c r="I595" s="335">
        <f t="shared" si="174"/>
        <v>36747</v>
      </c>
      <c r="J595" s="345">
        <v>36755</v>
      </c>
      <c r="K595" s="317">
        <f t="shared" si="184"/>
        <v>8</v>
      </c>
      <c r="M595" s="346">
        <v>4.4174999999999999E-2</v>
      </c>
      <c r="N595" s="339">
        <f>ROUND(((N594*SUM($K$10:K594))+(M595*K595))/SUM($K$10:K595),5)</f>
        <v>3.3439999999999998E-2</v>
      </c>
      <c r="O595" s="348">
        <v>49.33</v>
      </c>
      <c r="S595" s="317">
        <f t="shared" si="177"/>
        <v>0</v>
      </c>
      <c r="BB595" s="352"/>
      <c r="BP595" s="345"/>
      <c r="BR595" s="347"/>
      <c r="BS595" s="337"/>
      <c r="CH595" s="337">
        <f t="shared" si="175"/>
        <v>0</v>
      </c>
      <c r="CL595" s="361">
        <f t="shared" si="181"/>
        <v>40150</v>
      </c>
      <c r="CM595" s="361">
        <v>40157</v>
      </c>
      <c r="CN595" s="317">
        <f t="shared" si="180"/>
        <v>7</v>
      </c>
      <c r="CO595" s="368">
        <v>2.2000000000000001E-3</v>
      </c>
      <c r="CP595" s="346">
        <f t="shared" si="182"/>
        <v>1.54E-2</v>
      </c>
      <c r="CQ595" s="365">
        <f>+CQ596</f>
        <v>2.6147000000000002E-3</v>
      </c>
      <c r="CR595" s="337">
        <f t="shared" si="178"/>
        <v>4178.827867</v>
      </c>
      <c r="CV595" s="337">
        <f t="shared" si="183"/>
        <v>3516.1</v>
      </c>
    </row>
    <row r="596" spans="2:100" hidden="1" x14ac:dyDescent="0.25">
      <c r="I596" s="335">
        <f t="shared" si="174"/>
        <v>36755</v>
      </c>
      <c r="J596" s="345">
        <v>36782</v>
      </c>
      <c r="K596" s="317">
        <f t="shared" si="184"/>
        <v>27</v>
      </c>
      <c r="M596" s="346">
        <v>4.4170000000000001E-2</v>
      </c>
      <c r="N596" s="339">
        <f>ROUND(((N595*SUM($K$10:K595))+(M596*K596))/SUM($K$10:K596),5)</f>
        <v>3.354E-2</v>
      </c>
      <c r="O596" s="348">
        <v>49.43</v>
      </c>
      <c r="S596" s="317">
        <f t="shared" si="177"/>
        <v>0</v>
      </c>
      <c r="BB596" s="352"/>
      <c r="BP596" s="345"/>
      <c r="BR596" s="347"/>
      <c r="BS596" s="337"/>
      <c r="CH596" s="337">
        <f t="shared" si="175"/>
        <v>0</v>
      </c>
      <c r="CL596" s="361">
        <f t="shared" si="181"/>
        <v>40157</v>
      </c>
      <c r="CM596" s="361">
        <v>40164</v>
      </c>
      <c r="CN596" s="317">
        <f t="shared" si="180"/>
        <v>7</v>
      </c>
      <c r="CO596" s="368">
        <v>2.3999999999999998E-3</v>
      </c>
      <c r="CP596" s="346">
        <f t="shared" si="182"/>
        <v>1.6799999999999999E-2</v>
      </c>
      <c r="CQ596" s="365">
        <f>+CQ597</f>
        <v>2.6147000000000002E-3</v>
      </c>
      <c r="CR596" s="337">
        <f t="shared" si="178"/>
        <v>4178.827867</v>
      </c>
      <c r="CV596" s="337">
        <f t="shared" si="183"/>
        <v>3835.7</v>
      </c>
    </row>
    <row r="597" spans="2:100" hidden="1" x14ac:dyDescent="0.25">
      <c r="I597" s="335">
        <f t="shared" si="174"/>
        <v>36782</v>
      </c>
      <c r="J597" s="345">
        <v>36790</v>
      </c>
      <c r="K597" s="317">
        <f t="shared" si="184"/>
        <v>8</v>
      </c>
      <c r="M597" s="346">
        <v>4.5560000000000003E-2</v>
      </c>
      <c r="N597" s="339">
        <f>ROUND(((N596*SUM($K$10:K596))+(M597*K597))/SUM($K$10:K597),5)</f>
        <v>3.3570000000000003E-2</v>
      </c>
      <c r="O597" s="348">
        <v>59.83</v>
      </c>
      <c r="S597" s="317">
        <f t="shared" si="177"/>
        <v>0</v>
      </c>
      <c r="BB597" s="352"/>
      <c r="BP597" s="345"/>
      <c r="BR597" s="347"/>
      <c r="BS597" s="337"/>
      <c r="CH597" s="337">
        <f t="shared" si="175"/>
        <v>0</v>
      </c>
      <c r="CL597" s="361">
        <f t="shared" si="181"/>
        <v>40164</v>
      </c>
      <c r="CM597" s="361">
        <v>40171</v>
      </c>
      <c r="CN597" s="317">
        <f t="shared" si="180"/>
        <v>7</v>
      </c>
      <c r="CO597" s="368">
        <v>2.7000000000000001E-3</v>
      </c>
      <c r="CP597" s="346">
        <f t="shared" si="182"/>
        <v>1.89E-2</v>
      </c>
      <c r="CQ597" s="365">
        <f>+CQ598</f>
        <v>2.6147000000000002E-3</v>
      </c>
      <c r="CR597" s="337">
        <f t="shared" si="178"/>
        <v>4178.827867</v>
      </c>
      <c r="CV597" s="337">
        <f t="shared" si="183"/>
        <v>4315.2</v>
      </c>
    </row>
    <row r="598" spans="2:100" hidden="1" x14ac:dyDescent="0.25">
      <c r="I598" s="335">
        <f t="shared" si="174"/>
        <v>36790</v>
      </c>
      <c r="J598" s="345">
        <v>36831</v>
      </c>
      <c r="K598" s="317">
        <f t="shared" si="184"/>
        <v>41</v>
      </c>
      <c r="M598" s="346">
        <v>4.5585000000000001E-2</v>
      </c>
      <c r="N598" s="339">
        <f>ROUND(((N597*SUM($K$10:K597))+(M598*K598))/SUM($K$10:K598),5)</f>
        <v>3.3739999999999999E-2</v>
      </c>
      <c r="O598" s="348">
        <v>60.6</v>
      </c>
      <c r="S598" s="317">
        <f t="shared" si="177"/>
        <v>0</v>
      </c>
      <c r="BB598" s="352"/>
      <c r="BP598" s="345"/>
      <c r="BR598" s="347"/>
      <c r="BS598" s="337"/>
      <c r="CH598" s="337">
        <f t="shared" si="175"/>
        <v>0</v>
      </c>
      <c r="CL598" s="361">
        <f t="shared" si="181"/>
        <v>40171</v>
      </c>
      <c r="CM598" s="361">
        <v>40178</v>
      </c>
      <c r="CN598" s="317">
        <f t="shared" si="180"/>
        <v>7</v>
      </c>
      <c r="CO598" s="368">
        <v>3.2000000000000002E-3</v>
      </c>
      <c r="CP598" s="346">
        <f t="shared" si="182"/>
        <v>2.24E-2</v>
      </c>
      <c r="CQ598" s="365">
        <f>+CQ599</f>
        <v>2.6147000000000002E-3</v>
      </c>
      <c r="CR598" s="337">
        <f t="shared" si="178"/>
        <v>4178.827867</v>
      </c>
      <c r="CS598" s="337"/>
      <c r="CT598" s="337"/>
      <c r="CU598" s="366"/>
      <c r="CV598" s="337">
        <f t="shared" si="183"/>
        <v>5114.3</v>
      </c>
    </row>
    <row r="599" spans="2:100" hidden="1" x14ac:dyDescent="0.25">
      <c r="I599" s="335">
        <f t="shared" si="174"/>
        <v>36831</v>
      </c>
      <c r="J599" s="345">
        <v>36843</v>
      </c>
      <c r="K599" s="317">
        <f t="shared" si="184"/>
        <v>12</v>
      </c>
      <c r="M599" s="346">
        <v>4.5838999999999998E-2</v>
      </c>
      <c r="N599" s="339">
        <f>ROUND(((N598*SUM($K$10:K598))+(M599*K599))/SUM($K$10:K599),5)</f>
        <v>3.3790000000000001E-2</v>
      </c>
      <c r="O599" s="348">
        <v>65.63</v>
      </c>
      <c r="S599" s="317">
        <f t="shared" si="177"/>
        <v>0</v>
      </c>
      <c r="BB599" s="352"/>
      <c r="BP599" s="345"/>
      <c r="BR599" s="347"/>
      <c r="BS599" s="337"/>
      <c r="CH599" s="337">
        <f t="shared" ref="CH599:CH662" si="185">ROUND($CA$5*CG599*CF599/365,6)</f>
        <v>0</v>
      </c>
      <c r="CL599" s="361">
        <f t="shared" si="181"/>
        <v>40178</v>
      </c>
      <c r="CM599" s="361">
        <v>40182</v>
      </c>
      <c r="CN599" s="317">
        <f t="shared" si="180"/>
        <v>4</v>
      </c>
      <c r="CO599" s="368">
        <v>2.5000000000000001E-3</v>
      </c>
      <c r="CP599" s="346">
        <f t="shared" si="182"/>
        <v>0.01</v>
      </c>
      <c r="CQ599" s="365">
        <f>ROUND(SUM(CP594:CP599)/34,7)</f>
        <v>2.6147000000000002E-3</v>
      </c>
      <c r="CR599" s="337">
        <f t="shared" si="178"/>
        <v>2387.9016379999998</v>
      </c>
      <c r="CS599" s="337">
        <f>(ROUND(SUM(CR594:CR599),2))</f>
        <v>20297.16</v>
      </c>
      <c r="CT599" s="337">
        <f>ROUND($CR$5*0.05495*33/360,2)</f>
        <v>419765.34</v>
      </c>
      <c r="CU599" s="366">
        <f>CS599-CT599</f>
        <v>-399468.18000000005</v>
      </c>
      <c r="CV599" s="337">
        <f t="shared" si="183"/>
        <v>2283.1999999999998</v>
      </c>
    </row>
    <row r="600" spans="2:100" hidden="1" x14ac:dyDescent="0.25">
      <c r="I600" s="335">
        <f t="shared" ref="I600:I633" si="186">J599</f>
        <v>36843</v>
      </c>
      <c r="J600" s="345">
        <v>36850</v>
      </c>
      <c r="K600" s="317">
        <f t="shared" si="184"/>
        <v>7</v>
      </c>
      <c r="M600" s="346">
        <v>4.5865999999999997E-2</v>
      </c>
      <c r="N600" s="339">
        <f>ROUND(((N599*SUM($K$10:K599))+(M600*K600))/SUM($K$10:K600),5)</f>
        <v>3.3820000000000003E-2</v>
      </c>
      <c r="O600" s="348">
        <v>79.13</v>
      </c>
      <c r="S600" s="317">
        <f t="shared" si="177"/>
        <v>0</v>
      </c>
      <c r="BB600" s="352"/>
      <c r="BP600" s="345"/>
      <c r="BR600" s="347"/>
      <c r="BS600" s="337"/>
      <c r="CH600" s="337">
        <f t="shared" si="185"/>
        <v>0</v>
      </c>
      <c r="CL600" s="361">
        <f t="shared" si="181"/>
        <v>40182</v>
      </c>
      <c r="CM600" s="361">
        <v>40185</v>
      </c>
      <c r="CN600" s="317">
        <f t="shared" si="180"/>
        <v>3</v>
      </c>
      <c r="CO600" s="368">
        <v>2.5000000000000001E-3</v>
      </c>
      <c r="CP600" s="346">
        <f t="shared" si="182"/>
        <v>7.4999999999999997E-3</v>
      </c>
      <c r="CQ600" s="365">
        <f>+CQ601</f>
        <v>1.8286000000000001E-3</v>
      </c>
      <c r="CR600" s="337">
        <f t="shared" si="178"/>
        <v>1252.4908029999999</v>
      </c>
      <c r="CV600" s="337">
        <f t="shared" si="183"/>
        <v>1712.4</v>
      </c>
    </row>
    <row r="601" spans="2:100" hidden="1" x14ac:dyDescent="0.25">
      <c r="I601" s="335">
        <f t="shared" si="186"/>
        <v>36850</v>
      </c>
      <c r="J601" s="345">
        <v>36866</v>
      </c>
      <c r="K601" s="317">
        <f t="shared" si="184"/>
        <v>16</v>
      </c>
      <c r="M601" s="346">
        <v>4.6081999999999998E-2</v>
      </c>
      <c r="N601" s="339">
        <f>ROUND(((N600*SUM($K$10:K600))+(M601*K601))/SUM($K$10:K601),5)</f>
        <v>3.3890000000000003E-2</v>
      </c>
      <c r="O601" s="348">
        <v>73.930000000000007</v>
      </c>
      <c r="S601" s="317">
        <f t="shared" si="177"/>
        <v>0</v>
      </c>
      <c r="BB601" s="352"/>
      <c r="BP601" s="345"/>
      <c r="BR601" s="347"/>
      <c r="BS601" s="337"/>
      <c r="CH601" s="337">
        <f t="shared" si="185"/>
        <v>0</v>
      </c>
      <c r="CL601" s="361">
        <f t="shared" si="181"/>
        <v>40185</v>
      </c>
      <c r="CM601" s="361">
        <v>40192</v>
      </c>
      <c r="CN601" s="317">
        <f t="shared" si="180"/>
        <v>7</v>
      </c>
      <c r="CO601" s="368">
        <v>1.5E-3</v>
      </c>
      <c r="CP601" s="346">
        <f t="shared" si="182"/>
        <v>1.0500000000000001E-2</v>
      </c>
      <c r="CQ601" s="365">
        <f>+CQ602</f>
        <v>1.8286000000000001E-3</v>
      </c>
      <c r="CR601" s="337">
        <f t="shared" si="178"/>
        <v>2922.4785400000001</v>
      </c>
      <c r="CV601" s="337">
        <f t="shared" si="183"/>
        <v>2397.3000000000002</v>
      </c>
    </row>
    <row r="602" spans="2:100" hidden="1" x14ac:dyDescent="0.25">
      <c r="I602" s="335">
        <f t="shared" si="186"/>
        <v>36866</v>
      </c>
      <c r="J602" s="345">
        <v>36871</v>
      </c>
      <c r="K602" s="317">
        <f t="shared" si="184"/>
        <v>5</v>
      </c>
      <c r="M602" s="346">
        <v>4.6195E-2</v>
      </c>
      <c r="N602" s="339">
        <f>ROUND(((N601*SUM($K$10:K601))+(M602*K602))/SUM($K$10:K602),5)</f>
        <v>3.3910000000000003E-2</v>
      </c>
      <c r="O602" s="348">
        <v>73.400000000000006</v>
      </c>
      <c r="S602" s="317">
        <f t="shared" si="177"/>
        <v>0</v>
      </c>
      <c r="BB602" s="352"/>
      <c r="BP602" s="345"/>
      <c r="BR602" s="347"/>
      <c r="BS602" s="337"/>
      <c r="CH602" s="337">
        <f t="shared" si="185"/>
        <v>0</v>
      </c>
      <c r="CL602" s="361">
        <f t="shared" si="181"/>
        <v>40192</v>
      </c>
      <c r="CM602" s="361">
        <v>40199</v>
      </c>
      <c r="CN602" s="317">
        <f t="shared" si="180"/>
        <v>7</v>
      </c>
      <c r="CO602" s="368">
        <v>1.6000000000000001E-3</v>
      </c>
      <c r="CP602" s="346">
        <f t="shared" si="182"/>
        <v>1.12E-2</v>
      </c>
      <c r="CQ602" s="365">
        <f>+CQ603</f>
        <v>1.8286000000000001E-3</v>
      </c>
      <c r="CR602" s="337">
        <f t="shared" si="178"/>
        <v>2922.4785400000001</v>
      </c>
      <c r="CV602" s="337">
        <f t="shared" si="183"/>
        <v>2557.1</v>
      </c>
    </row>
    <row r="603" spans="2:100" hidden="1" x14ac:dyDescent="0.25">
      <c r="I603" s="335">
        <f t="shared" si="186"/>
        <v>36871</v>
      </c>
      <c r="J603" s="345">
        <v>36879</v>
      </c>
      <c r="K603" s="317">
        <f t="shared" si="184"/>
        <v>8</v>
      </c>
      <c r="M603" s="346">
        <v>4.6186999999999999E-2</v>
      </c>
      <c r="N603" s="339">
        <f>ROUND(((N602*SUM($K$10:K602))+(M603*K603))/SUM($K$10:K603),5)</f>
        <v>3.3939999999999998E-2</v>
      </c>
      <c r="O603" s="348">
        <v>72.180000000000007</v>
      </c>
      <c r="S603" s="317">
        <f t="shared" si="177"/>
        <v>0</v>
      </c>
      <c r="BB603" s="352"/>
      <c r="BP603" s="345"/>
      <c r="BR603" s="347"/>
      <c r="BS603" s="337"/>
      <c r="CH603" s="337">
        <f t="shared" si="185"/>
        <v>0</v>
      </c>
      <c r="CL603" s="361">
        <f t="shared" si="181"/>
        <v>40199</v>
      </c>
      <c r="CM603" s="361">
        <v>40206</v>
      </c>
      <c r="CN603" s="317">
        <f t="shared" si="180"/>
        <v>7</v>
      </c>
      <c r="CO603" s="368">
        <v>2E-3</v>
      </c>
      <c r="CP603" s="346">
        <f t="shared" si="182"/>
        <v>1.4E-2</v>
      </c>
      <c r="CQ603" s="365">
        <f>+CQ604</f>
        <v>1.8286000000000001E-3</v>
      </c>
      <c r="CR603" s="337">
        <f t="shared" si="178"/>
        <v>2922.4785400000001</v>
      </c>
      <c r="CV603" s="337">
        <f t="shared" si="183"/>
        <v>3196.4</v>
      </c>
    </row>
    <row r="604" spans="2:100" hidden="1" x14ac:dyDescent="0.25">
      <c r="I604" s="335">
        <f t="shared" si="186"/>
        <v>36879</v>
      </c>
      <c r="J604" s="345">
        <v>36900</v>
      </c>
      <c r="K604" s="317">
        <f t="shared" si="184"/>
        <v>21</v>
      </c>
      <c r="M604" s="346">
        <v>4.6218000000000002E-2</v>
      </c>
      <c r="N604" s="339">
        <f>ROUND(((N603*SUM($K$10:K603))+(M604*K604))/SUM($K$10:K604),5)</f>
        <v>3.4020000000000002E-2</v>
      </c>
      <c r="O604" s="348">
        <v>73.12</v>
      </c>
      <c r="S604" s="317">
        <f t="shared" si="177"/>
        <v>0</v>
      </c>
      <c r="BB604" s="352"/>
      <c r="BP604" s="345"/>
      <c r="BR604" s="347"/>
      <c r="BS604" s="337"/>
      <c r="CH604" s="337">
        <f t="shared" si="185"/>
        <v>0</v>
      </c>
      <c r="CL604" s="361">
        <f t="shared" si="181"/>
        <v>40206</v>
      </c>
      <c r="CM604" s="361">
        <v>40210</v>
      </c>
      <c r="CN604" s="317">
        <f t="shared" si="180"/>
        <v>4</v>
      </c>
      <c r="CO604" s="368">
        <v>2E-3</v>
      </c>
      <c r="CP604" s="346">
        <f t="shared" si="182"/>
        <v>8.0000000000000002E-3</v>
      </c>
      <c r="CQ604" s="365">
        <f>ROUND(SUM(CP600:CP604)/28,7)</f>
        <v>1.8286000000000001E-3</v>
      </c>
      <c r="CR604" s="337">
        <f t="shared" si="178"/>
        <v>1669.9877369999999</v>
      </c>
      <c r="CS604" s="337">
        <f>(ROUND(SUM(CR600:CR604),2))</f>
        <v>11689.91</v>
      </c>
      <c r="CT604" s="337">
        <f>ROUND($CR$5*0.05495*27/360,2)</f>
        <v>343444.37</v>
      </c>
      <c r="CU604" s="366">
        <f>CS604-CT604</f>
        <v>-331754.46000000002</v>
      </c>
      <c r="CV604" s="337">
        <f t="shared" si="183"/>
        <v>1826.5</v>
      </c>
    </row>
    <row r="605" spans="2:100" hidden="1" x14ac:dyDescent="0.25">
      <c r="I605" s="335">
        <f>J604</f>
        <v>36900</v>
      </c>
      <c r="J605" s="345">
        <v>36850</v>
      </c>
      <c r="K605" s="317">
        <f>J605-I605</f>
        <v>-50</v>
      </c>
      <c r="M605" s="346">
        <v>4.5865999999999997E-2</v>
      </c>
      <c r="N605" s="339">
        <f>ROUND(((N604*SUM($K$10:K604))+(M605*K605))/SUM($K$10:K605),5)</f>
        <v>3.3820000000000003E-2</v>
      </c>
      <c r="O605" s="348">
        <v>79.13</v>
      </c>
      <c r="S605" s="317">
        <f>R605-Q605</f>
        <v>0</v>
      </c>
      <c r="BB605" s="352"/>
      <c r="BP605" s="345"/>
      <c r="BR605" s="347"/>
      <c r="BS605" s="337"/>
      <c r="CH605" s="337">
        <f>ROUND($CA$5*CG605*CF605/365,6)</f>
        <v>0</v>
      </c>
      <c r="CL605" s="361">
        <f t="shared" si="181"/>
        <v>40210</v>
      </c>
      <c r="CM605" s="361">
        <v>40213</v>
      </c>
      <c r="CN605" s="317">
        <f t="shared" si="180"/>
        <v>3</v>
      </c>
      <c r="CO605" s="368">
        <v>2E-3</v>
      </c>
      <c r="CP605" s="346">
        <f t="shared" si="182"/>
        <v>6.0000000000000001E-3</v>
      </c>
      <c r="CQ605" s="365">
        <f>+CQ606</f>
        <v>2E-3</v>
      </c>
      <c r="CR605" s="337">
        <f t="shared" si="178"/>
        <v>1369.8904110000001</v>
      </c>
      <c r="CV605" s="337">
        <f>ROUND($CR$5*CO605*CN605/365,1)</f>
        <v>1369.9</v>
      </c>
    </row>
    <row r="606" spans="2:100" hidden="1" x14ac:dyDescent="0.25">
      <c r="I606" s="335">
        <f>J605</f>
        <v>36850</v>
      </c>
      <c r="J606" s="345">
        <v>36866</v>
      </c>
      <c r="K606" s="317">
        <f>J606-I606</f>
        <v>16</v>
      </c>
      <c r="M606" s="346">
        <v>4.6081999999999998E-2</v>
      </c>
      <c r="N606" s="339">
        <f>ROUND(((N605*SUM($K$10:K605))+(M606*K606))/SUM($K$10:K606),5)</f>
        <v>3.3890000000000003E-2</v>
      </c>
      <c r="O606" s="348">
        <v>73.930000000000007</v>
      </c>
      <c r="S606" s="317">
        <f>R606-Q606</f>
        <v>0</v>
      </c>
      <c r="BB606" s="352"/>
      <c r="BP606" s="345"/>
      <c r="BR606" s="347"/>
      <c r="BS606" s="337"/>
      <c r="CH606" s="337">
        <f>ROUND($CA$5*CG606*CF606/365,6)</f>
        <v>0</v>
      </c>
      <c r="CL606" s="361">
        <f t="shared" si="181"/>
        <v>40213</v>
      </c>
      <c r="CM606" s="361">
        <v>40220</v>
      </c>
      <c r="CN606" s="317">
        <f t="shared" si="180"/>
        <v>7</v>
      </c>
      <c r="CO606" s="368">
        <v>1.6999999999999999E-3</v>
      </c>
      <c r="CP606" s="346">
        <f t="shared" si="182"/>
        <v>1.1899999999999999E-2</v>
      </c>
      <c r="CQ606" s="365">
        <f>+CQ607</f>
        <v>2E-3</v>
      </c>
      <c r="CR606" s="337">
        <f t="shared" si="178"/>
        <v>3196.4109589999998</v>
      </c>
      <c r="CV606" s="337">
        <f>ROUND($CR$5*CO606*CN606/365,1)</f>
        <v>2716.9</v>
      </c>
    </row>
    <row r="607" spans="2:100" hidden="1" x14ac:dyDescent="0.25">
      <c r="I607" s="335">
        <f>J606</f>
        <v>36866</v>
      </c>
      <c r="J607" s="345">
        <v>36871</v>
      </c>
      <c r="K607" s="317">
        <f>J607-I607</f>
        <v>5</v>
      </c>
      <c r="M607" s="346">
        <v>4.6195E-2</v>
      </c>
      <c r="N607" s="339">
        <f>ROUND(((N606*SUM($K$10:K606))+(M607*K607))/SUM($K$10:K607),5)</f>
        <v>3.3910000000000003E-2</v>
      </c>
      <c r="O607" s="348">
        <v>73.400000000000006</v>
      </c>
      <c r="S607" s="317">
        <f>R607-Q607</f>
        <v>0</v>
      </c>
      <c r="BB607" s="352"/>
      <c r="BP607" s="345"/>
      <c r="BR607" s="347"/>
      <c r="BS607" s="337"/>
      <c r="CH607" s="337">
        <f>ROUND($CA$5*CG607*CF607/365,6)</f>
        <v>0</v>
      </c>
      <c r="CL607" s="361">
        <f t="shared" si="181"/>
        <v>40220</v>
      </c>
      <c r="CM607" s="361">
        <v>40227</v>
      </c>
      <c r="CN607" s="317">
        <f t="shared" si="180"/>
        <v>7</v>
      </c>
      <c r="CO607" s="368">
        <v>2E-3</v>
      </c>
      <c r="CP607" s="346">
        <f t="shared" si="182"/>
        <v>1.4E-2</v>
      </c>
      <c r="CQ607" s="365">
        <f>+CQ608</f>
        <v>2E-3</v>
      </c>
      <c r="CR607" s="337">
        <f t="shared" si="178"/>
        <v>3196.4109589999998</v>
      </c>
      <c r="CV607" s="337">
        <f>ROUND($CR$5*CO607*CN607/365,1)</f>
        <v>3196.4</v>
      </c>
    </row>
    <row r="608" spans="2:100" hidden="1" x14ac:dyDescent="0.25">
      <c r="I608" s="335">
        <f>J607</f>
        <v>36871</v>
      </c>
      <c r="J608" s="345">
        <v>36879</v>
      </c>
      <c r="K608" s="317">
        <f>J608-I608</f>
        <v>8</v>
      </c>
      <c r="M608" s="346">
        <v>4.6186999999999999E-2</v>
      </c>
      <c r="N608" s="339">
        <f>ROUND(((N607*SUM($K$10:K607))+(M608*K608))/SUM($K$10:K608),5)</f>
        <v>3.3939999999999998E-2</v>
      </c>
      <c r="O608" s="348">
        <v>72.180000000000007</v>
      </c>
      <c r="S608" s="317">
        <f>R608-Q608</f>
        <v>0</v>
      </c>
      <c r="BB608" s="352"/>
      <c r="BP608" s="345"/>
      <c r="BR608" s="347"/>
      <c r="BS608" s="337"/>
      <c r="CH608" s="337">
        <f>ROUND($CA$5*CG608*CF608/365,6)</f>
        <v>0</v>
      </c>
      <c r="CL608" s="361">
        <f t="shared" si="181"/>
        <v>40227</v>
      </c>
      <c r="CM608" s="361">
        <v>40234</v>
      </c>
      <c r="CN608" s="317">
        <f t="shared" si="180"/>
        <v>7</v>
      </c>
      <c r="CO608" s="368">
        <v>2.3E-3</v>
      </c>
      <c r="CP608" s="346">
        <f t="shared" si="182"/>
        <v>1.61E-2</v>
      </c>
      <c r="CQ608" s="365">
        <f>+CQ609</f>
        <v>2E-3</v>
      </c>
      <c r="CR608" s="337">
        <f t="shared" si="178"/>
        <v>3196.4109589999998</v>
      </c>
      <c r="CV608" s="337">
        <f>ROUND($CR$5*CO608*CN608/365,1)</f>
        <v>3675.9</v>
      </c>
    </row>
    <row r="609" spans="9:100" hidden="1" x14ac:dyDescent="0.25">
      <c r="I609" s="335">
        <f>J608</f>
        <v>36879</v>
      </c>
      <c r="J609" s="345">
        <v>36900</v>
      </c>
      <c r="K609" s="317">
        <f>J609-I609</f>
        <v>21</v>
      </c>
      <c r="M609" s="346">
        <v>4.6218000000000002E-2</v>
      </c>
      <c r="N609" s="339">
        <f>ROUND(((N608*SUM($K$10:K608))+(M609*K609))/SUM($K$10:K609),5)</f>
        <v>3.4020000000000002E-2</v>
      </c>
      <c r="O609" s="348">
        <v>73.12</v>
      </c>
      <c r="S609" s="317">
        <f>R609-Q609</f>
        <v>0</v>
      </c>
      <c r="BB609" s="352"/>
      <c r="BP609" s="345"/>
      <c r="BR609" s="347"/>
      <c r="BS609" s="337"/>
      <c r="CH609" s="337">
        <f>ROUND($CA$5*CG609*CF609/365,6)</f>
        <v>0</v>
      </c>
      <c r="CL609" s="361">
        <f t="shared" si="181"/>
        <v>40234</v>
      </c>
      <c r="CM609" s="361">
        <v>40238</v>
      </c>
      <c r="CN609" s="317">
        <f t="shared" si="180"/>
        <v>4</v>
      </c>
      <c r="CO609" s="368">
        <v>2E-3</v>
      </c>
      <c r="CP609" s="346">
        <f t="shared" si="182"/>
        <v>8.0000000000000002E-3</v>
      </c>
      <c r="CQ609" s="365">
        <f>ROUND(SUM(CP605:CP609)/28,7)</f>
        <v>2E-3</v>
      </c>
      <c r="CR609" s="337">
        <f t="shared" si="178"/>
        <v>1826.520548</v>
      </c>
      <c r="CS609" s="337">
        <f>(ROUND(SUM(CR605:CR609),2))</f>
        <v>12785.64</v>
      </c>
      <c r="CT609" s="337">
        <f>ROUND($CR$5*0.05495*30/360,2)</f>
        <v>381604.85</v>
      </c>
      <c r="CU609" s="366">
        <f>CS609-CT609</f>
        <v>-368819.20999999996</v>
      </c>
      <c r="CV609" s="337">
        <f>ROUND($CR$5*CO609*CN609/365,1)</f>
        <v>1826.5</v>
      </c>
    </row>
    <row r="610" spans="9:100" hidden="1" x14ac:dyDescent="0.25">
      <c r="I610" s="335">
        <f t="shared" si="186"/>
        <v>36900</v>
      </c>
      <c r="J610" s="345">
        <v>36938</v>
      </c>
      <c r="K610" s="317">
        <f t="shared" si="184"/>
        <v>38</v>
      </c>
      <c r="M610" s="346">
        <v>4.3980999999999999E-2</v>
      </c>
      <c r="N610" s="339">
        <f>ROUND(((N609*SUM($K$10:K609))+(M610*K610))/SUM($K$10:K610),5)</f>
        <v>3.4139999999999997E-2</v>
      </c>
      <c r="O610" s="348">
        <v>53.42</v>
      </c>
      <c r="S610" s="317">
        <f t="shared" si="177"/>
        <v>0</v>
      </c>
      <c r="BB610" s="352"/>
      <c r="BP610" s="345"/>
      <c r="BR610" s="347"/>
      <c r="BS610" s="337"/>
      <c r="CH610" s="337">
        <f t="shared" si="185"/>
        <v>0</v>
      </c>
      <c r="CL610" s="361">
        <f t="shared" si="181"/>
        <v>40238</v>
      </c>
      <c r="CM610" s="361">
        <v>40241</v>
      </c>
      <c r="CN610" s="317">
        <f t="shared" si="180"/>
        <v>3</v>
      </c>
      <c r="CO610" s="368">
        <v>2E-3</v>
      </c>
      <c r="CP610" s="346">
        <f t="shared" si="182"/>
        <v>6.0000000000000001E-3</v>
      </c>
      <c r="CQ610" s="365">
        <f>+CQ611</f>
        <v>2.2935E-3</v>
      </c>
      <c r="CR610" s="337">
        <f t="shared" si="178"/>
        <v>1570.9218289999999</v>
      </c>
      <c r="CV610" s="337">
        <f t="shared" si="183"/>
        <v>1369.9</v>
      </c>
    </row>
    <row r="611" spans="9:100" hidden="1" x14ac:dyDescent="0.25">
      <c r="I611" s="335">
        <f t="shared" si="186"/>
        <v>36938</v>
      </c>
      <c r="J611" s="345">
        <v>36943</v>
      </c>
      <c r="K611" s="317">
        <f t="shared" si="184"/>
        <v>5</v>
      </c>
      <c r="M611" s="346">
        <v>4.4725000000000001E-2</v>
      </c>
      <c r="N611" s="339">
        <f>ROUND(((N610*SUM($K$10:K610))+(M611*K611))/SUM($K$10:K611),5)</f>
        <v>3.4160000000000003E-2</v>
      </c>
      <c r="O611" s="348">
        <v>53.35</v>
      </c>
      <c r="S611" s="317">
        <f t="shared" si="177"/>
        <v>0</v>
      </c>
      <c r="BB611" s="352"/>
      <c r="BP611" s="345"/>
      <c r="BR611" s="347"/>
      <c r="BS611" s="337"/>
      <c r="CH611" s="337">
        <f t="shared" si="185"/>
        <v>0</v>
      </c>
      <c r="CL611" s="361">
        <f t="shared" si="181"/>
        <v>40241</v>
      </c>
      <c r="CM611" s="361">
        <v>40248</v>
      </c>
      <c r="CN611" s="317">
        <f t="shared" si="180"/>
        <v>7</v>
      </c>
      <c r="CO611" s="368">
        <v>1.6999999999999999E-3</v>
      </c>
      <c r="CP611" s="346">
        <f t="shared" si="182"/>
        <v>1.1899999999999999E-2</v>
      </c>
      <c r="CQ611" s="365">
        <f>+CQ612</f>
        <v>2.2935E-3</v>
      </c>
      <c r="CR611" s="337">
        <f t="shared" si="178"/>
        <v>3665.4842669999998</v>
      </c>
      <c r="CV611" s="337">
        <f t="shared" si="183"/>
        <v>2716.9</v>
      </c>
    </row>
    <row r="612" spans="9:100" hidden="1" x14ac:dyDescent="0.25">
      <c r="I612" s="335">
        <f t="shared" si="186"/>
        <v>36943</v>
      </c>
      <c r="J612" s="345">
        <v>36948</v>
      </c>
      <c r="K612" s="317">
        <f t="shared" si="184"/>
        <v>5</v>
      </c>
      <c r="M612" s="346">
        <v>4.4673999999999998E-2</v>
      </c>
      <c r="N612" s="339">
        <f>ROUND(((N611*SUM($K$10:K611))+(M612*K612))/SUM($K$10:K612),5)</f>
        <v>3.4180000000000002E-2</v>
      </c>
      <c r="O612" s="348">
        <v>53.22</v>
      </c>
      <c r="S612" s="317">
        <f t="shared" si="177"/>
        <v>0</v>
      </c>
      <c r="BB612" s="352"/>
      <c r="BP612" s="345"/>
      <c r="BR612" s="347"/>
      <c r="BS612" s="337"/>
      <c r="CH612" s="337">
        <f t="shared" si="185"/>
        <v>0</v>
      </c>
      <c r="CL612" s="361">
        <f t="shared" si="181"/>
        <v>40248</v>
      </c>
      <c r="CM612" s="361">
        <v>40255</v>
      </c>
      <c r="CN612" s="317">
        <f t="shared" si="180"/>
        <v>7</v>
      </c>
      <c r="CO612" s="368">
        <v>2.3E-3</v>
      </c>
      <c r="CP612" s="346">
        <f t="shared" si="182"/>
        <v>1.61E-2</v>
      </c>
      <c r="CQ612" s="365">
        <f>+CQ613</f>
        <v>2.2935E-3</v>
      </c>
      <c r="CR612" s="337">
        <f t="shared" si="178"/>
        <v>3665.4842669999998</v>
      </c>
      <c r="CV612" s="337">
        <f t="shared" si="183"/>
        <v>3675.9</v>
      </c>
    </row>
    <row r="613" spans="9:100" hidden="1" x14ac:dyDescent="0.25">
      <c r="I613" s="335">
        <f t="shared" si="186"/>
        <v>36948</v>
      </c>
      <c r="J613" s="345">
        <v>36972</v>
      </c>
      <c r="K613" s="317">
        <f t="shared" si="184"/>
        <v>24</v>
      </c>
      <c r="M613" s="346">
        <v>4.5728999999999999E-2</v>
      </c>
      <c r="N613" s="339">
        <f>ROUND(((N612*SUM($K$10:K612))+(M613*K613))/SUM($K$10:K613),5)</f>
        <v>3.4270000000000002E-2</v>
      </c>
      <c r="O613" s="348">
        <v>58.55</v>
      </c>
      <c r="S613" s="317">
        <f t="shared" si="177"/>
        <v>0</v>
      </c>
      <c r="BB613" s="352"/>
      <c r="BP613" s="345"/>
      <c r="BR613" s="347"/>
      <c r="BS613" s="337"/>
      <c r="CH613" s="337">
        <f t="shared" si="185"/>
        <v>0</v>
      </c>
      <c r="CL613" s="361">
        <f t="shared" si="181"/>
        <v>40255</v>
      </c>
      <c r="CM613" s="361">
        <v>40262</v>
      </c>
      <c r="CN613" s="317">
        <f t="shared" si="180"/>
        <v>7</v>
      </c>
      <c r="CO613" s="368">
        <v>2.3999999999999998E-3</v>
      </c>
      <c r="CP613" s="346">
        <f t="shared" si="182"/>
        <v>1.6799999999999999E-2</v>
      </c>
      <c r="CQ613" s="365">
        <f>+CQ614</f>
        <v>2.2935E-3</v>
      </c>
      <c r="CR613" s="337">
        <f t="shared" si="178"/>
        <v>3665.4842669999998</v>
      </c>
      <c r="CV613" s="337">
        <f t="shared" si="183"/>
        <v>3835.7</v>
      </c>
    </row>
    <row r="614" spans="9:100" hidden="1" x14ac:dyDescent="0.25">
      <c r="I614" s="335">
        <f t="shared" si="186"/>
        <v>36972</v>
      </c>
      <c r="J614" s="345">
        <v>36983</v>
      </c>
      <c r="K614" s="317">
        <f t="shared" si="184"/>
        <v>11</v>
      </c>
      <c r="M614" s="346">
        <v>4.5127E-2</v>
      </c>
      <c r="N614" s="339">
        <f>ROUND(((N613*SUM($K$10:K613))+(M614*K614))/SUM($K$10:K614),5)</f>
        <v>3.431E-2</v>
      </c>
      <c r="O614" s="348">
        <v>64.52</v>
      </c>
      <c r="S614" s="317">
        <f t="shared" ref="S614:S677" si="187">R614-Q614</f>
        <v>0</v>
      </c>
      <c r="BB614" s="352"/>
      <c r="BP614" s="345"/>
      <c r="BR614" s="347"/>
      <c r="BS614" s="337"/>
      <c r="CH614" s="337">
        <f t="shared" si="185"/>
        <v>0</v>
      </c>
      <c r="CL614" s="361">
        <f t="shared" si="181"/>
        <v>40262</v>
      </c>
      <c r="CM614" s="361">
        <v>40269</v>
      </c>
      <c r="CN614" s="317">
        <f t="shared" si="180"/>
        <v>7</v>
      </c>
      <c r="CO614" s="368">
        <v>2.8999999999999998E-3</v>
      </c>
      <c r="CP614" s="346">
        <f t="shared" si="182"/>
        <v>2.0299999999999999E-2</v>
      </c>
      <c r="CQ614" s="365">
        <f>ROUND(SUM(CP610:CP614)/31,7)</f>
        <v>2.2935E-3</v>
      </c>
      <c r="CR614" s="337">
        <f t="shared" si="178"/>
        <v>3665.4842669999998</v>
      </c>
      <c r="CS614" s="337">
        <f>(ROUND(SUM(CR610:CR614),2))</f>
        <v>16232.86</v>
      </c>
      <c r="CT614" s="337">
        <f>ROUND($CR$5*0.05495*30/360,2)</f>
        <v>381604.85</v>
      </c>
      <c r="CU614" s="366">
        <f>CS614-CT614</f>
        <v>-365371.99</v>
      </c>
      <c r="CV614" s="337">
        <f t="shared" si="183"/>
        <v>4634.8</v>
      </c>
    </row>
    <row r="615" spans="9:100" hidden="1" x14ac:dyDescent="0.25">
      <c r="I615" s="335">
        <f t="shared" si="186"/>
        <v>36983</v>
      </c>
      <c r="J615" s="345">
        <v>36985</v>
      </c>
      <c r="K615" s="317">
        <f t="shared" si="184"/>
        <v>2</v>
      </c>
      <c r="M615" s="346">
        <v>4.5206999999999997E-2</v>
      </c>
      <c r="N615" s="339">
        <f>ROUND(((N614*SUM($K$10:K614))+(M615*K615))/SUM($K$10:K615),5)</f>
        <v>3.4320000000000003E-2</v>
      </c>
      <c r="O615" s="348">
        <v>65.58</v>
      </c>
      <c r="S615" s="317">
        <f t="shared" si="187"/>
        <v>0</v>
      </c>
      <c r="BB615" s="352"/>
      <c r="BP615" s="345"/>
      <c r="BR615" s="347"/>
      <c r="BS615" s="337"/>
      <c r="CH615" s="337">
        <f t="shared" si="185"/>
        <v>0</v>
      </c>
      <c r="CL615" s="361">
        <f t="shared" si="181"/>
        <v>40269</v>
      </c>
      <c r="CM615" s="361">
        <v>40276</v>
      </c>
      <c r="CN615" s="317">
        <f t="shared" si="180"/>
        <v>7</v>
      </c>
      <c r="CO615" s="368">
        <v>2.8999999999999998E-3</v>
      </c>
      <c r="CP615" s="346">
        <f t="shared" si="182"/>
        <v>2.0299999999999999E-2</v>
      </c>
      <c r="CQ615" s="365">
        <f>+CQ616</f>
        <v>2.8939E-3</v>
      </c>
      <c r="CR615" s="337">
        <f t="shared" si="178"/>
        <v>4625.0468369999999</v>
      </c>
      <c r="CV615" s="337">
        <f t="shared" si="183"/>
        <v>4634.8</v>
      </c>
    </row>
    <row r="616" spans="9:100" hidden="1" x14ac:dyDescent="0.25">
      <c r="I616" s="335">
        <f t="shared" si="186"/>
        <v>36985</v>
      </c>
      <c r="J616" s="345">
        <v>36992</v>
      </c>
      <c r="K616" s="317">
        <f t="shared" si="184"/>
        <v>7</v>
      </c>
      <c r="M616" s="346">
        <v>4.5636999999999997E-2</v>
      </c>
      <c r="N616" s="339">
        <f>ROUND(((N615*SUM($K$10:K615))+(M616*K616))/SUM($K$10:K616),5)</f>
        <v>3.4349999999999999E-2</v>
      </c>
      <c r="O616" s="348">
        <v>66.63</v>
      </c>
      <c r="S616" s="317">
        <f t="shared" si="187"/>
        <v>0</v>
      </c>
      <c r="BB616" s="352"/>
      <c r="BP616" s="345"/>
      <c r="BR616" s="347"/>
      <c r="BS616" s="337"/>
      <c r="CH616" s="337">
        <f t="shared" si="185"/>
        <v>0</v>
      </c>
      <c r="CL616" s="361">
        <f t="shared" si="181"/>
        <v>40276</v>
      </c>
      <c r="CM616" s="361">
        <v>40283</v>
      </c>
      <c r="CN616" s="317">
        <f t="shared" si="180"/>
        <v>7</v>
      </c>
      <c r="CO616" s="368">
        <v>2.3999999999999998E-3</v>
      </c>
      <c r="CP616" s="346">
        <f t="shared" si="182"/>
        <v>1.6799999999999999E-2</v>
      </c>
      <c r="CQ616" s="365">
        <f>+CQ617</f>
        <v>2.8939E-3</v>
      </c>
      <c r="CR616" s="337">
        <f t="shared" si="178"/>
        <v>4625.0468369999999</v>
      </c>
      <c r="CV616" s="337">
        <f t="shared" si="183"/>
        <v>3835.7</v>
      </c>
    </row>
    <row r="617" spans="9:100" hidden="1" x14ac:dyDescent="0.25">
      <c r="I617" s="335">
        <f t="shared" si="186"/>
        <v>36992</v>
      </c>
      <c r="J617" s="345">
        <v>36999</v>
      </c>
      <c r="K617" s="317">
        <f t="shared" si="184"/>
        <v>7</v>
      </c>
      <c r="M617" s="346">
        <v>4.5072000000000001E-2</v>
      </c>
      <c r="N617" s="339">
        <f>ROUND(((N616*SUM($K$10:K616))+(M617*K617))/SUM($K$10:K617),5)</f>
        <v>3.4369999999999998E-2</v>
      </c>
      <c r="O617" s="348">
        <v>49.97</v>
      </c>
      <c r="S617" s="317">
        <f t="shared" si="187"/>
        <v>0</v>
      </c>
      <c r="BB617" s="352"/>
      <c r="BP617" s="345"/>
      <c r="BR617" s="347"/>
      <c r="BS617" s="337"/>
      <c r="CH617" s="337">
        <f t="shared" si="185"/>
        <v>0</v>
      </c>
      <c r="CL617" s="361">
        <f t="shared" si="181"/>
        <v>40283</v>
      </c>
      <c r="CM617" s="361">
        <v>40290</v>
      </c>
      <c r="CN617" s="317">
        <f t="shared" si="180"/>
        <v>7</v>
      </c>
      <c r="CO617" s="368">
        <v>3.0000000000000001E-3</v>
      </c>
      <c r="CP617" s="346">
        <f t="shared" si="182"/>
        <v>2.1000000000000001E-2</v>
      </c>
      <c r="CQ617" s="365">
        <f>+CQ618</f>
        <v>2.8939E-3</v>
      </c>
      <c r="CR617" s="337">
        <f t="shared" si="178"/>
        <v>4625.0468369999999</v>
      </c>
      <c r="CV617" s="337">
        <f t="shared" si="183"/>
        <v>4794.6000000000004</v>
      </c>
    </row>
    <row r="618" spans="9:100" hidden="1" x14ac:dyDescent="0.25">
      <c r="I618" s="335">
        <f t="shared" si="186"/>
        <v>36999</v>
      </c>
      <c r="J618" s="345">
        <v>37020</v>
      </c>
      <c r="K618" s="317">
        <f t="shared" si="184"/>
        <v>21</v>
      </c>
      <c r="M618" s="346">
        <v>4.5128000000000001E-2</v>
      </c>
      <c r="N618" s="339">
        <f>ROUND(((N617*SUM($K$10:K617))+(M618*K618))/SUM($K$10:K618),5)</f>
        <v>3.4439999999999998E-2</v>
      </c>
      <c r="O618" s="348">
        <v>51</v>
      </c>
      <c r="S618" s="317">
        <f t="shared" si="187"/>
        <v>0</v>
      </c>
      <c r="BB618" s="352"/>
      <c r="BP618" s="345"/>
      <c r="BR618" s="347"/>
      <c r="BS618" s="337"/>
      <c r="CH618" s="337">
        <f t="shared" si="185"/>
        <v>0</v>
      </c>
      <c r="CL618" s="361">
        <f t="shared" si="181"/>
        <v>40290</v>
      </c>
      <c r="CM618" s="361">
        <v>40297</v>
      </c>
      <c r="CN618" s="317">
        <f t="shared" si="180"/>
        <v>7</v>
      </c>
      <c r="CO618" s="368">
        <v>3.2000000000000002E-3</v>
      </c>
      <c r="CP618" s="346">
        <f t="shared" si="182"/>
        <v>2.24E-2</v>
      </c>
      <c r="CQ618" s="365">
        <f>+CQ619</f>
        <v>2.8939E-3</v>
      </c>
      <c r="CR618" s="337">
        <f t="shared" si="178"/>
        <v>4625.0468369999999</v>
      </c>
      <c r="CV618" s="337">
        <f t="shared" si="183"/>
        <v>5114.3</v>
      </c>
    </row>
    <row r="619" spans="9:100" hidden="1" x14ac:dyDescent="0.25">
      <c r="I619" s="335">
        <f t="shared" si="186"/>
        <v>37020</v>
      </c>
      <c r="J619" s="345">
        <v>37033</v>
      </c>
      <c r="K619" s="317">
        <f t="shared" si="184"/>
        <v>13</v>
      </c>
      <c r="M619" s="346">
        <v>3.9969999999999999E-2</v>
      </c>
      <c r="N619" s="339">
        <f>ROUND(((N618*SUM($K$10:K618))+(M619*K619))/SUM($K$10:K619),5)</f>
        <v>3.4459999999999998E-2</v>
      </c>
      <c r="O619" s="348">
        <v>64.33</v>
      </c>
      <c r="S619" s="317">
        <f t="shared" si="187"/>
        <v>0</v>
      </c>
      <c r="BB619" s="352"/>
      <c r="BP619" s="345"/>
      <c r="BR619" s="347"/>
      <c r="BS619" s="337"/>
      <c r="CH619" s="337">
        <f t="shared" si="185"/>
        <v>0</v>
      </c>
      <c r="CL619" s="361">
        <f t="shared" si="181"/>
        <v>40297</v>
      </c>
      <c r="CM619" s="361">
        <v>40302</v>
      </c>
      <c r="CN619" s="317">
        <f t="shared" si="180"/>
        <v>5</v>
      </c>
      <c r="CO619" s="368">
        <v>3.0000000000000001E-3</v>
      </c>
      <c r="CP619" s="346">
        <f t="shared" si="182"/>
        <v>1.4999999999999999E-2</v>
      </c>
      <c r="CQ619" s="365">
        <f>ROUND(SUM(CP615:CP619)/33,7)</f>
        <v>2.8939E-3</v>
      </c>
      <c r="CR619" s="337">
        <f t="shared" si="178"/>
        <v>3303.6048839999999</v>
      </c>
      <c r="CS619" s="337">
        <f>(ROUND(SUM(CR615:CR619),2))</f>
        <v>21803.79</v>
      </c>
      <c r="CT619" s="337">
        <f>ROUND($CR$5*0.05495*DAYS360(CL615,CM619)/360,2)</f>
        <v>419765.34</v>
      </c>
      <c r="CU619" s="366">
        <f>CS619-CT619</f>
        <v>-397961.55000000005</v>
      </c>
      <c r="CV619" s="337">
        <f t="shared" si="183"/>
        <v>3424.7</v>
      </c>
    </row>
    <row r="620" spans="9:100" hidden="1" x14ac:dyDescent="0.25">
      <c r="I620" s="335">
        <f t="shared" si="186"/>
        <v>37033</v>
      </c>
      <c r="J620" s="345">
        <v>37053</v>
      </c>
      <c r="K620" s="317">
        <f t="shared" si="184"/>
        <v>20</v>
      </c>
      <c r="M620" s="346">
        <v>3.8915999999999999E-2</v>
      </c>
      <c r="N620" s="339">
        <f>ROUND(((N619*SUM($K$10:K619))+(M620*K620))/SUM($K$10:K620),5)</f>
        <v>3.449E-2</v>
      </c>
      <c r="O620" s="348">
        <v>57.1</v>
      </c>
      <c r="S620" s="317">
        <f t="shared" si="187"/>
        <v>0</v>
      </c>
      <c r="BB620" s="352"/>
      <c r="BP620" s="345"/>
      <c r="BR620" s="347"/>
      <c r="BS620" s="337"/>
      <c r="CH620" s="337">
        <f t="shared" si="185"/>
        <v>0</v>
      </c>
      <c r="CL620" s="361">
        <f t="shared" si="181"/>
        <v>40302</v>
      </c>
      <c r="CM620" s="361">
        <v>40304</v>
      </c>
      <c r="CN620" s="317">
        <f t="shared" si="180"/>
        <v>2</v>
      </c>
      <c r="CO620" s="368">
        <v>3.0000000000000001E-3</v>
      </c>
      <c r="CP620" s="346">
        <f t="shared" si="182"/>
        <v>6.0000000000000001E-3</v>
      </c>
      <c r="CQ620" s="365">
        <f>+CQ621</f>
        <v>2.8820999999999999E-3</v>
      </c>
      <c r="CR620" s="337">
        <f t="shared" si="178"/>
        <v>1316.0537179999999</v>
      </c>
      <c r="CV620" s="337">
        <f t="shared" si="183"/>
        <v>1369.9</v>
      </c>
    </row>
    <row r="621" spans="9:100" hidden="1" x14ac:dyDescent="0.25">
      <c r="I621" s="335">
        <f t="shared" si="186"/>
        <v>37053</v>
      </c>
      <c r="J621" s="345">
        <v>37063</v>
      </c>
      <c r="K621" s="317">
        <f t="shared" si="184"/>
        <v>10</v>
      </c>
      <c r="M621" s="346">
        <v>3.6762000000000003E-2</v>
      </c>
      <c r="N621" s="339">
        <f>ROUND(((N620*SUM($K$10:K620))+(M621*K621))/SUM($K$10:K621),5)</f>
        <v>3.4500000000000003E-2</v>
      </c>
      <c r="O621" s="348">
        <v>62.01</v>
      </c>
      <c r="S621" s="317">
        <f t="shared" si="187"/>
        <v>0</v>
      </c>
      <c r="BB621" s="352"/>
      <c r="BP621" s="345"/>
      <c r="BR621" s="347"/>
      <c r="BS621" s="337"/>
      <c r="CH621" s="337">
        <f t="shared" si="185"/>
        <v>0</v>
      </c>
      <c r="CL621" s="361">
        <f t="shared" si="181"/>
        <v>40304</v>
      </c>
      <c r="CM621" s="361">
        <v>40311</v>
      </c>
      <c r="CN621" s="317">
        <f t="shared" si="180"/>
        <v>7</v>
      </c>
      <c r="CO621" s="368">
        <v>2.5000000000000001E-3</v>
      </c>
      <c r="CP621" s="346">
        <f t="shared" si="182"/>
        <v>1.7500000000000002E-2</v>
      </c>
      <c r="CQ621" s="365">
        <f>+CQ622</f>
        <v>2.8820999999999999E-3</v>
      </c>
      <c r="CR621" s="337">
        <f t="shared" si="178"/>
        <v>4606.1880119999996</v>
      </c>
      <c r="CV621" s="337">
        <f t="shared" si="183"/>
        <v>3995.5</v>
      </c>
    </row>
    <row r="622" spans="9:100" hidden="1" x14ac:dyDescent="0.25">
      <c r="I622" s="335">
        <f t="shared" si="186"/>
        <v>37063</v>
      </c>
      <c r="J622" s="345">
        <v>37082</v>
      </c>
      <c r="K622" s="317">
        <f t="shared" si="184"/>
        <v>19</v>
      </c>
      <c r="M622" s="346">
        <v>3.6844000000000002E-2</v>
      </c>
      <c r="N622" s="339">
        <f>ROUND(((N621*SUM($K$10:K621))+(M622*K622))/SUM($K$10:K622),5)</f>
        <v>3.4509999999999999E-2</v>
      </c>
      <c r="O622" s="348">
        <v>60.23</v>
      </c>
      <c r="S622" s="317">
        <f t="shared" si="187"/>
        <v>0</v>
      </c>
      <c r="BB622" s="352"/>
      <c r="BP622" s="345"/>
      <c r="BR622" s="347"/>
      <c r="BS622" s="337"/>
      <c r="CH622" s="337">
        <f t="shared" si="185"/>
        <v>0</v>
      </c>
      <c r="CL622" s="361">
        <f t="shared" si="181"/>
        <v>40311</v>
      </c>
      <c r="CM622" s="361">
        <v>40318</v>
      </c>
      <c r="CN622" s="317">
        <f t="shared" si="180"/>
        <v>7</v>
      </c>
      <c r="CO622" s="368">
        <v>3.0000000000000001E-3</v>
      </c>
      <c r="CP622" s="346">
        <f t="shared" si="182"/>
        <v>2.1000000000000001E-2</v>
      </c>
      <c r="CQ622" s="365">
        <f>+CQ623</f>
        <v>2.8820999999999999E-3</v>
      </c>
      <c r="CR622" s="337">
        <f t="shared" si="178"/>
        <v>4606.1880119999996</v>
      </c>
      <c r="CV622" s="337">
        <f t="shared" si="183"/>
        <v>4794.6000000000004</v>
      </c>
    </row>
    <row r="623" spans="9:100" hidden="1" x14ac:dyDescent="0.25">
      <c r="I623" s="335">
        <f t="shared" si="186"/>
        <v>37082</v>
      </c>
      <c r="J623" s="345">
        <v>37083</v>
      </c>
      <c r="K623" s="317">
        <f t="shared" si="184"/>
        <v>1</v>
      </c>
      <c r="M623" s="346">
        <v>3.2903000000000002E-2</v>
      </c>
      <c r="N623" s="339">
        <f>ROUND(((N622*SUM($K$10:K622))+(M623*K623))/SUM($K$10:K623),5)</f>
        <v>3.4509999999999999E-2</v>
      </c>
      <c r="O623" s="348">
        <v>76.23</v>
      </c>
      <c r="S623" s="317">
        <f t="shared" si="187"/>
        <v>0</v>
      </c>
      <c r="BB623" s="352"/>
      <c r="BP623" s="345"/>
      <c r="BR623" s="347"/>
      <c r="BS623" s="337"/>
      <c r="CH623" s="337">
        <f t="shared" si="185"/>
        <v>0</v>
      </c>
      <c r="CL623" s="361">
        <f t="shared" si="181"/>
        <v>40318</v>
      </c>
      <c r="CM623" s="361">
        <v>40325</v>
      </c>
      <c r="CN623" s="317">
        <f t="shared" si="180"/>
        <v>7</v>
      </c>
      <c r="CO623" s="368">
        <v>3.0999999999999999E-3</v>
      </c>
      <c r="CP623" s="346">
        <f t="shared" si="182"/>
        <v>2.1700000000000001E-2</v>
      </c>
      <c r="CQ623" s="365">
        <f>+CQ624</f>
        <v>2.8820999999999999E-3</v>
      </c>
      <c r="CR623" s="337">
        <f t="shared" si="178"/>
        <v>4606.1880119999996</v>
      </c>
      <c r="CV623" s="337">
        <f t="shared" si="183"/>
        <v>4954.3999999999996</v>
      </c>
    </row>
    <row r="624" spans="9:100" hidden="1" x14ac:dyDescent="0.25">
      <c r="I624" s="335">
        <f t="shared" si="186"/>
        <v>37083</v>
      </c>
      <c r="J624" s="345">
        <v>37085</v>
      </c>
      <c r="K624" s="317">
        <f t="shared" si="184"/>
        <v>2</v>
      </c>
      <c r="M624" s="346">
        <v>3.2333000000000001E-2</v>
      </c>
      <c r="N624" s="339">
        <f>ROUND(((N623*SUM($K$10:K623))+(M624*K624))/SUM($K$10:K624),5)</f>
        <v>3.4509999999999999E-2</v>
      </c>
      <c r="O624" s="348">
        <v>75.88</v>
      </c>
      <c r="S624" s="317">
        <f t="shared" si="187"/>
        <v>0</v>
      </c>
      <c r="BB624" s="352"/>
      <c r="BP624" s="345"/>
      <c r="BR624" s="347"/>
      <c r="BS624" s="337"/>
      <c r="CH624" s="337">
        <f t="shared" si="185"/>
        <v>0</v>
      </c>
      <c r="CL624" s="361">
        <f t="shared" si="181"/>
        <v>40325</v>
      </c>
      <c r="CM624" s="361">
        <v>40330</v>
      </c>
      <c r="CN624" s="317">
        <f t="shared" si="180"/>
        <v>5</v>
      </c>
      <c r="CO624" s="368">
        <v>2.8999999999999998E-3</v>
      </c>
      <c r="CP624" s="346">
        <f t="shared" si="182"/>
        <v>1.4499999999999999E-2</v>
      </c>
      <c r="CQ624" s="365">
        <f>ROUND(SUM(CP620:CP624)/28,7)</f>
        <v>2.8820999999999999E-3</v>
      </c>
      <c r="CR624" s="337">
        <f t="shared" si="178"/>
        <v>3290.1342949999998</v>
      </c>
      <c r="CS624" s="337">
        <f>(ROUND(SUM(CR620:CR624),2))</f>
        <v>18424.75</v>
      </c>
      <c r="CT624" s="337">
        <f>ROUND($CR$5*0.05495*DAYS360(CL620,CM624)/360,2)</f>
        <v>343444.37</v>
      </c>
      <c r="CU624" s="366">
        <f>CS624-CT624</f>
        <v>-325019.62</v>
      </c>
      <c r="CV624" s="337">
        <f t="shared" si="183"/>
        <v>3310.6</v>
      </c>
    </row>
    <row r="625" spans="9:100" hidden="1" x14ac:dyDescent="0.25">
      <c r="I625" s="335">
        <f t="shared" si="186"/>
        <v>37085</v>
      </c>
      <c r="J625" s="345">
        <v>37091</v>
      </c>
      <c r="K625" s="317">
        <f t="shared" si="184"/>
        <v>6</v>
      </c>
      <c r="M625" s="346">
        <v>3.2037000000000003E-2</v>
      </c>
      <c r="N625" s="339">
        <f>ROUND(((N624*SUM($K$10:K624))+(M625*K625))/SUM($K$10:K625),5)</f>
        <v>3.4509999999999999E-2</v>
      </c>
      <c r="O625" s="348">
        <v>72.150000000000006</v>
      </c>
      <c r="S625" s="317">
        <f t="shared" si="187"/>
        <v>0</v>
      </c>
      <c r="BB625" s="352"/>
      <c r="BP625" s="345"/>
      <c r="BR625" s="347"/>
      <c r="BS625" s="337"/>
      <c r="CH625" s="337">
        <f t="shared" si="185"/>
        <v>0</v>
      </c>
      <c r="CL625" s="361">
        <f t="shared" si="181"/>
        <v>40330</v>
      </c>
      <c r="CM625" s="361">
        <v>40332</v>
      </c>
      <c r="CN625" s="317">
        <f t="shared" si="180"/>
        <v>2</v>
      </c>
      <c r="CO625" s="368">
        <v>2.8999999999999998E-3</v>
      </c>
      <c r="CP625" s="346">
        <f t="shared" si="182"/>
        <v>5.7999999999999996E-3</v>
      </c>
      <c r="CQ625" s="365">
        <f>+CQ626</f>
        <v>2.9467E-3</v>
      </c>
      <c r="CR625" s="337">
        <f t="shared" si="178"/>
        <v>1345.552025</v>
      </c>
      <c r="CV625" s="337">
        <f t="shared" si="183"/>
        <v>1324.2</v>
      </c>
    </row>
    <row r="626" spans="9:100" hidden="1" x14ac:dyDescent="0.25">
      <c r="I626" s="335">
        <f t="shared" si="186"/>
        <v>37091</v>
      </c>
      <c r="J626" s="345">
        <v>37117</v>
      </c>
      <c r="K626" s="317">
        <f t="shared" si="184"/>
        <v>26</v>
      </c>
      <c r="M626" s="346">
        <v>3.1909E-2</v>
      </c>
      <c r="N626" s="339">
        <f>ROUND(((N625*SUM($K$10:K625))+(M626*K626))/SUM($K$10:K626),5)</f>
        <v>3.449E-2</v>
      </c>
      <c r="O626" s="348">
        <v>78.680000000000007</v>
      </c>
      <c r="S626" s="317">
        <f t="shared" si="187"/>
        <v>0</v>
      </c>
      <c r="BB626" s="352"/>
      <c r="BP626" s="345"/>
      <c r="BR626" s="347"/>
      <c r="BS626" s="337"/>
      <c r="CH626" s="337">
        <f t="shared" si="185"/>
        <v>0</v>
      </c>
      <c r="CL626" s="361">
        <f t="shared" si="181"/>
        <v>40332</v>
      </c>
      <c r="CM626" s="361">
        <v>40339</v>
      </c>
      <c r="CN626" s="317">
        <f t="shared" si="180"/>
        <v>7</v>
      </c>
      <c r="CO626" s="368">
        <v>2.5999999999999999E-3</v>
      </c>
      <c r="CP626" s="346">
        <f t="shared" si="182"/>
        <v>1.8200000000000001E-2</v>
      </c>
      <c r="CQ626" s="365">
        <f>+CQ627</f>
        <v>2.9467E-3</v>
      </c>
      <c r="CR626" s="337">
        <f t="shared" si="178"/>
        <v>4709.4320859999998</v>
      </c>
      <c r="CV626" s="337">
        <f t="shared" si="183"/>
        <v>4155.3</v>
      </c>
    </row>
    <row r="627" spans="9:100" hidden="1" x14ac:dyDescent="0.25">
      <c r="I627" s="335">
        <f t="shared" si="186"/>
        <v>37117</v>
      </c>
      <c r="J627" s="345">
        <v>37125</v>
      </c>
      <c r="K627" s="317">
        <f t="shared" si="184"/>
        <v>8</v>
      </c>
      <c r="M627" s="346">
        <v>3.1525999999999998E-2</v>
      </c>
      <c r="N627" s="339">
        <f>ROUND(((N626*SUM($K$10:K626))+(M627*K627))/SUM($K$10:K627),5)</f>
        <v>3.4479999999999997E-2</v>
      </c>
      <c r="O627" s="348">
        <v>77.069999999999993</v>
      </c>
      <c r="S627" s="317">
        <f t="shared" si="187"/>
        <v>0</v>
      </c>
      <c r="BB627" s="352"/>
      <c r="BP627" s="345"/>
      <c r="BR627" s="347"/>
      <c r="BS627" s="337"/>
      <c r="CH627" s="337">
        <f t="shared" si="185"/>
        <v>0</v>
      </c>
      <c r="CL627" s="361">
        <f t="shared" si="181"/>
        <v>40339</v>
      </c>
      <c r="CM627" s="361">
        <v>40346</v>
      </c>
      <c r="CN627" s="317">
        <f t="shared" si="180"/>
        <v>7</v>
      </c>
      <c r="CO627" s="368">
        <v>2.8999999999999998E-3</v>
      </c>
      <c r="CP627" s="346">
        <f t="shared" si="182"/>
        <v>2.0299999999999999E-2</v>
      </c>
      <c r="CQ627" s="365">
        <f>+CQ628</f>
        <v>2.9467E-3</v>
      </c>
      <c r="CR627" s="337">
        <f t="shared" si="178"/>
        <v>4709.4320859999998</v>
      </c>
      <c r="CV627" s="337">
        <f t="shared" si="183"/>
        <v>4634.8</v>
      </c>
    </row>
    <row r="628" spans="9:100" hidden="1" x14ac:dyDescent="0.25">
      <c r="I628" s="335">
        <f t="shared" si="186"/>
        <v>37125</v>
      </c>
      <c r="J628" s="345">
        <v>37138</v>
      </c>
      <c r="K628" s="317">
        <f t="shared" si="184"/>
        <v>13</v>
      </c>
      <c r="M628" s="346">
        <v>3.1085000000000002E-2</v>
      </c>
      <c r="N628" s="339">
        <f>ROUND(((N627*SUM($K$10:K627))+(M628*K628))/SUM($K$10:K628),5)</f>
        <v>3.4470000000000001E-2</v>
      </c>
      <c r="O628" s="348">
        <v>84.07</v>
      </c>
      <c r="S628" s="317">
        <f t="shared" si="187"/>
        <v>0</v>
      </c>
      <c r="BB628" s="352"/>
      <c r="BP628" s="345"/>
      <c r="BR628" s="347"/>
      <c r="BS628" s="337"/>
      <c r="CH628" s="337">
        <f t="shared" si="185"/>
        <v>0</v>
      </c>
      <c r="CL628" s="361">
        <f t="shared" si="181"/>
        <v>40346</v>
      </c>
      <c r="CM628" s="361">
        <v>40353</v>
      </c>
      <c r="CN628" s="317">
        <f t="shared" si="180"/>
        <v>7</v>
      </c>
      <c r="CO628" s="368">
        <v>3.2000000000000002E-3</v>
      </c>
      <c r="CP628" s="346">
        <f t="shared" si="182"/>
        <v>2.24E-2</v>
      </c>
      <c r="CQ628" s="365">
        <f>+CQ629</f>
        <v>2.9467E-3</v>
      </c>
      <c r="CR628" s="337">
        <f t="shared" si="178"/>
        <v>4709.4320859999998</v>
      </c>
      <c r="CV628" s="337">
        <f t="shared" si="183"/>
        <v>5114.3</v>
      </c>
    </row>
    <row r="629" spans="9:100" x14ac:dyDescent="0.25">
      <c r="I629" s="335">
        <f t="shared" si="186"/>
        <v>37138</v>
      </c>
      <c r="J629" s="345"/>
      <c r="K629" s="317">
        <f t="shared" si="184"/>
        <v>-37138</v>
      </c>
      <c r="M629" s="346"/>
      <c r="N629" s="339">
        <f>ROUND(((N628*SUM($K$10:K628))+(M629*K629))/SUM($K$10:K629),5)</f>
        <v>-3.3400000000000001E-3</v>
      </c>
      <c r="O629" s="348"/>
      <c r="S629" s="317">
        <f t="shared" si="187"/>
        <v>0</v>
      </c>
      <c r="BB629" s="352"/>
      <c r="BP629" s="345"/>
      <c r="BR629" s="347"/>
      <c r="BS629" s="337"/>
      <c r="CH629" s="337">
        <f t="shared" si="185"/>
        <v>0</v>
      </c>
      <c r="CL629" s="361">
        <f t="shared" si="181"/>
        <v>40353</v>
      </c>
      <c r="CM629" s="361">
        <v>40360</v>
      </c>
      <c r="CN629" s="317">
        <f t="shared" si="180"/>
        <v>7</v>
      </c>
      <c r="CO629" s="368">
        <v>3.0999999999999999E-3</v>
      </c>
      <c r="CP629" s="346">
        <f t="shared" si="182"/>
        <v>2.1700000000000001E-2</v>
      </c>
      <c r="CQ629" s="365">
        <f>ROUND(SUM(CP625:CP629)/30,7)</f>
        <v>2.9467E-3</v>
      </c>
      <c r="CR629" s="337">
        <f t="shared" si="178"/>
        <v>4709.4320859999998</v>
      </c>
      <c r="CS629" s="337">
        <f>(ROUND(SUM(CR625:CR629),2))</f>
        <v>20183.28</v>
      </c>
      <c r="CT629" s="337">
        <f>ROUND($CR$5*0.05495*DAYS360(CL625,CM629)/360,2)</f>
        <v>381604.85</v>
      </c>
      <c r="CU629" s="366">
        <f>CS629-CT629</f>
        <v>-361421.56999999995</v>
      </c>
      <c r="CV629" s="337">
        <f t="shared" si="183"/>
        <v>4954.3999999999996</v>
      </c>
    </row>
    <row r="630" spans="9:100" x14ac:dyDescent="0.25">
      <c r="I630" s="335">
        <f t="shared" si="186"/>
        <v>0</v>
      </c>
      <c r="J630" s="345"/>
      <c r="K630" s="317">
        <f t="shared" si="184"/>
        <v>0</v>
      </c>
      <c r="M630" s="346"/>
      <c r="N630" s="339">
        <f>ROUND(((N629*SUM($K$10:K629))+(M630*K630))/SUM($K$10:K630),5)</f>
        <v>-3.3400000000000001E-3</v>
      </c>
      <c r="O630" s="348"/>
      <c r="S630" s="317">
        <f t="shared" si="187"/>
        <v>0</v>
      </c>
      <c r="BB630" s="352"/>
      <c r="BP630" s="345"/>
      <c r="BR630" s="347"/>
      <c r="BS630" s="337"/>
      <c r="CH630" s="337">
        <f t="shared" si="185"/>
        <v>0</v>
      </c>
      <c r="CL630" s="361">
        <f t="shared" si="181"/>
        <v>40360</v>
      </c>
      <c r="CM630" s="361">
        <v>40367</v>
      </c>
      <c r="CN630" s="317">
        <f t="shared" si="180"/>
        <v>7</v>
      </c>
      <c r="CO630" s="368">
        <v>2.5000000000000001E-3</v>
      </c>
      <c r="CP630" s="346">
        <f t="shared" si="182"/>
        <v>1.7500000000000002E-2</v>
      </c>
      <c r="CQ630" s="365">
        <f>+CQ631</f>
        <v>2.6469000000000002E-3</v>
      </c>
      <c r="CR630" s="337">
        <f t="shared" si="178"/>
        <v>4230.2900840000002</v>
      </c>
      <c r="CV630" s="337">
        <f t="shared" si="183"/>
        <v>3995.5</v>
      </c>
    </row>
    <row r="631" spans="9:100" x14ac:dyDescent="0.25">
      <c r="I631" s="335">
        <f t="shared" si="186"/>
        <v>0</v>
      </c>
      <c r="J631" s="345"/>
      <c r="K631" s="317">
        <f t="shared" si="184"/>
        <v>0</v>
      </c>
      <c r="M631" s="346"/>
      <c r="N631" s="339">
        <f>ROUND(((N630*SUM($K$10:K630))+(M631*K631))/SUM($K$10:K631),5)</f>
        <v>-3.3400000000000001E-3</v>
      </c>
      <c r="O631" s="348"/>
      <c r="S631" s="317">
        <f t="shared" si="187"/>
        <v>0</v>
      </c>
      <c r="BB631" s="352"/>
      <c r="BP631" s="345"/>
      <c r="BR631" s="347"/>
      <c r="BS631" s="337"/>
      <c r="CH631" s="337">
        <f t="shared" si="185"/>
        <v>0</v>
      </c>
      <c r="CL631" s="361">
        <f t="shared" si="181"/>
        <v>40367</v>
      </c>
      <c r="CM631" s="361">
        <v>40374</v>
      </c>
      <c r="CN631" s="317">
        <f t="shared" si="180"/>
        <v>7</v>
      </c>
      <c r="CO631" s="368">
        <v>2.5000000000000001E-3</v>
      </c>
      <c r="CP631" s="346">
        <f t="shared" si="182"/>
        <v>1.7500000000000002E-2</v>
      </c>
      <c r="CQ631" s="365">
        <f>+CQ632</f>
        <v>2.6469000000000002E-3</v>
      </c>
      <c r="CR631" s="337">
        <f t="shared" si="178"/>
        <v>4230.2900840000002</v>
      </c>
      <c r="CV631" s="337">
        <f t="shared" si="183"/>
        <v>3995.5</v>
      </c>
    </row>
    <row r="632" spans="9:100" x14ac:dyDescent="0.25">
      <c r="I632" s="335">
        <f t="shared" si="186"/>
        <v>0</v>
      </c>
      <c r="J632" s="345"/>
      <c r="K632" s="317">
        <f t="shared" si="184"/>
        <v>0</v>
      </c>
      <c r="M632" s="346"/>
      <c r="N632" s="339">
        <f>ROUND(((N631*SUM($K$10:K631))+(M632*K632))/SUM($K$10:K632),5)</f>
        <v>-3.3400000000000001E-3</v>
      </c>
      <c r="O632" s="348"/>
      <c r="S632" s="317">
        <f t="shared" si="187"/>
        <v>0</v>
      </c>
      <c r="BB632" s="352"/>
      <c r="BP632" s="345"/>
      <c r="BR632" s="347"/>
      <c r="BS632" s="337"/>
      <c r="CH632" s="337">
        <f t="shared" si="185"/>
        <v>0</v>
      </c>
      <c r="CL632" s="361">
        <f t="shared" si="181"/>
        <v>40374</v>
      </c>
      <c r="CM632" s="361">
        <v>40381</v>
      </c>
      <c r="CN632" s="317">
        <f t="shared" si="180"/>
        <v>7</v>
      </c>
      <c r="CO632" s="368">
        <v>2.5999999999999999E-3</v>
      </c>
      <c r="CP632" s="346">
        <f t="shared" si="182"/>
        <v>1.8200000000000001E-2</v>
      </c>
      <c r="CQ632" s="365">
        <f>+CQ633</f>
        <v>2.6469000000000002E-3</v>
      </c>
      <c r="CR632" s="337">
        <f t="shared" ref="CR632:CR687" si="188">ROUND($CR$5*CQ632*CN632/365,6)</f>
        <v>4230.2900840000002</v>
      </c>
      <c r="CV632" s="337">
        <f t="shared" si="183"/>
        <v>4155.3</v>
      </c>
    </row>
    <row r="633" spans="9:100" x14ac:dyDescent="0.25">
      <c r="I633" s="335">
        <f t="shared" si="186"/>
        <v>0</v>
      </c>
      <c r="J633" s="345"/>
      <c r="K633" s="317">
        <f t="shared" si="184"/>
        <v>0</v>
      </c>
      <c r="M633" s="346"/>
      <c r="N633" s="339">
        <f>ROUND(((N632*SUM($K$10:K632))+(M633*K633))/SUM($K$10:K633),5)</f>
        <v>-3.3400000000000001E-3</v>
      </c>
      <c r="O633" s="348"/>
      <c r="S633" s="317">
        <f t="shared" si="187"/>
        <v>0</v>
      </c>
      <c r="BB633" s="352"/>
      <c r="BP633" s="345"/>
      <c r="BR633" s="347"/>
      <c r="BS633" s="337"/>
      <c r="CH633" s="337">
        <f t="shared" si="185"/>
        <v>0</v>
      </c>
      <c r="CL633" s="361">
        <f t="shared" si="181"/>
        <v>40381</v>
      </c>
      <c r="CM633" s="361">
        <v>40388</v>
      </c>
      <c r="CN633" s="317">
        <f t="shared" ref="CN633:CN696" si="189">CM633-CL633</f>
        <v>7</v>
      </c>
      <c r="CO633" s="368">
        <v>2.8999999999999998E-3</v>
      </c>
      <c r="CP633" s="346">
        <f t="shared" si="182"/>
        <v>2.0299999999999999E-2</v>
      </c>
      <c r="CQ633" s="365">
        <f>+CQ634</f>
        <v>2.6469000000000002E-3</v>
      </c>
      <c r="CR633" s="337">
        <f t="shared" si="188"/>
        <v>4230.2900840000002</v>
      </c>
      <c r="CV633" s="337">
        <f t="shared" si="183"/>
        <v>4634.8</v>
      </c>
    </row>
    <row r="634" spans="9:100" x14ac:dyDescent="0.25">
      <c r="J634" s="345"/>
      <c r="K634" s="317">
        <f t="shared" si="184"/>
        <v>0</v>
      </c>
      <c r="M634" s="346"/>
      <c r="N634" s="339">
        <f>ROUND(((N633*SUM($K$10:K633))+(M634*K634))/SUM($K$10:K634),5)</f>
        <v>-3.3400000000000001E-3</v>
      </c>
      <c r="O634" s="348"/>
      <c r="S634" s="317">
        <f t="shared" si="187"/>
        <v>0</v>
      </c>
      <c r="BB634" s="352"/>
      <c r="BP634" s="345"/>
      <c r="BR634" s="347"/>
      <c r="BS634" s="337"/>
      <c r="CH634" s="337">
        <f t="shared" si="185"/>
        <v>0</v>
      </c>
      <c r="CL634" s="361">
        <f t="shared" si="181"/>
        <v>40388</v>
      </c>
      <c r="CM634" s="361">
        <v>40392</v>
      </c>
      <c r="CN634" s="317">
        <f t="shared" si="189"/>
        <v>4</v>
      </c>
      <c r="CO634" s="368">
        <v>2.8E-3</v>
      </c>
      <c r="CP634" s="346">
        <f t="shared" si="182"/>
        <v>1.12E-2</v>
      </c>
      <c r="CQ634" s="365">
        <f>ROUND(SUM(CP630:CP634)/32,7)</f>
        <v>2.6469000000000002E-3</v>
      </c>
      <c r="CR634" s="337">
        <f t="shared" si="188"/>
        <v>2417.3086189999999</v>
      </c>
      <c r="CS634" s="337">
        <f>(ROUND(SUM(CR630:CR634),2))</f>
        <v>19338.47</v>
      </c>
      <c r="CT634" s="337">
        <f>ROUND($CR$5*0.05495*DAYS360(CL630,CM634)/360,2)</f>
        <v>394325.02</v>
      </c>
      <c r="CU634" s="366">
        <f>CS634-CT634</f>
        <v>-374986.55000000005</v>
      </c>
      <c r="CV634" s="337">
        <f t="shared" si="183"/>
        <v>2557.1</v>
      </c>
    </row>
    <row r="635" spans="9:100" x14ac:dyDescent="0.25">
      <c r="J635" s="345"/>
      <c r="K635" s="317">
        <f t="shared" si="184"/>
        <v>0</v>
      </c>
      <c r="M635" s="346"/>
      <c r="N635" s="339">
        <f>ROUND(((N634*SUM($K$10:K634))+(M635*K635))/SUM($K$10:K635),5)</f>
        <v>-3.3400000000000001E-3</v>
      </c>
      <c r="O635" s="348"/>
      <c r="S635" s="317">
        <f t="shared" si="187"/>
        <v>0</v>
      </c>
      <c r="BB635" s="352"/>
      <c r="BP635" s="345"/>
      <c r="BR635" s="347"/>
      <c r="BS635" s="337"/>
      <c r="CH635" s="337">
        <f t="shared" si="185"/>
        <v>0</v>
      </c>
      <c r="CL635" s="361">
        <f t="shared" si="181"/>
        <v>40392</v>
      </c>
      <c r="CM635" s="361">
        <v>40395</v>
      </c>
      <c r="CN635" s="317">
        <f t="shared" si="189"/>
        <v>3</v>
      </c>
      <c r="CO635" s="368">
        <v>2.8E-3</v>
      </c>
      <c r="CP635" s="346">
        <f t="shared" si="182"/>
        <v>8.3999999999999995E-3</v>
      </c>
      <c r="CQ635" s="365">
        <f>+CQ636</f>
        <v>2.7932999999999999E-3</v>
      </c>
      <c r="CR635" s="337">
        <f t="shared" si="188"/>
        <v>1913.2574420000001</v>
      </c>
      <c r="CV635" s="337">
        <f t="shared" si="183"/>
        <v>1917.8</v>
      </c>
    </row>
    <row r="636" spans="9:100" x14ac:dyDescent="0.25">
      <c r="J636" s="345"/>
      <c r="K636" s="317">
        <f t="shared" si="184"/>
        <v>0</v>
      </c>
      <c r="M636" s="346"/>
      <c r="N636" s="339">
        <f>ROUND(((N635*SUM($K$10:K635))+(M636*K636))/SUM($K$10:K636),5)</f>
        <v>-3.3400000000000001E-3</v>
      </c>
      <c r="O636" s="348"/>
      <c r="S636" s="317">
        <f t="shared" si="187"/>
        <v>0</v>
      </c>
      <c r="BB636" s="352"/>
      <c r="BP636" s="345"/>
      <c r="BR636" s="347"/>
      <c r="BS636" s="337"/>
      <c r="CH636" s="337">
        <f t="shared" si="185"/>
        <v>0</v>
      </c>
      <c r="CL636" s="361">
        <f t="shared" si="181"/>
        <v>40395</v>
      </c>
      <c r="CM636" s="361">
        <v>40402</v>
      </c>
      <c r="CN636" s="317">
        <f t="shared" si="189"/>
        <v>7</v>
      </c>
      <c r="CO636" s="368">
        <v>2.5000000000000001E-3</v>
      </c>
      <c r="CP636" s="346">
        <f t="shared" si="182"/>
        <v>1.7500000000000002E-2</v>
      </c>
      <c r="CQ636" s="365">
        <f>+CQ637</f>
        <v>2.7932999999999999E-3</v>
      </c>
      <c r="CR636" s="337">
        <f t="shared" si="188"/>
        <v>4464.267366</v>
      </c>
      <c r="CV636" s="337">
        <f t="shared" si="183"/>
        <v>3995.5</v>
      </c>
    </row>
    <row r="637" spans="9:100" x14ac:dyDescent="0.25">
      <c r="J637" s="345"/>
      <c r="K637" s="317">
        <f t="shared" si="184"/>
        <v>0</v>
      </c>
      <c r="N637" s="339">
        <f>ROUND(((N636*SUM($K$10:K636))+(M637*K637))/SUM($K$10:K637),5)</f>
        <v>-3.3400000000000001E-3</v>
      </c>
      <c r="O637" s="348"/>
      <c r="S637" s="317">
        <f t="shared" si="187"/>
        <v>0</v>
      </c>
      <c r="BB637" s="352"/>
      <c r="BP637" s="345"/>
      <c r="BR637" s="347"/>
      <c r="BS637" s="337"/>
      <c r="CH637" s="337">
        <f t="shared" si="185"/>
        <v>0</v>
      </c>
      <c r="CL637" s="361">
        <f t="shared" si="181"/>
        <v>40402</v>
      </c>
      <c r="CM637" s="361">
        <v>40409</v>
      </c>
      <c r="CN637" s="317">
        <f t="shared" si="189"/>
        <v>7</v>
      </c>
      <c r="CO637" s="368">
        <v>2.7000000000000001E-3</v>
      </c>
      <c r="CP637" s="346">
        <f t="shared" si="182"/>
        <v>1.89E-2</v>
      </c>
      <c r="CQ637" s="365">
        <f>+CQ638</f>
        <v>2.7932999999999999E-3</v>
      </c>
      <c r="CR637" s="337">
        <f t="shared" si="188"/>
        <v>4464.267366</v>
      </c>
      <c r="CV637" s="337">
        <f t="shared" si="183"/>
        <v>4315.2</v>
      </c>
    </row>
    <row r="638" spans="9:100" x14ac:dyDescent="0.25">
      <c r="J638" s="345"/>
      <c r="K638" s="317">
        <f t="shared" si="184"/>
        <v>0</v>
      </c>
      <c r="N638" s="339">
        <f>ROUND(((N637*SUM($K$10:K637))+(M638*K638))/SUM($K$10:K638),5)</f>
        <v>-3.3400000000000001E-3</v>
      </c>
      <c r="O638" s="348"/>
      <c r="S638" s="317">
        <f t="shared" si="187"/>
        <v>0</v>
      </c>
      <c r="BB638" s="352"/>
      <c r="BP638" s="345"/>
      <c r="BR638" s="347"/>
      <c r="BS638" s="337"/>
      <c r="CH638" s="337">
        <f t="shared" si="185"/>
        <v>0</v>
      </c>
      <c r="CL638" s="361">
        <f t="shared" si="181"/>
        <v>40409</v>
      </c>
      <c r="CM638" s="361">
        <v>40416</v>
      </c>
      <c r="CN638" s="317">
        <f t="shared" si="189"/>
        <v>7</v>
      </c>
      <c r="CO638" s="368">
        <v>3.0000000000000001E-3</v>
      </c>
      <c r="CP638" s="346">
        <f t="shared" si="182"/>
        <v>2.1000000000000001E-2</v>
      </c>
      <c r="CQ638" s="365">
        <f>+CQ639</f>
        <v>2.7932999999999999E-3</v>
      </c>
      <c r="CR638" s="337">
        <f t="shared" si="188"/>
        <v>4464.267366</v>
      </c>
      <c r="CV638" s="337">
        <f t="shared" si="183"/>
        <v>4794.6000000000004</v>
      </c>
    </row>
    <row r="639" spans="9:100" x14ac:dyDescent="0.25">
      <c r="J639" s="345"/>
      <c r="K639" s="317">
        <f t="shared" si="184"/>
        <v>0</v>
      </c>
      <c r="N639" s="339">
        <f>ROUND(((N638*SUM($K$10:K638))+(M639*K639))/SUM($K$10:K639),5)</f>
        <v>-3.3400000000000001E-3</v>
      </c>
      <c r="O639" s="348"/>
      <c r="S639" s="317">
        <f t="shared" si="187"/>
        <v>0</v>
      </c>
      <c r="BB639" s="352"/>
      <c r="BP639" s="345"/>
      <c r="BR639" s="347"/>
      <c r="BS639" s="337"/>
      <c r="CH639" s="337">
        <f t="shared" si="185"/>
        <v>0</v>
      </c>
      <c r="CL639" s="361">
        <f t="shared" si="181"/>
        <v>40416</v>
      </c>
      <c r="CM639" s="361">
        <v>40422</v>
      </c>
      <c r="CN639" s="317">
        <f t="shared" si="189"/>
        <v>6</v>
      </c>
      <c r="CO639" s="368">
        <v>3.0000000000000001E-3</v>
      </c>
      <c r="CP639" s="346">
        <f t="shared" si="182"/>
        <v>1.8000000000000002E-2</v>
      </c>
      <c r="CQ639" s="365">
        <f>ROUND(SUM(CP635:CP639)/30,7)</f>
        <v>2.7932999999999999E-3</v>
      </c>
      <c r="CR639" s="337">
        <f t="shared" si="188"/>
        <v>3826.514885</v>
      </c>
      <c r="CS639" s="337">
        <f>(ROUND(SUM(CR635:CR639),2))</f>
        <v>19132.57</v>
      </c>
      <c r="CT639" s="337">
        <f>ROUND($CR$5*0.05495*DAYS360(CL635,CM639)/360,2)</f>
        <v>368884.69</v>
      </c>
      <c r="CU639" s="366">
        <f>CS639-CT639</f>
        <v>-349752.12</v>
      </c>
      <c r="CV639" s="337">
        <f t="shared" si="183"/>
        <v>4109.7</v>
      </c>
    </row>
    <row r="640" spans="9:100" x14ac:dyDescent="0.25">
      <c r="J640" s="345"/>
      <c r="K640" s="317">
        <f t="shared" si="184"/>
        <v>0</v>
      </c>
      <c r="N640" s="339">
        <f>ROUND(((N639*SUM($K$10:K639))+(M640*K640))/SUM($K$10:K640),5)</f>
        <v>-3.3400000000000001E-3</v>
      </c>
      <c r="O640" s="348"/>
      <c r="S640" s="317">
        <f t="shared" si="187"/>
        <v>0</v>
      </c>
      <c r="BB640" s="352"/>
      <c r="BP640" s="345"/>
      <c r="BR640" s="347"/>
      <c r="BS640" s="337"/>
      <c r="CH640" s="337">
        <f t="shared" si="185"/>
        <v>0</v>
      </c>
      <c r="CL640" s="361">
        <f t="shared" ref="CL640:CL645" si="190">CM639</f>
        <v>40422</v>
      </c>
      <c r="CM640" s="361">
        <v>40423</v>
      </c>
      <c r="CN640" s="317">
        <f t="shared" si="189"/>
        <v>1</v>
      </c>
      <c r="CO640" s="368">
        <v>3.0000000000000001E-3</v>
      </c>
      <c r="CP640" s="346">
        <f t="shared" si="182"/>
        <v>3.0000000000000001E-3</v>
      </c>
      <c r="CQ640" s="365">
        <f>+CQ641</f>
        <v>2.7799999999999999E-3</v>
      </c>
      <c r="CR640" s="337">
        <f t="shared" si="188"/>
        <v>634.71588999999994</v>
      </c>
      <c r="CV640" s="337">
        <f t="shared" si="183"/>
        <v>684.9</v>
      </c>
    </row>
    <row r="641" spans="10:100" x14ac:dyDescent="0.25">
      <c r="J641" s="345"/>
      <c r="K641" s="317">
        <f t="shared" si="184"/>
        <v>0</v>
      </c>
      <c r="N641" s="339">
        <f>ROUND(((N640*SUM($K$10:K640))+(M641*K641))/SUM($K$10:K641),5)</f>
        <v>-3.3400000000000001E-3</v>
      </c>
      <c r="O641" s="348"/>
      <c r="S641" s="317">
        <f t="shared" si="187"/>
        <v>0</v>
      </c>
      <c r="BB641" s="352"/>
      <c r="BP641" s="345"/>
      <c r="BR641" s="347"/>
      <c r="BS641" s="337"/>
      <c r="CH641" s="337">
        <f t="shared" si="185"/>
        <v>0</v>
      </c>
      <c r="CL641" s="361">
        <f t="shared" si="190"/>
        <v>40423</v>
      </c>
      <c r="CM641" s="361">
        <v>40430</v>
      </c>
      <c r="CN641" s="317">
        <f t="shared" si="189"/>
        <v>7</v>
      </c>
      <c r="CO641" s="368">
        <v>2.5000000000000001E-3</v>
      </c>
      <c r="CP641" s="346">
        <f t="shared" si="182"/>
        <v>1.7500000000000002E-2</v>
      </c>
      <c r="CQ641" s="365">
        <f>+CQ642</f>
        <v>2.7799999999999999E-3</v>
      </c>
      <c r="CR641" s="337">
        <f t="shared" si="188"/>
        <v>4443.0112330000002</v>
      </c>
      <c r="CV641" s="337">
        <f t="shared" si="183"/>
        <v>3995.5</v>
      </c>
    </row>
    <row r="642" spans="10:100" x14ac:dyDescent="0.25">
      <c r="J642" s="345"/>
      <c r="K642" s="317">
        <f t="shared" si="184"/>
        <v>0</v>
      </c>
      <c r="N642" s="339">
        <f>ROUND(((N641*SUM($K$10:K641))+(M642*K642))/SUM($K$10:K642),5)</f>
        <v>-3.3400000000000001E-3</v>
      </c>
      <c r="O642" s="348"/>
      <c r="S642" s="317">
        <f t="shared" si="187"/>
        <v>0</v>
      </c>
      <c r="BB642" s="352"/>
      <c r="BP642" s="345"/>
      <c r="BR642" s="347"/>
      <c r="BS642" s="337"/>
      <c r="CH642" s="337">
        <f t="shared" si="185"/>
        <v>0</v>
      </c>
      <c r="CL642" s="361">
        <f t="shared" si="190"/>
        <v>40430</v>
      </c>
      <c r="CM642" s="361">
        <v>40437</v>
      </c>
      <c r="CN642" s="317">
        <f t="shared" si="189"/>
        <v>7</v>
      </c>
      <c r="CO642" s="368">
        <v>2.7000000000000001E-3</v>
      </c>
      <c r="CP642" s="346">
        <f t="shared" ref="CP642:CP705" si="191">CN642*CO642</f>
        <v>1.89E-2</v>
      </c>
      <c r="CQ642" s="365">
        <f>+CQ643</f>
        <v>2.7799999999999999E-3</v>
      </c>
      <c r="CR642" s="337">
        <f t="shared" si="188"/>
        <v>4443.0112330000002</v>
      </c>
      <c r="CV642" s="337">
        <f t="shared" si="183"/>
        <v>4315.2</v>
      </c>
    </row>
    <row r="643" spans="10:100" x14ac:dyDescent="0.25">
      <c r="J643" s="345"/>
      <c r="K643" s="317">
        <f t="shared" si="184"/>
        <v>0</v>
      </c>
      <c r="N643" s="339">
        <f>ROUND(((N642*SUM($K$10:K642))+(M643*K643))/SUM($K$10:K643),5)</f>
        <v>-3.3400000000000001E-3</v>
      </c>
      <c r="O643" s="348"/>
      <c r="S643" s="317">
        <f t="shared" si="187"/>
        <v>0</v>
      </c>
      <c r="BB643" s="352"/>
      <c r="BP643" s="345"/>
      <c r="BR643" s="347"/>
      <c r="BS643" s="337"/>
      <c r="CH643" s="337">
        <f t="shared" si="185"/>
        <v>0</v>
      </c>
      <c r="CL643" s="361">
        <f t="shared" si="190"/>
        <v>40437</v>
      </c>
      <c r="CM643" s="361">
        <v>40444</v>
      </c>
      <c r="CN643" s="317">
        <f t="shared" si="189"/>
        <v>7</v>
      </c>
      <c r="CO643" s="368">
        <v>2.8999999999999998E-3</v>
      </c>
      <c r="CP643" s="346">
        <f t="shared" si="191"/>
        <v>2.0299999999999999E-2</v>
      </c>
      <c r="CQ643" s="365">
        <f>+CQ645</f>
        <v>2.7799999999999999E-3</v>
      </c>
      <c r="CR643" s="337">
        <f t="shared" si="188"/>
        <v>4443.0112330000002</v>
      </c>
      <c r="CV643" s="337">
        <f t="shared" si="183"/>
        <v>4634.8</v>
      </c>
    </row>
    <row r="644" spans="10:100" x14ac:dyDescent="0.25">
      <c r="J644" s="345"/>
      <c r="K644" s="317">
        <f t="shared" si="184"/>
        <v>0</v>
      </c>
      <c r="N644" s="339">
        <f>ROUND(((N643*SUM($K$10:K643))+(M644*K644))/SUM($K$10:K644),5)</f>
        <v>-3.3400000000000001E-3</v>
      </c>
      <c r="O644" s="348"/>
      <c r="S644" s="317">
        <f t="shared" si="187"/>
        <v>0</v>
      </c>
      <c r="BB644" s="352"/>
      <c r="BP644" s="345"/>
      <c r="BR644" s="347"/>
      <c r="BS644" s="337"/>
      <c r="CH644" s="337">
        <f t="shared" si="185"/>
        <v>0</v>
      </c>
      <c r="CL644" s="361">
        <f t="shared" si="190"/>
        <v>40444</v>
      </c>
      <c r="CM644" s="361">
        <v>40451</v>
      </c>
      <c r="CN644" s="317">
        <f t="shared" si="189"/>
        <v>7</v>
      </c>
      <c r="CO644" s="368">
        <v>3.0000000000000001E-3</v>
      </c>
      <c r="CP644" s="346">
        <f t="shared" si="191"/>
        <v>2.1000000000000001E-2</v>
      </c>
      <c r="CQ644" s="365">
        <f>+CQ645</f>
        <v>2.7799999999999999E-3</v>
      </c>
      <c r="CR644" s="337">
        <f t="shared" si="188"/>
        <v>4443.0112330000002</v>
      </c>
      <c r="CV644" s="337">
        <f t="shared" ref="CV644:CV707" si="192">ROUND($CR$5*CO644*CN644/365,1)</f>
        <v>4794.6000000000004</v>
      </c>
    </row>
    <row r="645" spans="10:100" x14ac:dyDescent="0.25">
      <c r="J645" s="345"/>
      <c r="K645" s="317">
        <f t="shared" si="184"/>
        <v>0</v>
      </c>
      <c r="N645" s="339">
        <f>ROUND(((N644*SUM($K$10:K644))+(M645*K645))/SUM($K$10:K645),5)</f>
        <v>-3.3400000000000001E-3</v>
      </c>
      <c r="O645" s="348"/>
      <c r="S645" s="317">
        <f t="shared" si="187"/>
        <v>0</v>
      </c>
      <c r="BB645" s="352"/>
      <c r="BP645" s="345"/>
      <c r="BR645" s="347"/>
      <c r="BS645" s="337"/>
      <c r="CH645" s="337">
        <f t="shared" si="185"/>
        <v>0</v>
      </c>
      <c r="CL645" s="361">
        <f t="shared" si="190"/>
        <v>40451</v>
      </c>
      <c r="CM645" s="361">
        <v>40452</v>
      </c>
      <c r="CN645" s="317">
        <f t="shared" si="189"/>
        <v>1</v>
      </c>
      <c r="CO645" s="368">
        <v>2.7000000000000001E-3</v>
      </c>
      <c r="CP645" s="346">
        <f t="shared" si="191"/>
        <v>2.7000000000000001E-3</v>
      </c>
      <c r="CQ645" s="365">
        <f>ROUND(SUM(CP640:CP645)/30,7)</f>
        <v>2.7799999999999999E-3</v>
      </c>
      <c r="CR645" s="337">
        <f t="shared" si="188"/>
        <v>634.71588999999994</v>
      </c>
      <c r="CS645" s="337">
        <f>(ROUND(SUM(CR640:CR645),2))</f>
        <v>19041.48</v>
      </c>
      <c r="CT645" s="337">
        <f>ROUND($CR$5*0.05495*DAYS360(CL640,CM645)/360,2)</f>
        <v>381604.85</v>
      </c>
      <c r="CU645" s="366">
        <f>CS645-CT645</f>
        <v>-362563.37</v>
      </c>
      <c r="CV645" s="337">
        <f t="shared" si="192"/>
        <v>616.5</v>
      </c>
    </row>
    <row r="646" spans="10:100" x14ac:dyDescent="0.25">
      <c r="J646" s="345"/>
      <c r="K646" s="317">
        <f t="shared" si="184"/>
        <v>0</v>
      </c>
      <c r="N646" s="339">
        <f>ROUND(((N645*SUM($K$10:K645))+(M646*K646))/SUM($K$10:K646),5)</f>
        <v>-3.3400000000000001E-3</v>
      </c>
      <c r="O646" s="348"/>
      <c r="S646" s="317">
        <f t="shared" si="187"/>
        <v>0</v>
      </c>
      <c r="BB646" s="352"/>
      <c r="BP646" s="345"/>
      <c r="BR646" s="347"/>
      <c r="BS646" s="337"/>
      <c r="CH646" s="337">
        <f t="shared" si="185"/>
        <v>0</v>
      </c>
      <c r="CL646" s="361">
        <f>CM645</f>
        <v>40452</v>
      </c>
      <c r="CM646" s="361">
        <v>40458</v>
      </c>
      <c r="CN646" s="317">
        <f t="shared" si="189"/>
        <v>6</v>
      </c>
      <c r="CO646" s="368">
        <v>2.7000000000000001E-3</v>
      </c>
      <c r="CP646" s="346">
        <f t="shared" si="191"/>
        <v>1.6199999999999999E-2</v>
      </c>
      <c r="CQ646" s="365">
        <f>+CQ647</f>
        <v>2.7355000000000001E-3</v>
      </c>
      <c r="CR646" s="337">
        <f t="shared" si="188"/>
        <v>3747.3352190000001</v>
      </c>
      <c r="CV646" s="337">
        <f t="shared" si="192"/>
        <v>3698.7</v>
      </c>
    </row>
    <row r="647" spans="10:100" x14ac:dyDescent="0.25">
      <c r="J647" s="345"/>
      <c r="K647" s="317">
        <f t="shared" si="184"/>
        <v>0</v>
      </c>
      <c r="N647" s="339">
        <f>ROUND(((N646*SUM($K$10:K646))+(M647*K647))/SUM($K$10:K647),5)</f>
        <v>-3.3400000000000001E-3</v>
      </c>
      <c r="O647" s="348"/>
      <c r="S647" s="317">
        <f t="shared" si="187"/>
        <v>0</v>
      </c>
      <c r="BB647" s="352"/>
      <c r="BP647" s="345"/>
      <c r="BR647" s="347"/>
      <c r="BS647" s="337"/>
      <c r="CH647" s="337">
        <f t="shared" si="185"/>
        <v>0</v>
      </c>
      <c r="CL647" s="361">
        <f>CM646</f>
        <v>40458</v>
      </c>
      <c r="CM647" s="361">
        <v>40465</v>
      </c>
      <c r="CN647" s="317">
        <f t="shared" si="189"/>
        <v>7</v>
      </c>
      <c r="CO647" s="368">
        <v>2.5000000000000001E-3</v>
      </c>
      <c r="CP647" s="346">
        <f t="shared" si="191"/>
        <v>1.7500000000000002E-2</v>
      </c>
      <c r="CQ647" s="365">
        <f>+CQ648</f>
        <v>2.7355000000000001E-3</v>
      </c>
      <c r="CR647" s="337">
        <f t="shared" si="188"/>
        <v>4371.8910889999997</v>
      </c>
      <c r="CV647" s="337">
        <f t="shared" si="192"/>
        <v>3995.5</v>
      </c>
    </row>
    <row r="648" spans="10:100" x14ac:dyDescent="0.25">
      <c r="J648" s="345"/>
      <c r="K648" s="317">
        <f t="shared" si="184"/>
        <v>0</v>
      </c>
      <c r="N648" s="339">
        <f>ROUND(((N647*SUM($K$10:K647))+(M648*K648))/SUM($K$10:K648),5)</f>
        <v>-3.3400000000000001E-3</v>
      </c>
      <c r="O648" s="348"/>
      <c r="S648" s="317">
        <f t="shared" si="187"/>
        <v>0</v>
      </c>
      <c r="BB648" s="352"/>
      <c r="BP648" s="345"/>
      <c r="BR648" s="347"/>
      <c r="BS648" s="337"/>
      <c r="CH648" s="337">
        <f t="shared" si="185"/>
        <v>0</v>
      </c>
      <c r="CL648" s="361">
        <f>CM647</f>
        <v>40465</v>
      </c>
      <c r="CM648" s="361">
        <v>40472</v>
      </c>
      <c r="CN648" s="317">
        <f t="shared" si="189"/>
        <v>7</v>
      </c>
      <c r="CO648" s="368">
        <v>2.7000000000000001E-3</v>
      </c>
      <c r="CP648" s="346">
        <f t="shared" si="191"/>
        <v>1.89E-2</v>
      </c>
      <c r="CQ648" s="365">
        <f>+CQ649</f>
        <v>2.7355000000000001E-3</v>
      </c>
      <c r="CR648" s="337">
        <f t="shared" si="188"/>
        <v>4371.8910889999997</v>
      </c>
      <c r="CV648" s="337">
        <f t="shared" si="192"/>
        <v>4315.2</v>
      </c>
    </row>
    <row r="649" spans="10:100" x14ac:dyDescent="0.25">
      <c r="J649" s="345"/>
      <c r="K649" s="317">
        <f t="shared" si="184"/>
        <v>0</v>
      </c>
      <c r="N649" s="339">
        <f>ROUND(((N648*SUM($K$10:K648))+(M649*K649))/SUM($K$10:K649),5)</f>
        <v>-3.3400000000000001E-3</v>
      </c>
      <c r="O649" s="348"/>
      <c r="S649" s="317">
        <f t="shared" si="187"/>
        <v>0</v>
      </c>
      <c r="BB649" s="352"/>
      <c r="BP649" s="345"/>
      <c r="BR649" s="347"/>
      <c r="BS649" s="337"/>
      <c r="CH649" s="337">
        <f t="shared" si="185"/>
        <v>0</v>
      </c>
      <c r="CL649" s="361">
        <f>CM648</f>
        <v>40472</v>
      </c>
      <c r="CM649" s="361">
        <v>40479</v>
      </c>
      <c r="CN649" s="317">
        <f t="shared" si="189"/>
        <v>7</v>
      </c>
      <c r="CO649" s="368">
        <v>3.0000000000000001E-3</v>
      </c>
      <c r="CP649" s="346">
        <f t="shared" si="191"/>
        <v>2.1000000000000001E-2</v>
      </c>
      <c r="CQ649" s="365">
        <f>+CQ650</f>
        <v>2.7355000000000001E-3</v>
      </c>
      <c r="CR649" s="337">
        <f t="shared" si="188"/>
        <v>4371.8910889999997</v>
      </c>
      <c r="CV649" s="337">
        <f t="shared" si="192"/>
        <v>4794.6000000000004</v>
      </c>
    </row>
    <row r="650" spans="10:100" x14ac:dyDescent="0.25">
      <c r="J650" s="345"/>
      <c r="K650" s="317">
        <f t="shared" si="184"/>
        <v>0</v>
      </c>
      <c r="N650" s="339" t="e">
        <f>ROUND(((#REF!*SUM($K$10:K649))+(M650*K650))/SUM($K$10:K650),5)</f>
        <v>#REF!</v>
      </c>
      <c r="O650" s="348"/>
      <c r="S650" s="317">
        <f t="shared" si="187"/>
        <v>0</v>
      </c>
      <c r="BB650" s="352"/>
      <c r="BP650" s="345"/>
      <c r="BR650" s="347"/>
      <c r="BS650" s="337"/>
      <c r="CH650" s="337">
        <f t="shared" si="185"/>
        <v>0</v>
      </c>
      <c r="CL650" s="361">
        <f>CM649</f>
        <v>40479</v>
      </c>
      <c r="CM650" s="361">
        <v>40483</v>
      </c>
      <c r="CN650" s="317">
        <f t="shared" si="189"/>
        <v>4</v>
      </c>
      <c r="CO650" s="368">
        <v>2.8E-3</v>
      </c>
      <c r="CP650" s="346">
        <f t="shared" si="191"/>
        <v>1.12E-2</v>
      </c>
      <c r="CQ650" s="365">
        <f>ROUND(SUM(CP646:CP650)/31,7)</f>
        <v>2.7355000000000001E-3</v>
      </c>
      <c r="CR650" s="337">
        <f t="shared" si="188"/>
        <v>2498.2234790000002</v>
      </c>
      <c r="CS650" s="337">
        <f>(ROUND(SUM(CR646:CR650),2))</f>
        <v>19361.23</v>
      </c>
      <c r="CT650" s="337">
        <f>ROUND($CR$5*0.05495*DAYS360(CL646,CM650)/360,2)</f>
        <v>381604.85</v>
      </c>
      <c r="CU650" s="366">
        <f>CS650-CT650</f>
        <v>-362243.62</v>
      </c>
      <c r="CV650" s="337">
        <f t="shared" si="192"/>
        <v>2557.1</v>
      </c>
    </row>
    <row r="651" spans="10:100" x14ac:dyDescent="0.25">
      <c r="J651" s="345"/>
      <c r="K651" s="317">
        <f t="shared" si="184"/>
        <v>0</v>
      </c>
      <c r="N651" s="339" t="e">
        <f>ROUND(((N650*SUM($K$10:K650))+(M651*K651))/SUM($K$10:K651),5)</f>
        <v>#REF!</v>
      </c>
      <c r="O651" s="348"/>
      <c r="S651" s="317">
        <f t="shared" si="187"/>
        <v>0</v>
      </c>
      <c r="BB651" s="352"/>
      <c r="BP651" s="345"/>
      <c r="BR651" s="347"/>
      <c r="BS651" s="337"/>
      <c r="CH651" s="337">
        <f t="shared" si="185"/>
        <v>0</v>
      </c>
      <c r="CL651" s="361">
        <f>+CM650</f>
        <v>40483</v>
      </c>
      <c r="CM651" s="361">
        <v>40486</v>
      </c>
      <c r="CN651" s="317">
        <f t="shared" si="189"/>
        <v>3</v>
      </c>
      <c r="CO651" s="368">
        <v>2.8E-3</v>
      </c>
      <c r="CP651" s="346">
        <f t="shared" si="191"/>
        <v>8.3999999999999995E-3</v>
      </c>
      <c r="CQ651" s="365">
        <f>+CQ652</f>
        <v>2.7599999999999999E-3</v>
      </c>
      <c r="CR651" s="337">
        <f t="shared" si="188"/>
        <v>1890.4487670000001</v>
      </c>
      <c r="CV651" s="337">
        <f t="shared" si="192"/>
        <v>1917.8</v>
      </c>
    </row>
    <row r="652" spans="10:100" x14ac:dyDescent="0.25">
      <c r="J652" s="345"/>
      <c r="K652" s="317">
        <f t="shared" si="184"/>
        <v>0</v>
      </c>
      <c r="N652" s="339" t="e">
        <f>ROUND(((N651*SUM($K$10:K651))+(M652*K652))/SUM($K$10:K652),5)</f>
        <v>#REF!</v>
      </c>
      <c r="O652" s="348"/>
      <c r="S652" s="317">
        <f t="shared" si="187"/>
        <v>0</v>
      </c>
      <c r="BB652" s="352"/>
      <c r="BP652" s="345"/>
      <c r="BR652" s="347"/>
      <c r="BS652" s="337"/>
      <c r="CH652" s="337">
        <f t="shared" si="185"/>
        <v>0</v>
      </c>
      <c r="CL652" s="361">
        <f>CM651</f>
        <v>40486</v>
      </c>
      <c r="CM652" s="361">
        <v>40494</v>
      </c>
      <c r="CN652" s="317">
        <f t="shared" si="189"/>
        <v>8</v>
      </c>
      <c r="CO652" s="368">
        <v>2.5999999999999999E-3</v>
      </c>
      <c r="CP652" s="346">
        <f t="shared" si="191"/>
        <v>2.0799999999999999E-2</v>
      </c>
      <c r="CQ652" s="365">
        <f>+CQ653</f>
        <v>2.7599999999999999E-3</v>
      </c>
      <c r="CR652" s="337">
        <f t="shared" si="188"/>
        <v>5041.1967119999999</v>
      </c>
      <c r="CV652" s="337">
        <f t="shared" si="192"/>
        <v>4749</v>
      </c>
    </row>
    <row r="653" spans="10:100" x14ac:dyDescent="0.25">
      <c r="J653" s="345"/>
      <c r="K653" s="317">
        <f t="shared" ref="K653:K716" si="193">J653-I653</f>
        <v>0</v>
      </c>
      <c r="N653" s="339" t="e">
        <f>ROUND(((N652*SUM($K$10:K652))+(M653*K653))/SUM($K$10:K653),5)</f>
        <v>#REF!</v>
      </c>
      <c r="O653" s="348"/>
      <c r="S653" s="317">
        <f t="shared" si="187"/>
        <v>0</v>
      </c>
      <c r="BB653" s="352"/>
      <c r="BP653" s="345"/>
      <c r="BR653" s="347"/>
      <c r="BS653" s="337"/>
      <c r="CH653" s="337">
        <f t="shared" si="185"/>
        <v>0</v>
      </c>
      <c r="CL653" s="361">
        <f>CM652</f>
        <v>40494</v>
      </c>
      <c r="CM653" s="361">
        <v>40500</v>
      </c>
      <c r="CN653" s="317">
        <f t="shared" si="189"/>
        <v>6</v>
      </c>
      <c r="CO653" s="368">
        <v>2.7000000000000001E-3</v>
      </c>
      <c r="CP653" s="346">
        <f t="shared" si="191"/>
        <v>1.6199999999999999E-2</v>
      </c>
      <c r="CQ653" s="365">
        <f>+CQ654</f>
        <v>2.7599999999999999E-3</v>
      </c>
      <c r="CR653" s="337">
        <f t="shared" si="188"/>
        <v>3780.8975340000002</v>
      </c>
      <c r="CV653" s="337">
        <f t="shared" si="192"/>
        <v>3698.7</v>
      </c>
    </row>
    <row r="654" spans="10:100" x14ac:dyDescent="0.25">
      <c r="J654" s="345"/>
      <c r="K654" s="317">
        <f t="shared" si="193"/>
        <v>0</v>
      </c>
      <c r="N654" s="339" t="e">
        <f>ROUND(((N653*SUM($K$10:K653))+(M654*K654))/SUM($K$10:K654),5)</f>
        <v>#REF!</v>
      </c>
      <c r="O654" s="348"/>
      <c r="S654" s="317">
        <f t="shared" si="187"/>
        <v>0</v>
      </c>
      <c r="BB654" s="352"/>
      <c r="BP654" s="345"/>
      <c r="BR654" s="347"/>
      <c r="BS654" s="337"/>
      <c r="CH654" s="337">
        <f t="shared" si="185"/>
        <v>0</v>
      </c>
      <c r="CL654" s="361">
        <f>CM653</f>
        <v>40500</v>
      </c>
      <c r="CM654" s="361">
        <v>40508</v>
      </c>
      <c r="CN654" s="317">
        <f t="shared" si="189"/>
        <v>8</v>
      </c>
      <c r="CO654" s="368">
        <v>2.8E-3</v>
      </c>
      <c r="CP654" s="346">
        <f t="shared" si="191"/>
        <v>2.24E-2</v>
      </c>
      <c r="CQ654" s="365">
        <f>+CQ655</f>
        <v>2.7599999999999999E-3</v>
      </c>
      <c r="CR654" s="337">
        <f t="shared" si="188"/>
        <v>5041.1967119999999</v>
      </c>
      <c r="CV654" s="337">
        <f t="shared" si="192"/>
        <v>5114.3</v>
      </c>
    </row>
    <row r="655" spans="10:100" x14ac:dyDescent="0.25">
      <c r="J655" s="345"/>
      <c r="K655" s="317">
        <f t="shared" si="193"/>
        <v>0</v>
      </c>
      <c r="N655" s="339" t="e">
        <f>ROUND(((N654*SUM($K$10:K654))+(M655*K655))/SUM($K$10:K655),5)</f>
        <v>#REF!</v>
      </c>
      <c r="O655" s="348"/>
      <c r="S655" s="317">
        <f t="shared" si="187"/>
        <v>0</v>
      </c>
      <c r="BB655" s="352"/>
      <c r="BP655" s="345"/>
      <c r="BR655" s="347"/>
      <c r="BS655" s="337"/>
      <c r="CH655" s="337">
        <f t="shared" si="185"/>
        <v>0</v>
      </c>
      <c r="CL655" s="361">
        <f>CM654</f>
        <v>40508</v>
      </c>
      <c r="CM655" s="361">
        <v>40513</v>
      </c>
      <c r="CN655" s="317">
        <f t="shared" si="189"/>
        <v>5</v>
      </c>
      <c r="CO655" s="368">
        <v>3.0000000000000001E-3</v>
      </c>
      <c r="CP655" s="346">
        <f t="shared" si="191"/>
        <v>1.4999999999999999E-2</v>
      </c>
      <c r="CQ655" s="365">
        <f>ROUND(SUM(CP651:CP655)/30,6)</f>
        <v>2.7599999999999999E-3</v>
      </c>
      <c r="CR655" s="337">
        <f t="shared" si="188"/>
        <v>3150.7479450000001</v>
      </c>
      <c r="CS655" s="337">
        <f>(ROUND(SUM(CR651:CR655),2))</f>
        <v>18904.490000000002</v>
      </c>
      <c r="CT655" s="337">
        <f>ROUND($CR$5*0.05495*DAYS360(CL651,CM655)/360,2)</f>
        <v>381604.85</v>
      </c>
      <c r="CU655" s="366">
        <f>CS655-CT655</f>
        <v>-362700.36</v>
      </c>
      <c r="CV655" s="337">
        <f t="shared" si="192"/>
        <v>3424.7</v>
      </c>
    </row>
    <row r="656" spans="10:100" x14ac:dyDescent="0.25">
      <c r="J656" s="345"/>
      <c r="K656" s="317">
        <f t="shared" si="193"/>
        <v>0</v>
      </c>
      <c r="N656" s="339" t="e">
        <f>ROUND(((N655*SUM($K$10:K655))+(M656*K656))/SUM($K$10:K656),5)</f>
        <v>#REF!</v>
      </c>
      <c r="O656" s="348"/>
      <c r="S656" s="317">
        <f t="shared" si="187"/>
        <v>0</v>
      </c>
      <c r="BB656" s="352"/>
      <c r="BP656" s="345"/>
      <c r="BR656" s="347"/>
      <c r="BS656" s="337"/>
      <c r="CH656" s="337">
        <f t="shared" si="185"/>
        <v>0</v>
      </c>
      <c r="CL656" s="361">
        <f>+CM655</f>
        <v>40513</v>
      </c>
      <c r="CM656" s="361">
        <v>40514</v>
      </c>
      <c r="CN656" s="317">
        <f t="shared" si="189"/>
        <v>1</v>
      </c>
      <c r="CO656" s="368">
        <v>3.0000000000000001E-3</v>
      </c>
      <c r="CP656" s="346">
        <f t="shared" si="191"/>
        <v>3.0000000000000001E-3</v>
      </c>
      <c r="CQ656" s="365">
        <f>+CQ657</f>
        <v>3.0176000000000001E-3</v>
      </c>
      <c r="CR656" s="337">
        <f t="shared" si="188"/>
        <v>688.96355100000005</v>
      </c>
      <c r="CV656" s="337">
        <f t="shared" si="192"/>
        <v>684.9</v>
      </c>
    </row>
    <row r="657" spans="10:100" x14ac:dyDescent="0.25">
      <c r="J657" s="345"/>
      <c r="K657" s="317">
        <f t="shared" si="193"/>
        <v>0</v>
      </c>
      <c r="O657" s="348"/>
      <c r="S657" s="317">
        <f t="shared" si="187"/>
        <v>0</v>
      </c>
      <c r="BB657" s="352"/>
      <c r="BP657" s="345"/>
      <c r="BR657" s="347"/>
      <c r="BS657" s="337"/>
      <c r="CH657" s="337">
        <f t="shared" si="185"/>
        <v>0</v>
      </c>
      <c r="CL657" s="361">
        <f>CM656</f>
        <v>40514</v>
      </c>
      <c r="CM657" s="361">
        <v>40521</v>
      </c>
      <c r="CN657" s="317">
        <f t="shared" si="189"/>
        <v>7</v>
      </c>
      <c r="CO657" s="368">
        <v>2.7000000000000001E-3</v>
      </c>
      <c r="CP657" s="346">
        <f t="shared" si="191"/>
        <v>1.89E-2</v>
      </c>
      <c r="CQ657" s="365">
        <f>+CQ658</f>
        <v>3.0176000000000001E-3</v>
      </c>
      <c r="CR657" s="337">
        <f t="shared" si="188"/>
        <v>4822.7448549999999</v>
      </c>
      <c r="CV657" s="337">
        <f t="shared" si="192"/>
        <v>4315.2</v>
      </c>
    </row>
    <row r="658" spans="10:100" x14ac:dyDescent="0.25">
      <c r="J658" s="345"/>
      <c r="K658" s="317">
        <f t="shared" si="193"/>
        <v>0</v>
      </c>
      <c r="O658" s="348"/>
      <c r="S658" s="317">
        <f t="shared" si="187"/>
        <v>0</v>
      </c>
      <c r="BB658" s="352"/>
      <c r="BP658" s="345"/>
      <c r="BR658" s="347"/>
      <c r="BS658" s="337"/>
      <c r="CH658" s="337">
        <f t="shared" si="185"/>
        <v>0</v>
      </c>
      <c r="CL658" s="361">
        <f>CM657</f>
        <v>40521</v>
      </c>
      <c r="CM658" s="361">
        <v>40528</v>
      </c>
      <c r="CN658" s="317">
        <f t="shared" si="189"/>
        <v>7</v>
      </c>
      <c r="CO658" s="368">
        <v>2.7000000000000001E-3</v>
      </c>
      <c r="CP658" s="346">
        <f t="shared" si="191"/>
        <v>1.89E-2</v>
      </c>
      <c r="CQ658" s="365">
        <f>+CQ659</f>
        <v>3.0176000000000001E-3</v>
      </c>
      <c r="CR658" s="337">
        <f t="shared" si="188"/>
        <v>4822.7448549999999</v>
      </c>
      <c r="CV658" s="337">
        <f t="shared" si="192"/>
        <v>4315.2</v>
      </c>
    </row>
    <row r="659" spans="10:100" x14ac:dyDescent="0.25">
      <c r="J659" s="345"/>
      <c r="K659" s="317">
        <f t="shared" si="193"/>
        <v>0</v>
      </c>
      <c r="O659" s="348"/>
      <c r="S659" s="317">
        <f t="shared" si="187"/>
        <v>0</v>
      </c>
      <c r="BB659" s="352"/>
      <c r="BP659" s="345"/>
      <c r="BR659" s="347"/>
      <c r="BS659" s="337"/>
      <c r="CH659" s="337">
        <f t="shared" si="185"/>
        <v>0</v>
      </c>
      <c r="CL659" s="361">
        <f>CM658</f>
        <v>40528</v>
      </c>
      <c r="CM659" s="361">
        <v>40535</v>
      </c>
      <c r="CN659" s="317">
        <f t="shared" si="189"/>
        <v>7</v>
      </c>
      <c r="CO659" s="368">
        <v>3.0000000000000001E-3</v>
      </c>
      <c r="CP659" s="346">
        <f t="shared" si="191"/>
        <v>2.1000000000000001E-2</v>
      </c>
      <c r="CQ659" s="365">
        <f>+CQ660</f>
        <v>3.0176000000000001E-3</v>
      </c>
      <c r="CR659" s="337">
        <f t="shared" si="188"/>
        <v>4822.7448549999999</v>
      </c>
      <c r="CV659" s="337">
        <f t="shared" si="192"/>
        <v>4794.6000000000004</v>
      </c>
    </row>
    <row r="660" spans="10:100" x14ac:dyDescent="0.25">
      <c r="J660" s="345"/>
      <c r="K660" s="317">
        <f t="shared" si="193"/>
        <v>0</v>
      </c>
      <c r="O660" s="348"/>
      <c r="S660" s="317">
        <f t="shared" si="187"/>
        <v>0</v>
      </c>
      <c r="BB660" s="352"/>
      <c r="BP660" s="345"/>
      <c r="BR660" s="347"/>
      <c r="BS660" s="337"/>
      <c r="CH660" s="337">
        <f t="shared" si="185"/>
        <v>0</v>
      </c>
      <c r="CL660" s="361">
        <f>CM659</f>
        <v>40535</v>
      </c>
      <c r="CM660" s="361">
        <v>40542</v>
      </c>
      <c r="CN660" s="317">
        <f t="shared" si="189"/>
        <v>7</v>
      </c>
      <c r="CO660" s="368">
        <v>3.3999999999999998E-3</v>
      </c>
      <c r="CP660" s="346">
        <f t="shared" si="191"/>
        <v>2.3799999999999998E-2</v>
      </c>
      <c r="CQ660" s="365">
        <f>+CQ661</f>
        <v>3.0176000000000001E-3</v>
      </c>
      <c r="CR660" s="337">
        <f t="shared" si="188"/>
        <v>4822.7448549999999</v>
      </c>
      <c r="CS660" s="337"/>
      <c r="CT660" s="337"/>
      <c r="CU660" s="366"/>
      <c r="CV660" s="337">
        <f t="shared" si="192"/>
        <v>5433.9</v>
      </c>
    </row>
    <row r="661" spans="10:100" x14ac:dyDescent="0.25">
      <c r="J661" s="345"/>
      <c r="K661" s="317">
        <f t="shared" si="193"/>
        <v>0</v>
      </c>
      <c r="O661" s="348"/>
      <c r="S661" s="317">
        <f t="shared" si="187"/>
        <v>0</v>
      </c>
      <c r="BB661" s="352"/>
      <c r="BP661" s="345"/>
      <c r="BR661" s="347"/>
      <c r="BS661" s="337"/>
      <c r="CH661" s="337">
        <f t="shared" si="185"/>
        <v>0</v>
      </c>
      <c r="CL661" s="361">
        <f>CM660</f>
        <v>40542</v>
      </c>
      <c r="CM661" s="361">
        <v>40547</v>
      </c>
      <c r="CN661" s="317">
        <f t="shared" si="189"/>
        <v>5</v>
      </c>
      <c r="CO661" s="368">
        <v>3.3999999999999998E-3</v>
      </c>
      <c r="CP661" s="346">
        <f t="shared" si="191"/>
        <v>1.6999999999999998E-2</v>
      </c>
      <c r="CQ661" s="365">
        <f>ROUND(SUM(CP656:CP661)/34,7)</f>
        <v>3.0176000000000001E-3</v>
      </c>
      <c r="CR661" s="337">
        <f t="shared" si="188"/>
        <v>3444.8177529999998</v>
      </c>
      <c r="CS661" s="337">
        <f>(ROUND(SUM(CR656:CR661),2))</f>
        <v>23424.76</v>
      </c>
      <c r="CT661" s="337">
        <f>ROUND($CR$5*0.05495*DAYS360(CL656,CM661)/360,2)</f>
        <v>419765.34</v>
      </c>
      <c r="CU661" s="366">
        <f>CS661-CT661</f>
        <v>-396340.58</v>
      </c>
      <c r="CV661" s="337">
        <f t="shared" si="192"/>
        <v>3881.4</v>
      </c>
    </row>
    <row r="662" spans="10:100" x14ac:dyDescent="0.25">
      <c r="J662" s="345"/>
      <c r="K662" s="317">
        <f t="shared" si="193"/>
        <v>0</v>
      </c>
      <c r="O662" s="348"/>
      <c r="S662" s="317">
        <f t="shared" si="187"/>
        <v>0</v>
      </c>
      <c r="BB662" s="352"/>
      <c r="BP662" s="345"/>
      <c r="BR662" s="347"/>
      <c r="BS662" s="337"/>
      <c r="CH662" s="337">
        <f t="shared" si="185"/>
        <v>0</v>
      </c>
      <c r="CL662" s="361">
        <f>+CM661</f>
        <v>40547</v>
      </c>
      <c r="CM662" s="361">
        <v>40549</v>
      </c>
      <c r="CN662" s="317">
        <f t="shared" si="189"/>
        <v>2</v>
      </c>
      <c r="CO662" s="368">
        <v>3.3999999999999998E-3</v>
      </c>
      <c r="CP662" s="346">
        <f t="shared" si="191"/>
        <v>6.7999999999999996E-3</v>
      </c>
      <c r="CQ662" s="365">
        <f>+CQ663</f>
        <v>2.6107000000000001E-3</v>
      </c>
      <c r="CR662" s="337">
        <f t="shared" si="188"/>
        <v>1192.1242990000001</v>
      </c>
      <c r="CV662" s="337">
        <f t="shared" si="192"/>
        <v>1552.5</v>
      </c>
    </row>
    <row r="663" spans="10:100" x14ac:dyDescent="0.25">
      <c r="J663" s="345"/>
      <c r="K663" s="317">
        <f t="shared" si="193"/>
        <v>0</v>
      </c>
      <c r="O663" s="348"/>
      <c r="S663" s="317">
        <f t="shared" si="187"/>
        <v>0</v>
      </c>
      <c r="BB663" s="352"/>
      <c r="BP663" s="345"/>
      <c r="BR663" s="347"/>
      <c r="BS663" s="337"/>
      <c r="CH663" s="337">
        <f t="shared" ref="CH663:CH726" si="194">ROUND($CA$5*CG663*CF663/365,6)</f>
        <v>0</v>
      </c>
      <c r="CL663" s="361">
        <f>CM662</f>
        <v>40549</v>
      </c>
      <c r="CM663" s="361">
        <v>40556</v>
      </c>
      <c r="CN663" s="317">
        <f t="shared" si="189"/>
        <v>7</v>
      </c>
      <c r="CO663" s="368">
        <v>2.3E-3</v>
      </c>
      <c r="CP663" s="346">
        <f t="shared" si="191"/>
        <v>1.61E-2</v>
      </c>
      <c r="CQ663" s="365">
        <f>+CQ664</f>
        <v>2.6107000000000001E-3</v>
      </c>
      <c r="CR663" s="337">
        <f t="shared" si="188"/>
        <v>4172.4350450000002</v>
      </c>
      <c r="CV663" s="337">
        <f t="shared" si="192"/>
        <v>3675.9</v>
      </c>
    </row>
    <row r="664" spans="10:100" x14ac:dyDescent="0.25">
      <c r="J664" s="345"/>
      <c r="K664" s="317">
        <f t="shared" si="193"/>
        <v>0</v>
      </c>
      <c r="O664" s="348"/>
      <c r="S664" s="317">
        <f t="shared" si="187"/>
        <v>0</v>
      </c>
      <c r="BB664" s="352"/>
      <c r="BP664" s="345"/>
      <c r="BR664" s="347"/>
      <c r="BS664" s="337"/>
      <c r="CH664" s="337">
        <f t="shared" si="194"/>
        <v>0</v>
      </c>
      <c r="CL664" s="361">
        <f>CM663</f>
        <v>40556</v>
      </c>
      <c r="CM664" s="361">
        <v>40563</v>
      </c>
      <c r="CN664" s="317">
        <f t="shared" si="189"/>
        <v>7</v>
      </c>
      <c r="CO664" s="368">
        <v>2.3999999999999998E-3</v>
      </c>
      <c r="CP664" s="346">
        <f t="shared" si="191"/>
        <v>1.6799999999999999E-2</v>
      </c>
      <c r="CQ664" s="365">
        <f>+CQ665</f>
        <v>2.6107000000000001E-3</v>
      </c>
      <c r="CR664" s="337">
        <f t="shared" si="188"/>
        <v>4172.4350450000002</v>
      </c>
      <c r="CV664" s="337">
        <f t="shared" si="192"/>
        <v>3835.7</v>
      </c>
    </row>
    <row r="665" spans="10:100" x14ac:dyDescent="0.25">
      <c r="J665" s="345"/>
      <c r="K665" s="317">
        <f t="shared" si="193"/>
        <v>0</v>
      </c>
      <c r="O665" s="348"/>
      <c r="S665" s="317">
        <f t="shared" si="187"/>
        <v>0</v>
      </c>
      <c r="BB665" s="352"/>
      <c r="BP665" s="345"/>
      <c r="BR665" s="347"/>
      <c r="BS665" s="337"/>
      <c r="CH665" s="337">
        <f t="shared" si="194"/>
        <v>0</v>
      </c>
      <c r="CL665" s="361">
        <f>CM664</f>
        <v>40563</v>
      </c>
      <c r="CM665" s="361">
        <v>40570</v>
      </c>
      <c r="CN665" s="317">
        <f t="shared" si="189"/>
        <v>7</v>
      </c>
      <c r="CO665" s="368">
        <v>2.7000000000000001E-3</v>
      </c>
      <c r="CP665" s="346">
        <f t="shared" si="191"/>
        <v>1.89E-2</v>
      </c>
      <c r="CQ665" s="365">
        <f>+CQ666</f>
        <v>2.6107000000000001E-3</v>
      </c>
      <c r="CR665" s="337">
        <f t="shared" si="188"/>
        <v>4172.4350450000002</v>
      </c>
      <c r="CV665" s="337">
        <f>ROUND($CR$5*CO665*CN665/365,1)</f>
        <v>4315.2</v>
      </c>
    </row>
    <row r="666" spans="10:100" x14ac:dyDescent="0.25">
      <c r="J666" s="345"/>
      <c r="K666" s="317">
        <f t="shared" si="193"/>
        <v>0</v>
      </c>
      <c r="O666" s="348"/>
      <c r="S666" s="317">
        <f t="shared" si="187"/>
        <v>0</v>
      </c>
      <c r="BB666" s="352"/>
      <c r="BP666" s="345"/>
      <c r="BR666" s="347"/>
      <c r="BS666" s="337"/>
      <c r="CH666" s="337">
        <f t="shared" si="194"/>
        <v>0</v>
      </c>
      <c r="CL666" s="361">
        <f>CM665</f>
        <v>40570</v>
      </c>
      <c r="CM666" s="361">
        <v>40575</v>
      </c>
      <c r="CN666" s="317">
        <f t="shared" si="189"/>
        <v>5</v>
      </c>
      <c r="CO666" s="368">
        <v>2.8999999999999998E-3</v>
      </c>
      <c r="CP666" s="346">
        <f t="shared" si="191"/>
        <v>1.4499999999999999E-2</v>
      </c>
      <c r="CQ666" s="365">
        <f>ROUND(SUM(CP662:CP666)/28,7)</f>
        <v>2.6107000000000001E-3</v>
      </c>
      <c r="CR666" s="337">
        <f t="shared" si="188"/>
        <v>2980.310747</v>
      </c>
      <c r="CS666" s="337">
        <f>(ROUND(SUM(CR662:CR666),2))</f>
        <v>16689.740000000002</v>
      </c>
      <c r="CT666" s="337">
        <f>ROUND($CR$5*0.05495*DAYS360(CL662,CM666)/360,2)</f>
        <v>343444.37</v>
      </c>
      <c r="CU666" s="366">
        <f>CS666-CT666</f>
        <v>-326754.63</v>
      </c>
      <c r="CV666" s="337">
        <f t="shared" si="192"/>
        <v>3310.6</v>
      </c>
    </row>
    <row r="667" spans="10:100" x14ac:dyDescent="0.25">
      <c r="J667" s="345"/>
      <c r="K667" s="317">
        <f>J667-I667</f>
        <v>0</v>
      </c>
      <c r="O667" s="348"/>
      <c r="S667" s="317">
        <f>R667-Q667</f>
        <v>0</v>
      </c>
      <c r="BB667" s="352"/>
      <c r="BP667" s="345"/>
      <c r="BR667" s="347"/>
      <c r="BS667" s="337"/>
      <c r="CH667" s="337">
        <f>ROUND($CA$5*CG667*CF667/365,6)</f>
        <v>0</v>
      </c>
      <c r="CL667" s="361">
        <f>+CM666</f>
        <v>40575</v>
      </c>
      <c r="CM667" s="361">
        <v>40577</v>
      </c>
      <c r="CN667" s="317">
        <f t="shared" si="189"/>
        <v>2</v>
      </c>
      <c r="CO667" s="368">
        <v>2.8999999999999998E-3</v>
      </c>
      <c r="CP667" s="346">
        <f t="shared" si="191"/>
        <v>5.7999999999999996E-3</v>
      </c>
      <c r="CQ667" s="365">
        <f>+CQ668</f>
        <v>2.6963999999999998E-3</v>
      </c>
      <c r="CR667" s="337">
        <f t="shared" si="188"/>
        <v>1231.257501</v>
      </c>
      <c r="CV667" s="337">
        <f>ROUND($CR$5*CO667*CN667/365,1)</f>
        <v>1324.2</v>
      </c>
    </row>
    <row r="668" spans="10:100" x14ac:dyDescent="0.25">
      <c r="J668" s="345"/>
      <c r="K668" s="317">
        <f>J668-I668</f>
        <v>0</v>
      </c>
      <c r="O668" s="348"/>
      <c r="S668" s="317">
        <f>R668-Q668</f>
        <v>0</v>
      </c>
      <c r="BB668" s="352"/>
      <c r="BP668" s="345"/>
      <c r="BR668" s="347"/>
      <c r="BS668" s="337"/>
      <c r="CH668" s="337">
        <f>ROUND($CA$5*CG668*CF668/365,6)</f>
        <v>0</v>
      </c>
      <c r="CL668" s="361">
        <f>CM667</f>
        <v>40577</v>
      </c>
      <c r="CM668" s="361">
        <v>40584</v>
      </c>
      <c r="CN668" s="317">
        <f t="shared" si="189"/>
        <v>7</v>
      </c>
      <c r="CO668" s="368">
        <v>2.5999999999999999E-3</v>
      </c>
      <c r="CP668" s="346">
        <f t="shared" si="191"/>
        <v>1.8200000000000001E-2</v>
      </c>
      <c r="CQ668" s="365">
        <f>+CQ669</f>
        <v>2.6963999999999998E-3</v>
      </c>
      <c r="CR668" s="337">
        <f t="shared" si="188"/>
        <v>4309.4012549999998</v>
      </c>
      <c r="CV668" s="337">
        <f>ROUND($CR$5*CO668*CN668/365,1)</f>
        <v>4155.3</v>
      </c>
    </row>
    <row r="669" spans="10:100" x14ac:dyDescent="0.25">
      <c r="J669" s="345"/>
      <c r="K669" s="317">
        <f>J669-I669</f>
        <v>0</v>
      </c>
      <c r="O669" s="348"/>
      <c r="S669" s="317">
        <f>R669-Q669</f>
        <v>0</v>
      </c>
      <c r="BB669" s="352"/>
      <c r="BP669" s="345"/>
      <c r="BR669" s="347"/>
      <c r="BS669" s="337"/>
      <c r="CH669" s="337">
        <f>ROUND($CA$5*CG669*CF669/365,6)</f>
        <v>0</v>
      </c>
      <c r="CL669" s="361">
        <f>CM668</f>
        <v>40584</v>
      </c>
      <c r="CM669" s="361">
        <v>40591</v>
      </c>
      <c r="CN669" s="317">
        <f t="shared" si="189"/>
        <v>7</v>
      </c>
      <c r="CO669" s="368">
        <v>2.7000000000000001E-3</v>
      </c>
      <c r="CP669" s="346">
        <f t="shared" si="191"/>
        <v>1.89E-2</v>
      </c>
      <c r="CQ669" s="365">
        <f>+CQ670</f>
        <v>2.6963999999999998E-3</v>
      </c>
      <c r="CR669" s="337">
        <f t="shared" si="188"/>
        <v>4309.4012549999998</v>
      </c>
      <c r="CV669" s="337">
        <f>ROUND($CR$5*CO669*CN669/365,1)</f>
        <v>4315.2</v>
      </c>
    </row>
    <row r="670" spans="10:100" x14ac:dyDescent="0.25">
      <c r="J670" s="345"/>
      <c r="K670" s="317">
        <f>J670-I670</f>
        <v>0</v>
      </c>
      <c r="O670" s="348"/>
      <c r="S670" s="317">
        <f>R670-Q670</f>
        <v>0</v>
      </c>
      <c r="BB670" s="352"/>
      <c r="BP670" s="345"/>
      <c r="BR670" s="347"/>
      <c r="BS670" s="337"/>
      <c r="CH670" s="337">
        <f>ROUND($CA$5*CG670*CF670/365,6)</f>
        <v>0</v>
      </c>
      <c r="CL670" s="361">
        <f>CM669</f>
        <v>40591</v>
      </c>
      <c r="CM670" s="361">
        <v>40598</v>
      </c>
      <c r="CN670" s="317">
        <f t="shared" si="189"/>
        <v>7</v>
      </c>
      <c r="CO670" s="368">
        <v>2.8E-3</v>
      </c>
      <c r="CP670" s="346">
        <f t="shared" si="191"/>
        <v>1.9599999999999999E-2</v>
      </c>
      <c r="CQ670" s="365">
        <f>+CQ671</f>
        <v>2.6963999999999998E-3</v>
      </c>
      <c r="CR670" s="337">
        <f t="shared" si="188"/>
        <v>4309.4012549999998</v>
      </c>
      <c r="CV670" s="337">
        <f>ROUND($CR$5*CO670*CN670/365,1)</f>
        <v>4475</v>
      </c>
    </row>
    <row r="671" spans="10:100" x14ac:dyDescent="0.25">
      <c r="J671" s="345"/>
      <c r="K671" s="317">
        <f>J671-I671</f>
        <v>0</v>
      </c>
      <c r="O671" s="348"/>
      <c r="S671" s="317">
        <f>R671-Q671</f>
        <v>0</v>
      </c>
      <c r="BB671" s="352"/>
      <c r="BP671" s="345"/>
      <c r="BR671" s="347"/>
      <c r="BS671" s="337"/>
      <c r="CH671" s="337">
        <f>ROUND($CA$5*CG671*CF671/365,6)</f>
        <v>0</v>
      </c>
      <c r="CL671" s="361">
        <f>CM670</f>
        <v>40598</v>
      </c>
      <c r="CM671" s="361">
        <v>40603</v>
      </c>
      <c r="CN671" s="317">
        <f t="shared" si="189"/>
        <v>5</v>
      </c>
      <c r="CO671" s="368">
        <v>2.5999999999999999E-3</v>
      </c>
      <c r="CP671" s="346">
        <f t="shared" si="191"/>
        <v>1.2999999999999999E-2</v>
      </c>
      <c r="CQ671" s="365">
        <f>ROUND(SUM(CP667:CP671)/28,7)</f>
        <v>2.6963999999999998E-3</v>
      </c>
      <c r="CR671" s="337">
        <f t="shared" si="188"/>
        <v>3078.1437529999998</v>
      </c>
      <c r="CS671" s="337">
        <f>(ROUND(SUM(CR667:CR671),2))</f>
        <v>17237.61</v>
      </c>
      <c r="CT671" s="337">
        <f>ROUND($CR$5*0.05495*DAYS360(CL667,CM671)/360,2)</f>
        <v>381604.85</v>
      </c>
      <c r="CU671" s="366">
        <f>CS671-CT671</f>
        <v>-364367.24</v>
      </c>
      <c r="CV671" s="337">
        <f>ROUND($CR$5*CO671*CN671/365,1)</f>
        <v>2968.1</v>
      </c>
    </row>
    <row r="672" spans="10:100" x14ac:dyDescent="0.25">
      <c r="J672" s="345"/>
      <c r="K672" s="317">
        <f t="shared" si="193"/>
        <v>0</v>
      </c>
      <c r="O672" s="348"/>
      <c r="S672" s="317">
        <f t="shared" si="187"/>
        <v>0</v>
      </c>
      <c r="BB672" s="352"/>
      <c r="BP672" s="345"/>
      <c r="BR672" s="347"/>
      <c r="BS672" s="337"/>
      <c r="CH672" s="337">
        <f t="shared" si="194"/>
        <v>0</v>
      </c>
      <c r="CL672" s="361">
        <f>+CM671</f>
        <v>40603</v>
      </c>
      <c r="CM672" s="361">
        <v>40605</v>
      </c>
      <c r="CN672" s="317">
        <f t="shared" si="189"/>
        <v>2</v>
      </c>
      <c r="CO672" s="368">
        <v>2.5999999999999999E-3</v>
      </c>
      <c r="CP672" s="346">
        <f t="shared" si="191"/>
        <v>5.1999999999999998E-3</v>
      </c>
      <c r="CQ672" s="365">
        <f>+CQ673</f>
        <v>2.529E-3</v>
      </c>
      <c r="CR672" s="337">
        <f t="shared" si="188"/>
        <v>1154.817616</v>
      </c>
      <c r="CV672" s="337">
        <f t="shared" si="192"/>
        <v>1187.2</v>
      </c>
    </row>
    <row r="673" spans="10:100" x14ac:dyDescent="0.25">
      <c r="J673" s="345"/>
      <c r="K673" s="317">
        <f t="shared" si="193"/>
        <v>0</v>
      </c>
      <c r="O673" s="348"/>
      <c r="S673" s="317">
        <f t="shared" si="187"/>
        <v>0</v>
      </c>
      <c r="BB673" s="352"/>
      <c r="BP673" s="345"/>
      <c r="BR673" s="347"/>
      <c r="BS673" s="337"/>
      <c r="CH673" s="337">
        <f t="shared" si="194"/>
        <v>0</v>
      </c>
      <c r="CL673" s="361">
        <f>CM672</f>
        <v>40605</v>
      </c>
      <c r="CM673" s="361">
        <v>40612</v>
      </c>
      <c r="CN673" s="317">
        <f t="shared" si="189"/>
        <v>7</v>
      </c>
      <c r="CO673" s="368">
        <v>2.3999999999999998E-3</v>
      </c>
      <c r="CP673" s="346">
        <f t="shared" si="191"/>
        <v>1.6799999999999999E-2</v>
      </c>
      <c r="CQ673" s="365">
        <f>+CQ674</f>
        <v>2.529E-3</v>
      </c>
      <c r="CR673" s="337">
        <f t="shared" si="188"/>
        <v>4041.8616579999998</v>
      </c>
      <c r="CV673" s="337">
        <f t="shared" si="192"/>
        <v>3835.7</v>
      </c>
    </row>
    <row r="674" spans="10:100" x14ac:dyDescent="0.25">
      <c r="J674" s="345"/>
      <c r="K674" s="317">
        <f t="shared" si="193"/>
        <v>0</v>
      </c>
      <c r="O674" s="348"/>
      <c r="S674" s="317">
        <f t="shared" si="187"/>
        <v>0</v>
      </c>
      <c r="BB674" s="352"/>
      <c r="BP674" s="345"/>
      <c r="BR674" s="347"/>
      <c r="BS674" s="337"/>
      <c r="CH674" s="337">
        <f t="shared" si="194"/>
        <v>0</v>
      </c>
      <c r="CL674" s="361">
        <f>CM673</f>
        <v>40612</v>
      </c>
      <c r="CM674" s="361">
        <v>40619</v>
      </c>
      <c r="CN674" s="317">
        <f t="shared" si="189"/>
        <v>7</v>
      </c>
      <c r="CO674" s="368">
        <v>2.5000000000000001E-3</v>
      </c>
      <c r="CP674" s="346">
        <f t="shared" si="191"/>
        <v>1.7500000000000002E-2</v>
      </c>
      <c r="CQ674" s="365">
        <f>+CQ675</f>
        <v>2.529E-3</v>
      </c>
      <c r="CR674" s="337">
        <f t="shared" si="188"/>
        <v>4041.8616579999998</v>
      </c>
      <c r="CV674" s="337">
        <f t="shared" si="192"/>
        <v>3995.5</v>
      </c>
    </row>
    <row r="675" spans="10:100" x14ac:dyDescent="0.25">
      <c r="J675" s="345"/>
      <c r="K675" s="317">
        <f t="shared" si="193"/>
        <v>0</v>
      </c>
      <c r="O675" s="348"/>
      <c r="S675" s="317">
        <f t="shared" si="187"/>
        <v>0</v>
      </c>
      <c r="BB675" s="352"/>
      <c r="BP675" s="345"/>
      <c r="BR675" s="347"/>
      <c r="BS675" s="337"/>
      <c r="CH675" s="337">
        <f t="shared" si="194"/>
        <v>0</v>
      </c>
      <c r="CL675" s="361">
        <f>CM674</f>
        <v>40619</v>
      </c>
      <c r="CM675" s="361">
        <v>40626</v>
      </c>
      <c r="CN675" s="317">
        <f t="shared" si="189"/>
        <v>7</v>
      </c>
      <c r="CO675" s="368">
        <v>2.5999999999999999E-3</v>
      </c>
      <c r="CP675" s="346">
        <f t="shared" si="191"/>
        <v>1.8200000000000001E-2</v>
      </c>
      <c r="CQ675" s="365">
        <f>+CQ676</f>
        <v>2.529E-3</v>
      </c>
      <c r="CR675" s="337">
        <f t="shared" si="188"/>
        <v>4041.8616579999998</v>
      </c>
      <c r="CV675" s="337">
        <f t="shared" si="192"/>
        <v>4155.3</v>
      </c>
    </row>
    <row r="676" spans="10:100" x14ac:dyDescent="0.25">
      <c r="J676" s="345"/>
      <c r="K676" s="317">
        <f>J676-I676</f>
        <v>0</v>
      </c>
      <c r="O676" s="348"/>
      <c r="S676" s="317">
        <f>R676-Q676</f>
        <v>0</v>
      </c>
      <c r="BB676" s="352"/>
      <c r="BP676" s="345"/>
      <c r="BR676" s="347"/>
      <c r="BS676" s="337"/>
      <c r="CH676" s="337">
        <f>ROUND($CA$5*CG676*CF676/365,6)</f>
        <v>0</v>
      </c>
      <c r="CL676" s="361">
        <f>CM675</f>
        <v>40626</v>
      </c>
      <c r="CM676" s="361">
        <v>40633</v>
      </c>
      <c r="CN676" s="317">
        <f>CM676-CL676</f>
        <v>7</v>
      </c>
      <c r="CO676" s="368">
        <v>2.5999999999999999E-3</v>
      </c>
      <c r="CP676" s="346">
        <f>CN676*CO676</f>
        <v>1.8200000000000001E-2</v>
      </c>
      <c r="CQ676" s="365">
        <f>+CQ677</f>
        <v>2.529E-3</v>
      </c>
      <c r="CR676" s="337">
        <f>ROUND($CR$5*CQ676*CN676/365,6)</f>
        <v>4041.8616579999998</v>
      </c>
      <c r="CV676" s="337">
        <f>ROUND($CR$5*CO676*CN676/365,1)</f>
        <v>4155.3</v>
      </c>
    </row>
    <row r="677" spans="10:100" x14ac:dyDescent="0.25">
      <c r="J677" s="345"/>
      <c r="K677" s="317">
        <f t="shared" si="193"/>
        <v>0</v>
      </c>
      <c r="O677" s="348"/>
      <c r="S677" s="317">
        <f t="shared" si="187"/>
        <v>0</v>
      </c>
      <c r="BB677" s="352"/>
      <c r="BP677" s="345"/>
      <c r="BR677" s="347"/>
      <c r="BS677" s="337"/>
      <c r="CH677" s="337">
        <f t="shared" si="194"/>
        <v>0</v>
      </c>
      <c r="CL677" s="361">
        <f>CM676</f>
        <v>40633</v>
      </c>
      <c r="CM677" s="361">
        <v>40634</v>
      </c>
      <c r="CN677" s="317">
        <f t="shared" si="189"/>
        <v>1</v>
      </c>
      <c r="CO677" s="368">
        <v>2.5000000000000001E-3</v>
      </c>
      <c r="CP677" s="346">
        <f t="shared" si="191"/>
        <v>2.5000000000000001E-3</v>
      </c>
      <c r="CQ677" s="365">
        <f>ROUND(SUM(CP672:CP677)/31,7)</f>
        <v>2.529E-3</v>
      </c>
      <c r="CR677" s="337">
        <f t="shared" si="188"/>
        <v>577.40880800000002</v>
      </c>
      <c r="CS677" s="337">
        <f>(ROUND(SUM(CR672:CR677),2))</f>
        <v>17899.669999999998</v>
      </c>
      <c r="CT677" s="337">
        <f>ROUND($CR$5*0.05495*DAYS360(CL672,CM677)/360,2)</f>
        <v>381604.85</v>
      </c>
      <c r="CU677" s="366">
        <f>CS677-CT677</f>
        <v>-363705.18</v>
      </c>
      <c r="CV677" s="337">
        <f t="shared" si="192"/>
        <v>570.79999999999995</v>
      </c>
    </row>
    <row r="678" spans="10:100" x14ac:dyDescent="0.25">
      <c r="J678" s="345"/>
      <c r="K678" s="317">
        <f t="shared" si="193"/>
        <v>0</v>
      </c>
      <c r="O678" s="348"/>
      <c r="S678" s="317">
        <f t="shared" ref="S678:S741" si="195">R678-Q678</f>
        <v>0</v>
      </c>
      <c r="BB678" s="352"/>
      <c r="BP678" s="345"/>
      <c r="BR678" s="347"/>
      <c r="BS678" s="337"/>
      <c r="CH678" s="337">
        <f t="shared" si="194"/>
        <v>0</v>
      </c>
      <c r="CL678" s="361">
        <f>+CM677</f>
        <v>40634</v>
      </c>
      <c r="CM678" s="361">
        <v>40640</v>
      </c>
      <c r="CN678" s="317">
        <f t="shared" si="189"/>
        <v>6</v>
      </c>
      <c r="CO678" s="368">
        <v>2.5000000000000001E-3</v>
      </c>
      <c r="CP678" s="346">
        <f t="shared" si="191"/>
        <v>1.4999999999999999E-2</v>
      </c>
      <c r="CQ678" s="365">
        <f>+CQ679</f>
        <v>2.5156000000000002E-3</v>
      </c>
      <c r="CR678" s="337">
        <f t="shared" si="188"/>
        <v>3446.0963179999999</v>
      </c>
      <c r="CV678" s="337">
        <f t="shared" si="192"/>
        <v>3424.7</v>
      </c>
    </row>
    <row r="679" spans="10:100" x14ac:dyDescent="0.25">
      <c r="J679" s="345"/>
      <c r="K679" s="317">
        <f t="shared" si="193"/>
        <v>0</v>
      </c>
      <c r="O679" s="348"/>
      <c r="S679" s="317">
        <f t="shared" si="195"/>
        <v>0</v>
      </c>
      <c r="BB679" s="352"/>
      <c r="BP679" s="345"/>
      <c r="BR679" s="347"/>
      <c r="BS679" s="337"/>
      <c r="CH679" s="337">
        <f t="shared" si="194"/>
        <v>0</v>
      </c>
      <c r="CL679" s="361">
        <f>CM678</f>
        <v>40640</v>
      </c>
      <c r="CM679" s="361">
        <v>40647</v>
      </c>
      <c r="CN679" s="317">
        <f t="shared" si="189"/>
        <v>7</v>
      </c>
      <c r="CO679" s="368">
        <v>2.3E-3</v>
      </c>
      <c r="CP679" s="346">
        <f t="shared" si="191"/>
        <v>1.61E-2</v>
      </c>
      <c r="CQ679" s="365">
        <f>+CQ680</f>
        <v>2.5156000000000002E-3</v>
      </c>
      <c r="CR679" s="337">
        <f t="shared" si="188"/>
        <v>4020.4457040000002</v>
      </c>
      <c r="CV679" s="337">
        <f t="shared" si="192"/>
        <v>3675.9</v>
      </c>
    </row>
    <row r="680" spans="10:100" x14ac:dyDescent="0.25">
      <c r="J680" s="345"/>
      <c r="K680" s="317">
        <f t="shared" si="193"/>
        <v>0</v>
      </c>
      <c r="O680" s="348"/>
      <c r="S680" s="317">
        <f t="shared" si="195"/>
        <v>0</v>
      </c>
      <c r="BB680" s="352"/>
      <c r="BP680" s="345"/>
      <c r="BR680" s="347"/>
      <c r="BS680" s="337"/>
      <c r="CH680" s="337">
        <f t="shared" si="194"/>
        <v>0</v>
      </c>
      <c r="CL680" s="361">
        <f>CM679</f>
        <v>40647</v>
      </c>
      <c r="CM680" s="361">
        <v>40654</v>
      </c>
      <c r="CN680" s="317">
        <f t="shared" si="189"/>
        <v>7</v>
      </c>
      <c r="CO680" s="368">
        <v>2.5000000000000001E-3</v>
      </c>
      <c r="CP680" s="346">
        <f t="shared" si="191"/>
        <v>1.7500000000000002E-2</v>
      </c>
      <c r="CQ680" s="365">
        <f>+CQ681</f>
        <v>2.5156000000000002E-3</v>
      </c>
      <c r="CR680" s="337">
        <f t="shared" si="188"/>
        <v>4020.4457040000002</v>
      </c>
      <c r="CV680" s="337">
        <f t="shared" si="192"/>
        <v>3995.5</v>
      </c>
    </row>
    <row r="681" spans="10:100" x14ac:dyDescent="0.25">
      <c r="J681" s="345"/>
      <c r="K681" s="317">
        <f>J681-I681</f>
        <v>0</v>
      </c>
      <c r="O681" s="348"/>
      <c r="S681" s="317">
        <f>R681-Q681</f>
        <v>0</v>
      </c>
      <c r="BB681" s="352"/>
      <c r="BP681" s="345"/>
      <c r="BR681" s="347"/>
      <c r="BS681" s="337"/>
      <c r="CH681" s="337">
        <f>ROUND($CA$5*CG681*CF681/365,6)</f>
        <v>0</v>
      </c>
      <c r="CL681" s="361">
        <f>CM680</f>
        <v>40654</v>
      </c>
      <c r="CM681" s="361">
        <v>40661</v>
      </c>
      <c r="CN681" s="317">
        <f t="shared" si="189"/>
        <v>7</v>
      </c>
      <c r="CO681" s="368">
        <v>2.7000000000000001E-3</v>
      </c>
      <c r="CP681" s="346">
        <f t="shared" si="191"/>
        <v>1.89E-2</v>
      </c>
      <c r="CQ681" s="365">
        <f>+CQ682</f>
        <v>2.5156000000000002E-3</v>
      </c>
      <c r="CR681" s="337">
        <f t="shared" si="188"/>
        <v>4020.4457040000002</v>
      </c>
      <c r="CV681" s="337">
        <f>ROUND($CR$5*CO681*CN681/365,1)</f>
        <v>4315.2</v>
      </c>
    </row>
    <row r="682" spans="10:100" x14ac:dyDescent="0.25">
      <c r="J682" s="345"/>
      <c r="K682" s="317">
        <f t="shared" si="193"/>
        <v>0</v>
      </c>
      <c r="O682" s="348"/>
      <c r="S682" s="317">
        <f t="shared" si="195"/>
        <v>0</v>
      </c>
      <c r="BB682" s="352"/>
      <c r="BP682" s="345"/>
      <c r="BR682" s="347"/>
      <c r="BS682" s="337"/>
      <c r="CH682" s="337">
        <f t="shared" si="194"/>
        <v>0</v>
      </c>
      <c r="CL682" s="361">
        <f>CM681</f>
        <v>40661</v>
      </c>
      <c r="CM682" s="361">
        <v>40666</v>
      </c>
      <c r="CN682" s="317">
        <f t="shared" si="189"/>
        <v>5</v>
      </c>
      <c r="CO682" s="368">
        <v>2.5999999999999999E-3</v>
      </c>
      <c r="CP682" s="346">
        <f t="shared" si="191"/>
        <v>1.2999999999999999E-2</v>
      </c>
      <c r="CQ682" s="365">
        <f>ROUND(SUM(CP678:CP682)/32,7)</f>
        <v>2.5156000000000002E-3</v>
      </c>
      <c r="CR682" s="337">
        <f t="shared" si="188"/>
        <v>2871.746932</v>
      </c>
      <c r="CS682" s="337">
        <f>(ROUND(SUM(CR678:CR682),2))</f>
        <v>18379.18</v>
      </c>
      <c r="CT682" s="337">
        <f>ROUND($CR$5*0.05495*DAYS360(CL678,CM682)/360,2)</f>
        <v>407045.18</v>
      </c>
      <c r="CU682" s="366">
        <f>CS682-CT682</f>
        <v>-388666</v>
      </c>
      <c r="CV682" s="337">
        <f t="shared" si="192"/>
        <v>2968.1</v>
      </c>
    </row>
    <row r="683" spans="10:100" x14ac:dyDescent="0.25">
      <c r="J683" s="345"/>
      <c r="K683" s="317">
        <f t="shared" si="193"/>
        <v>0</v>
      </c>
      <c r="O683" s="348"/>
      <c r="S683" s="317">
        <f t="shared" si="195"/>
        <v>0</v>
      </c>
      <c r="BB683" s="352"/>
      <c r="BP683" s="345"/>
      <c r="BR683" s="347"/>
      <c r="BS683" s="337"/>
      <c r="CH683" s="337">
        <f t="shared" si="194"/>
        <v>0</v>
      </c>
      <c r="CL683" s="361">
        <f>+CM682</f>
        <v>40666</v>
      </c>
      <c r="CM683" s="361">
        <v>40668</v>
      </c>
      <c r="CN683" s="317">
        <f t="shared" si="189"/>
        <v>2</v>
      </c>
      <c r="CO683" s="368">
        <v>2.5999999999999999E-3</v>
      </c>
      <c r="CP683" s="346">
        <f t="shared" si="191"/>
        <v>5.1999999999999998E-3</v>
      </c>
      <c r="CQ683" s="365">
        <f>+CQ684</f>
        <v>2.0966000000000001E-3</v>
      </c>
      <c r="CR683" s="337">
        <f t="shared" si="188"/>
        <v>957.37074500000006</v>
      </c>
      <c r="CV683" s="337">
        <f t="shared" si="192"/>
        <v>1187.2</v>
      </c>
    </row>
    <row r="684" spans="10:100" x14ac:dyDescent="0.25">
      <c r="J684" s="345"/>
      <c r="K684" s="317">
        <f t="shared" si="193"/>
        <v>0</v>
      </c>
      <c r="O684" s="348"/>
      <c r="S684" s="317">
        <f t="shared" si="195"/>
        <v>0</v>
      </c>
      <c r="BB684" s="352"/>
      <c r="BP684" s="345"/>
      <c r="BR684" s="347"/>
      <c r="BS684" s="337"/>
      <c r="CH684" s="337">
        <f t="shared" si="194"/>
        <v>0</v>
      </c>
      <c r="CL684" s="361">
        <f>CM683</f>
        <v>40668</v>
      </c>
      <c r="CM684" s="361">
        <v>40675</v>
      </c>
      <c r="CN684" s="317">
        <f t="shared" si="189"/>
        <v>7</v>
      </c>
      <c r="CO684" s="368">
        <v>2.3E-3</v>
      </c>
      <c r="CP684" s="346">
        <f t="shared" si="191"/>
        <v>1.61E-2</v>
      </c>
      <c r="CQ684" s="365">
        <f>+CQ685</f>
        <v>2.0966000000000001E-3</v>
      </c>
      <c r="CR684" s="337">
        <f t="shared" si="188"/>
        <v>3350.7976079999999</v>
      </c>
      <c r="CV684" s="337">
        <f t="shared" si="192"/>
        <v>3675.9</v>
      </c>
    </row>
    <row r="685" spans="10:100" x14ac:dyDescent="0.25">
      <c r="J685" s="345"/>
      <c r="K685" s="317">
        <f t="shared" si="193"/>
        <v>0</v>
      </c>
      <c r="O685" s="348"/>
      <c r="S685" s="317">
        <f t="shared" si="195"/>
        <v>0</v>
      </c>
      <c r="BB685" s="352"/>
      <c r="BP685" s="345"/>
      <c r="BR685" s="347"/>
      <c r="BS685" s="337"/>
      <c r="CH685" s="337">
        <f t="shared" si="194"/>
        <v>0</v>
      </c>
      <c r="CL685" s="361">
        <f>CM684</f>
        <v>40675</v>
      </c>
      <c r="CM685" s="361">
        <v>40682</v>
      </c>
      <c r="CN685" s="317">
        <f t="shared" si="189"/>
        <v>7</v>
      </c>
      <c r="CO685" s="368">
        <v>2.0999999999999999E-3</v>
      </c>
      <c r="CP685" s="346">
        <f t="shared" si="191"/>
        <v>1.47E-2</v>
      </c>
      <c r="CQ685" s="365">
        <f>+CQ686</f>
        <v>2.0966000000000001E-3</v>
      </c>
      <c r="CR685" s="337">
        <f t="shared" si="188"/>
        <v>3350.7976079999999</v>
      </c>
      <c r="CV685" s="337">
        <f t="shared" si="192"/>
        <v>3356.2</v>
      </c>
    </row>
    <row r="686" spans="10:100" x14ac:dyDescent="0.25">
      <c r="J686" s="345"/>
      <c r="K686" s="317">
        <f t="shared" si="193"/>
        <v>0</v>
      </c>
      <c r="O686" s="348"/>
      <c r="S686" s="317">
        <f t="shared" si="195"/>
        <v>0</v>
      </c>
      <c r="BB686" s="352"/>
      <c r="BP686" s="345"/>
      <c r="BR686" s="347"/>
      <c r="BS686" s="337"/>
      <c r="CH686" s="337">
        <f t="shared" si="194"/>
        <v>0</v>
      </c>
      <c r="CL686" s="361">
        <f>CM685</f>
        <v>40682</v>
      </c>
      <c r="CM686" s="361">
        <v>40689</v>
      </c>
      <c r="CN686" s="317">
        <f t="shared" si="189"/>
        <v>7</v>
      </c>
      <c r="CO686" s="368">
        <v>2E-3</v>
      </c>
      <c r="CP686" s="346">
        <f t="shared" si="191"/>
        <v>1.4E-2</v>
      </c>
      <c r="CQ686" s="365">
        <f>+CQ687</f>
        <v>2.0966000000000001E-3</v>
      </c>
      <c r="CR686" s="337">
        <f t="shared" si="188"/>
        <v>3350.7976079999999</v>
      </c>
      <c r="CV686" s="337">
        <f t="shared" si="192"/>
        <v>3196.4</v>
      </c>
    </row>
    <row r="687" spans="10:100" x14ac:dyDescent="0.25">
      <c r="J687" s="345"/>
      <c r="K687" s="317">
        <f t="shared" si="193"/>
        <v>0</v>
      </c>
      <c r="O687" s="348"/>
      <c r="S687" s="317">
        <f t="shared" si="195"/>
        <v>0</v>
      </c>
      <c r="BB687" s="352"/>
      <c r="BP687" s="345"/>
      <c r="BR687" s="347"/>
      <c r="BS687" s="337"/>
      <c r="CH687" s="337">
        <f t="shared" si="194"/>
        <v>0</v>
      </c>
      <c r="CL687" s="361">
        <f>CM686</f>
        <v>40689</v>
      </c>
      <c r="CM687" s="361">
        <v>40695</v>
      </c>
      <c r="CN687" s="317">
        <f t="shared" si="189"/>
        <v>6</v>
      </c>
      <c r="CO687" s="368">
        <v>1.8E-3</v>
      </c>
      <c r="CP687" s="346">
        <f t="shared" si="191"/>
        <v>1.0800000000000001E-2</v>
      </c>
      <c r="CQ687" s="365">
        <f>ROUND(SUM(CP683:CP687)/29,7)</f>
        <v>2.0966000000000001E-3</v>
      </c>
      <c r="CR687" s="337">
        <f t="shared" si="188"/>
        <v>2872.1122359999999</v>
      </c>
      <c r="CS687" s="337">
        <f>(ROUND(SUM(CR683:CR687),2))</f>
        <v>13881.88</v>
      </c>
      <c r="CT687" s="337">
        <f>ROUND($CR$5*0.05495*DAYS360(CL683,CM687)/360,2)</f>
        <v>356164.53</v>
      </c>
      <c r="CU687" s="366">
        <f>CS687-CT687</f>
        <v>-342282.65</v>
      </c>
      <c r="CV687" s="337">
        <f t="shared" si="192"/>
        <v>2465.8000000000002</v>
      </c>
    </row>
    <row r="688" spans="10:100" x14ac:dyDescent="0.25">
      <c r="J688" s="345"/>
      <c r="K688" s="317">
        <f t="shared" si="193"/>
        <v>0</v>
      </c>
      <c r="O688" s="348"/>
      <c r="S688" s="317">
        <f t="shared" si="195"/>
        <v>0</v>
      </c>
      <c r="BB688" s="352"/>
      <c r="BP688" s="345"/>
      <c r="BR688" s="347"/>
      <c r="BS688" s="337"/>
      <c r="CH688" s="337">
        <f t="shared" si="194"/>
        <v>0</v>
      </c>
      <c r="CL688" s="361">
        <f>+CM687</f>
        <v>40695</v>
      </c>
      <c r="CM688" s="361">
        <v>40696</v>
      </c>
      <c r="CN688" s="317">
        <f t="shared" si="189"/>
        <v>1</v>
      </c>
      <c r="CO688" s="368">
        <v>1.8E-3</v>
      </c>
      <c r="CP688" s="346">
        <f t="shared" si="191"/>
        <v>1.8E-3</v>
      </c>
      <c r="CQ688" s="365">
        <f>+CQ689</f>
        <v>1.2800000000000001E-3</v>
      </c>
      <c r="CR688" s="337">
        <f t="shared" ref="CR688:CR723" si="196">ROUND($CR$5*CQ688*CN688/365,3)</f>
        <v>292.24299999999999</v>
      </c>
      <c r="CV688" s="337">
        <f t="shared" si="192"/>
        <v>411</v>
      </c>
    </row>
    <row r="689" spans="10:100" x14ac:dyDescent="0.25">
      <c r="J689" s="345"/>
      <c r="K689" s="317">
        <f t="shared" si="193"/>
        <v>0</v>
      </c>
      <c r="O689" s="348"/>
      <c r="S689" s="317">
        <f t="shared" si="195"/>
        <v>0</v>
      </c>
      <c r="BB689" s="352"/>
      <c r="BP689" s="345"/>
      <c r="BR689" s="347"/>
      <c r="BS689" s="337"/>
      <c r="CH689" s="337">
        <f t="shared" si="194"/>
        <v>0</v>
      </c>
      <c r="CL689" s="361">
        <f>CM688</f>
        <v>40696</v>
      </c>
      <c r="CM689" s="361">
        <v>40703</v>
      </c>
      <c r="CN689" s="317">
        <f t="shared" si="189"/>
        <v>7</v>
      </c>
      <c r="CO689" s="368">
        <v>1.5E-3</v>
      </c>
      <c r="CP689" s="346">
        <f t="shared" si="191"/>
        <v>1.0500000000000001E-2</v>
      </c>
      <c r="CQ689" s="365">
        <f>+CQ690</f>
        <v>1.2800000000000001E-3</v>
      </c>
      <c r="CR689" s="337">
        <f t="shared" si="196"/>
        <v>2045.703</v>
      </c>
      <c r="CV689" s="337">
        <f t="shared" si="192"/>
        <v>2397.3000000000002</v>
      </c>
    </row>
    <row r="690" spans="10:100" x14ac:dyDescent="0.25">
      <c r="J690" s="345"/>
      <c r="K690" s="317">
        <f t="shared" si="193"/>
        <v>0</v>
      </c>
      <c r="O690" s="348"/>
      <c r="S690" s="317">
        <f t="shared" si="195"/>
        <v>0</v>
      </c>
      <c r="BB690" s="352"/>
      <c r="BP690" s="345"/>
      <c r="BR690" s="347"/>
      <c r="BS690" s="337"/>
      <c r="CH690" s="337">
        <f t="shared" si="194"/>
        <v>0</v>
      </c>
      <c r="CL690" s="361">
        <f>CM689</f>
        <v>40703</v>
      </c>
      <c r="CM690" s="361">
        <v>40710</v>
      </c>
      <c r="CN690" s="317">
        <f t="shared" si="189"/>
        <v>7</v>
      </c>
      <c r="CO690" s="368">
        <v>1.2999999999999999E-3</v>
      </c>
      <c r="CP690" s="346">
        <f t="shared" si="191"/>
        <v>9.1000000000000004E-3</v>
      </c>
      <c r="CQ690" s="365">
        <f>+CQ691</f>
        <v>1.2800000000000001E-3</v>
      </c>
      <c r="CR690" s="337">
        <f t="shared" si="196"/>
        <v>2045.703</v>
      </c>
      <c r="CV690" s="337">
        <f t="shared" si="192"/>
        <v>2077.6999999999998</v>
      </c>
    </row>
    <row r="691" spans="10:100" x14ac:dyDescent="0.25">
      <c r="J691" s="345"/>
      <c r="K691" s="317">
        <f t="shared" si="193"/>
        <v>0</v>
      </c>
      <c r="O691" s="348"/>
      <c r="S691" s="317">
        <f t="shared" si="195"/>
        <v>0</v>
      </c>
      <c r="BB691" s="352"/>
      <c r="BP691" s="345"/>
      <c r="BR691" s="347"/>
      <c r="BS691" s="337"/>
      <c r="CH691" s="337">
        <f t="shared" si="194"/>
        <v>0</v>
      </c>
      <c r="CL691" s="361">
        <f>CM690</f>
        <v>40710</v>
      </c>
      <c r="CM691" s="361">
        <v>40717</v>
      </c>
      <c r="CN691" s="317">
        <f t="shared" si="189"/>
        <v>7</v>
      </c>
      <c r="CO691" s="368">
        <v>1.1999999999999999E-3</v>
      </c>
      <c r="CP691" s="346">
        <f t="shared" si="191"/>
        <v>8.3999999999999995E-3</v>
      </c>
      <c r="CQ691" s="365">
        <f>+CQ692</f>
        <v>1.2800000000000001E-3</v>
      </c>
      <c r="CR691" s="337">
        <f t="shared" si="196"/>
        <v>2045.703</v>
      </c>
      <c r="CV691" s="337">
        <f t="shared" si="192"/>
        <v>1917.8</v>
      </c>
    </row>
    <row r="692" spans="10:100" x14ac:dyDescent="0.25">
      <c r="J692" s="345"/>
      <c r="K692" s="317">
        <f t="shared" si="193"/>
        <v>0</v>
      </c>
      <c r="O692" s="348"/>
      <c r="S692" s="317">
        <f t="shared" si="195"/>
        <v>0</v>
      </c>
      <c r="BB692" s="352"/>
      <c r="BP692" s="345"/>
      <c r="BR692" s="347"/>
      <c r="BS692" s="337"/>
      <c r="CH692" s="337">
        <f t="shared" si="194"/>
        <v>0</v>
      </c>
      <c r="CL692" s="361">
        <f>CM691</f>
        <v>40717</v>
      </c>
      <c r="CM692" s="361">
        <v>40724</v>
      </c>
      <c r="CN692" s="317">
        <f t="shared" si="189"/>
        <v>7</v>
      </c>
      <c r="CO692" s="368">
        <v>1.1000000000000001E-3</v>
      </c>
      <c r="CP692" s="346">
        <f t="shared" si="191"/>
        <v>7.7000000000000002E-3</v>
      </c>
      <c r="CQ692" s="365">
        <f>+CQ693</f>
        <v>1.2800000000000001E-3</v>
      </c>
      <c r="CR692" s="337">
        <f t="shared" si="196"/>
        <v>2045.703</v>
      </c>
      <c r="CS692" s="337"/>
      <c r="CT692" s="337"/>
      <c r="CU692" s="366"/>
      <c r="CV692" s="337">
        <f t="shared" si="192"/>
        <v>1758</v>
      </c>
    </row>
    <row r="693" spans="10:100" x14ac:dyDescent="0.25">
      <c r="J693" s="345"/>
      <c r="K693" s="317">
        <f t="shared" si="193"/>
        <v>0</v>
      </c>
      <c r="O693" s="348"/>
      <c r="S693" s="317">
        <f t="shared" si="195"/>
        <v>0</v>
      </c>
      <c r="BB693" s="352"/>
      <c r="BP693" s="345"/>
      <c r="BR693" s="347"/>
      <c r="BS693" s="337"/>
      <c r="CH693" s="337">
        <f t="shared" si="194"/>
        <v>0</v>
      </c>
      <c r="CL693" s="361">
        <f>CM692</f>
        <v>40724</v>
      </c>
      <c r="CM693" s="361">
        <v>40725</v>
      </c>
      <c r="CN693" s="317">
        <f t="shared" si="189"/>
        <v>1</v>
      </c>
      <c r="CO693" s="368">
        <v>8.9999999999999998E-4</v>
      </c>
      <c r="CP693" s="346">
        <f t="shared" si="191"/>
        <v>8.9999999999999998E-4</v>
      </c>
      <c r="CQ693" s="365">
        <f>ROUND(SUM(CP688:CP693)/30,7)</f>
        <v>1.2800000000000001E-3</v>
      </c>
      <c r="CR693" s="337">
        <f t="shared" si="196"/>
        <v>292.24299999999999</v>
      </c>
      <c r="CS693" s="337">
        <f>(ROUND(SUM(CR688:CR693),5))</f>
        <v>8767.2980000000007</v>
      </c>
      <c r="CT693" s="337">
        <f>ROUND($CR$5*0.05495*DAYS360(CL688,CM693)/360,3)</f>
        <v>381604.85399999999</v>
      </c>
      <c r="CU693" s="366">
        <f>CS693-CT693</f>
        <v>-372837.55599999998</v>
      </c>
      <c r="CV693" s="337">
        <f t="shared" si="192"/>
        <v>205.5</v>
      </c>
    </row>
    <row r="694" spans="10:100" x14ac:dyDescent="0.25">
      <c r="J694" s="345"/>
      <c r="K694" s="317">
        <f t="shared" si="193"/>
        <v>0</v>
      </c>
      <c r="O694" s="348"/>
      <c r="S694" s="317">
        <f t="shared" si="195"/>
        <v>0</v>
      </c>
      <c r="BB694" s="352"/>
      <c r="BP694" s="345"/>
      <c r="BR694" s="347"/>
      <c r="BS694" s="337"/>
      <c r="CH694" s="337">
        <f t="shared" si="194"/>
        <v>0</v>
      </c>
      <c r="CL694" s="361">
        <f>+CM693</f>
        <v>40725</v>
      </c>
      <c r="CM694" s="361">
        <v>40731</v>
      </c>
      <c r="CN694" s="317">
        <f t="shared" si="189"/>
        <v>6</v>
      </c>
      <c r="CO694" s="368">
        <v>8.9999999999999998E-4</v>
      </c>
      <c r="CP694" s="346">
        <f t="shared" si="191"/>
        <v>5.4000000000000003E-3</v>
      </c>
      <c r="CQ694" s="365">
        <f>+CQ695</f>
        <v>7.7419999999999995E-4</v>
      </c>
      <c r="CR694" s="337">
        <f t="shared" si="196"/>
        <v>1060.569</v>
      </c>
      <c r="CV694" s="337">
        <f t="shared" si="192"/>
        <v>1232.9000000000001</v>
      </c>
    </row>
    <row r="695" spans="10:100" x14ac:dyDescent="0.25">
      <c r="J695" s="345"/>
      <c r="K695" s="317">
        <f t="shared" si="193"/>
        <v>0</v>
      </c>
      <c r="O695" s="348"/>
      <c r="S695" s="317">
        <f t="shared" si="195"/>
        <v>0</v>
      </c>
      <c r="BB695" s="352"/>
      <c r="BP695" s="345"/>
      <c r="BR695" s="347"/>
      <c r="BS695" s="337"/>
      <c r="CH695" s="337">
        <f t="shared" si="194"/>
        <v>0</v>
      </c>
      <c r="CL695" s="361">
        <f>CM694</f>
        <v>40731</v>
      </c>
      <c r="CM695" s="361">
        <v>40738</v>
      </c>
      <c r="CN695" s="317">
        <f t="shared" si="189"/>
        <v>7</v>
      </c>
      <c r="CO695" s="368">
        <v>8.0000000000000004E-4</v>
      </c>
      <c r="CP695" s="346">
        <f t="shared" si="191"/>
        <v>5.5999999999999999E-3</v>
      </c>
      <c r="CQ695" s="365">
        <f>+CQ696</f>
        <v>7.7419999999999995E-4</v>
      </c>
      <c r="CR695" s="337">
        <f t="shared" si="196"/>
        <v>1237.3309999999999</v>
      </c>
      <c r="CV695" s="337">
        <f t="shared" si="192"/>
        <v>1278.5999999999999</v>
      </c>
    </row>
    <row r="696" spans="10:100" x14ac:dyDescent="0.25">
      <c r="J696" s="345"/>
      <c r="K696" s="317">
        <f t="shared" si="193"/>
        <v>0</v>
      </c>
      <c r="O696" s="348"/>
      <c r="S696" s="317">
        <f t="shared" si="195"/>
        <v>0</v>
      </c>
      <c r="BB696" s="352"/>
      <c r="BP696" s="345"/>
      <c r="BR696" s="347"/>
      <c r="BS696" s="337"/>
      <c r="CH696" s="337">
        <f t="shared" si="194"/>
        <v>0</v>
      </c>
      <c r="CL696" s="361">
        <f>CM695</f>
        <v>40738</v>
      </c>
      <c r="CM696" s="361">
        <v>40745</v>
      </c>
      <c r="CN696" s="317">
        <f t="shared" si="189"/>
        <v>7</v>
      </c>
      <c r="CO696" s="368">
        <v>6.9999999999999999E-4</v>
      </c>
      <c r="CP696" s="346">
        <f t="shared" si="191"/>
        <v>4.8999999999999998E-3</v>
      </c>
      <c r="CQ696" s="365">
        <f>+CQ697</f>
        <v>7.7419999999999995E-4</v>
      </c>
      <c r="CR696" s="337">
        <f t="shared" si="196"/>
        <v>1237.3309999999999</v>
      </c>
      <c r="CV696" s="337">
        <f t="shared" si="192"/>
        <v>1118.7</v>
      </c>
    </row>
    <row r="697" spans="10:100" x14ac:dyDescent="0.25">
      <c r="J697" s="345"/>
      <c r="K697" s="317">
        <f t="shared" si="193"/>
        <v>0</v>
      </c>
      <c r="O697" s="348"/>
      <c r="S697" s="317">
        <f t="shared" si="195"/>
        <v>0</v>
      </c>
      <c r="BB697" s="352"/>
      <c r="BP697" s="345"/>
      <c r="BR697" s="347"/>
      <c r="BS697" s="337"/>
      <c r="CH697" s="337">
        <f t="shared" si="194"/>
        <v>0</v>
      </c>
      <c r="CL697" s="361">
        <f>CM696</f>
        <v>40745</v>
      </c>
      <c r="CM697" s="361">
        <v>40752</v>
      </c>
      <c r="CN697" s="317">
        <f t="shared" ref="CN697:CN760" si="197">CM697-CL697</f>
        <v>7</v>
      </c>
      <c r="CO697" s="368">
        <v>6.9999999999999999E-4</v>
      </c>
      <c r="CP697" s="346">
        <f t="shared" si="191"/>
        <v>4.8999999999999998E-3</v>
      </c>
      <c r="CQ697" s="365">
        <f>+CQ698</f>
        <v>7.7419999999999995E-4</v>
      </c>
      <c r="CR697" s="337">
        <f t="shared" si="196"/>
        <v>1237.3309999999999</v>
      </c>
      <c r="CV697" s="337">
        <f t="shared" si="192"/>
        <v>1118.7</v>
      </c>
    </row>
    <row r="698" spans="10:100" x14ac:dyDescent="0.25">
      <c r="J698" s="345"/>
      <c r="K698" s="317">
        <f t="shared" si="193"/>
        <v>0</v>
      </c>
      <c r="O698" s="348"/>
      <c r="S698" s="317">
        <f t="shared" si="195"/>
        <v>0</v>
      </c>
      <c r="BB698" s="352"/>
      <c r="BP698" s="345"/>
      <c r="BR698" s="347"/>
      <c r="BS698" s="337"/>
      <c r="CH698" s="337">
        <f t="shared" si="194"/>
        <v>0</v>
      </c>
      <c r="CL698" s="361">
        <f>CM697</f>
        <v>40752</v>
      </c>
      <c r="CM698" s="361">
        <v>40756</v>
      </c>
      <c r="CN698" s="317">
        <f t="shared" si="197"/>
        <v>4</v>
      </c>
      <c r="CO698" s="368">
        <v>8.0000000000000004E-4</v>
      </c>
      <c r="CP698" s="346">
        <f t="shared" si="191"/>
        <v>3.2000000000000002E-3</v>
      </c>
      <c r="CQ698" s="365">
        <f>ROUND(SUM(CP694:CP698)/31,7)</f>
        <v>7.7419999999999995E-4</v>
      </c>
      <c r="CR698" s="337">
        <f t="shared" si="196"/>
        <v>707.04600000000005</v>
      </c>
      <c r="CS698" s="337">
        <f>(ROUND(SUM(CR694:CR698),5))</f>
        <v>5479.6080000000002</v>
      </c>
      <c r="CT698" s="337">
        <f>ROUND($CR$5*0.05495*DAYS360(CL694,CM698)/360,2)</f>
        <v>381604.85</v>
      </c>
      <c r="CU698" s="366">
        <f>CS698-CT698</f>
        <v>-376125.24199999997</v>
      </c>
      <c r="CV698" s="337">
        <f t="shared" si="192"/>
        <v>730.6</v>
      </c>
    </row>
    <row r="699" spans="10:100" x14ac:dyDescent="0.25">
      <c r="J699" s="345"/>
      <c r="K699" s="317">
        <f t="shared" si="193"/>
        <v>0</v>
      </c>
      <c r="O699" s="348"/>
      <c r="S699" s="317">
        <f t="shared" si="195"/>
        <v>0</v>
      </c>
      <c r="BB699" s="352"/>
      <c r="BP699" s="345"/>
      <c r="BR699" s="347"/>
      <c r="BS699" s="337"/>
      <c r="CH699" s="337">
        <f t="shared" si="194"/>
        <v>0</v>
      </c>
      <c r="CL699" s="361">
        <f>+CM698</f>
        <v>40756</v>
      </c>
      <c r="CM699" s="361">
        <v>40759</v>
      </c>
      <c r="CN699" s="317">
        <f t="shared" si="197"/>
        <v>3</v>
      </c>
      <c r="CO699" s="368">
        <v>8.0000000000000004E-4</v>
      </c>
      <c r="CP699" s="346">
        <f t="shared" si="191"/>
        <v>2.4000000000000002E-3</v>
      </c>
      <c r="CQ699" s="365">
        <f>+CQ700</f>
        <v>1.8161E-3</v>
      </c>
      <c r="CR699" s="337">
        <f t="shared" si="196"/>
        <v>1243.9290000000001</v>
      </c>
      <c r="CV699" s="337">
        <f t="shared" si="192"/>
        <v>548</v>
      </c>
    </row>
    <row r="700" spans="10:100" x14ac:dyDescent="0.25">
      <c r="J700" s="345"/>
      <c r="K700" s="317">
        <f t="shared" si="193"/>
        <v>0</v>
      </c>
      <c r="O700" s="348"/>
      <c r="S700" s="317">
        <f t="shared" si="195"/>
        <v>0</v>
      </c>
      <c r="BB700" s="352"/>
      <c r="BP700" s="345"/>
      <c r="BR700" s="347"/>
      <c r="BS700" s="337"/>
      <c r="CH700" s="337">
        <f t="shared" si="194"/>
        <v>0</v>
      </c>
      <c r="CL700" s="361">
        <f>CM699</f>
        <v>40759</v>
      </c>
      <c r="CM700" s="361">
        <v>40766</v>
      </c>
      <c r="CN700" s="317">
        <f t="shared" si="197"/>
        <v>7</v>
      </c>
      <c r="CO700" s="368">
        <v>1.8E-3</v>
      </c>
      <c r="CP700" s="346">
        <f t="shared" si="191"/>
        <v>1.26E-2</v>
      </c>
      <c r="CQ700" s="365">
        <f>+CQ701</f>
        <v>1.8161E-3</v>
      </c>
      <c r="CR700" s="337">
        <f t="shared" si="196"/>
        <v>2902.5010000000002</v>
      </c>
      <c r="CV700" s="337">
        <f t="shared" si="192"/>
        <v>2876.8</v>
      </c>
    </row>
    <row r="701" spans="10:100" x14ac:dyDescent="0.25">
      <c r="J701" s="345"/>
      <c r="K701" s="317">
        <f t="shared" si="193"/>
        <v>0</v>
      </c>
      <c r="O701" s="348"/>
      <c r="S701" s="317">
        <f t="shared" si="195"/>
        <v>0</v>
      </c>
      <c r="BB701" s="352"/>
      <c r="BR701" s="347"/>
      <c r="BS701" s="337"/>
      <c r="CH701" s="337">
        <f t="shared" si="194"/>
        <v>0</v>
      </c>
      <c r="CL701" s="361">
        <f>CM700</f>
        <v>40766</v>
      </c>
      <c r="CM701" s="361">
        <v>40773</v>
      </c>
      <c r="CN701" s="317">
        <f t="shared" si="197"/>
        <v>7</v>
      </c>
      <c r="CO701" s="368">
        <v>1.8E-3</v>
      </c>
      <c r="CP701" s="346">
        <f t="shared" si="191"/>
        <v>1.26E-2</v>
      </c>
      <c r="CQ701" s="365">
        <f>+CQ702</f>
        <v>1.8161E-3</v>
      </c>
      <c r="CR701" s="337">
        <f t="shared" si="196"/>
        <v>2902.5010000000002</v>
      </c>
      <c r="CV701" s="337">
        <f t="shared" si="192"/>
        <v>2876.8</v>
      </c>
    </row>
    <row r="702" spans="10:100" x14ac:dyDescent="0.25">
      <c r="J702" s="345"/>
      <c r="K702" s="317">
        <f t="shared" si="193"/>
        <v>0</v>
      </c>
      <c r="O702" s="348"/>
      <c r="S702" s="317">
        <f t="shared" si="195"/>
        <v>0</v>
      </c>
      <c r="BB702" s="352"/>
      <c r="BR702" s="347"/>
      <c r="BS702" s="337"/>
      <c r="CH702" s="337">
        <f t="shared" si="194"/>
        <v>0</v>
      </c>
      <c r="CL702" s="361">
        <f>CM701</f>
        <v>40773</v>
      </c>
      <c r="CM702" s="361">
        <v>40780</v>
      </c>
      <c r="CN702" s="317">
        <f t="shared" si="197"/>
        <v>7</v>
      </c>
      <c r="CO702" s="368">
        <v>2E-3</v>
      </c>
      <c r="CP702" s="346">
        <f t="shared" si="191"/>
        <v>1.4E-2</v>
      </c>
      <c r="CQ702" s="365">
        <f>+CQ703</f>
        <v>1.8161E-3</v>
      </c>
      <c r="CR702" s="337">
        <f t="shared" si="196"/>
        <v>2902.5010000000002</v>
      </c>
      <c r="CV702" s="337">
        <f t="shared" si="192"/>
        <v>3196.4</v>
      </c>
    </row>
    <row r="703" spans="10:100" x14ac:dyDescent="0.25">
      <c r="J703" s="345"/>
      <c r="K703" s="317">
        <f t="shared" si="193"/>
        <v>0</v>
      </c>
      <c r="O703" s="348"/>
      <c r="S703" s="317">
        <f t="shared" si="195"/>
        <v>0</v>
      </c>
      <c r="BB703" s="352"/>
      <c r="BR703" s="347"/>
      <c r="BS703" s="337"/>
      <c r="CH703" s="337">
        <f t="shared" si="194"/>
        <v>0</v>
      </c>
      <c r="CL703" s="361">
        <f>CM702</f>
        <v>40780</v>
      </c>
      <c r="CM703" s="361">
        <v>40787</v>
      </c>
      <c r="CN703" s="317">
        <f t="shared" si="197"/>
        <v>7</v>
      </c>
      <c r="CO703" s="368">
        <v>2.0999999999999999E-3</v>
      </c>
      <c r="CP703" s="346">
        <f t="shared" si="191"/>
        <v>1.47E-2</v>
      </c>
      <c r="CQ703" s="365">
        <f>ROUND(SUM(CP699:CP703)/31,7)</f>
        <v>1.8161E-3</v>
      </c>
      <c r="CR703" s="337">
        <f t="shared" si="196"/>
        <v>2902.5010000000002</v>
      </c>
      <c r="CS703" s="337">
        <f>(ROUND(SUM(CR699:CR703),5))</f>
        <v>12853.933000000001</v>
      </c>
      <c r="CT703" s="337">
        <f>ROUND($CR$5*0.05495*DAYS360(CL699,CM703)/360,2)</f>
        <v>381604.85</v>
      </c>
      <c r="CU703" s="366">
        <f>CS703-CT703</f>
        <v>-368750.91699999996</v>
      </c>
      <c r="CV703" s="337">
        <f t="shared" si="192"/>
        <v>3356.2</v>
      </c>
    </row>
    <row r="704" spans="10:100" x14ac:dyDescent="0.25">
      <c r="J704" s="345"/>
      <c r="K704" s="317">
        <f t="shared" si="193"/>
        <v>0</v>
      </c>
      <c r="O704" s="348"/>
      <c r="S704" s="317">
        <f t="shared" si="195"/>
        <v>0</v>
      </c>
      <c r="BB704" s="352"/>
      <c r="BR704" s="347"/>
      <c r="BS704" s="337"/>
      <c r="CH704" s="337">
        <f t="shared" si="194"/>
        <v>0</v>
      </c>
      <c r="CL704" s="361">
        <f>+CM703</f>
        <v>40787</v>
      </c>
      <c r="CM704" s="361">
        <v>40794</v>
      </c>
      <c r="CN704" s="317">
        <f t="shared" si="197"/>
        <v>7</v>
      </c>
      <c r="CO704" s="368">
        <v>1.8E-3</v>
      </c>
      <c r="CP704" s="346">
        <f t="shared" si="191"/>
        <v>1.26E-2</v>
      </c>
      <c r="CQ704" s="365">
        <f>+CQ705</f>
        <v>1.6437999999999999E-3</v>
      </c>
      <c r="CR704" s="337">
        <f t="shared" si="196"/>
        <v>2627.13</v>
      </c>
      <c r="CV704" s="337">
        <f t="shared" si="192"/>
        <v>2876.8</v>
      </c>
    </row>
    <row r="705" spans="10:100" x14ac:dyDescent="0.25">
      <c r="J705" s="345"/>
      <c r="K705" s="317">
        <f t="shared" si="193"/>
        <v>0</v>
      </c>
      <c r="O705" s="348"/>
      <c r="S705" s="317">
        <f t="shared" si="195"/>
        <v>0</v>
      </c>
      <c r="BB705" s="352"/>
      <c r="BR705" s="347"/>
      <c r="BS705" s="337"/>
      <c r="CH705" s="337">
        <f t="shared" si="194"/>
        <v>0</v>
      </c>
      <c r="CL705" s="361">
        <f>CM704</f>
        <v>40794</v>
      </c>
      <c r="CM705" s="361">
        <v>40801</v>
      </c>
      <c r="CN705" s="317">
        <f t="shared" si="197"/>
        <v>7</v>
      </c>
      <c r="CO705" s="368">
        <v>1.5E-3</v>
      </c>
      <c r="CP705" s="346">
        <f t="shared" si="191"/>
        <v>1.0500000000000001E-2</v>
      </c>
      <c r="CQ705" s="365">
        <f>+CQ706</f>
        <v>1.6437999999999999E-3</v>
      </c>
      <c r="CR705" s="337">
        <f t="shared" si="196"/>
        <v>2627.13</v>
      </c>
      <c r="CV705" s="337">
        <f t="shared" si="192"/>
        <v>2397.3000000000002</v>
      </c>
    </row>
    <row r="706" spans="10:100" x14ac:dyDescent="0.25">
      <c r="J706" s="345"/>
      <c r="K706" s="317">
        <f t="shared" si="193"/>
        <v>0</v>
      </c>
      <c r="O706" s="348"/>
      <c r="S706" s="317">
        <f t="shared" si="195"/>
        <v>0</v>
      </c>
      <c r="BB706" s="352"/>
      <c r="BR706" s="347"/>
      <c r="BS706" s="337"/>
      <c r="CH706" s="337">
        <f t="shared" si="194"/>
        <v>0</v>
      </c>
      <c r="CL706" s="361">
        <f>CM705</f>
        <v>40801</v>
      </c>
      <c r="CM706" s="361">
        <v>40808</v>
      </c>
      <c r="CN706" s="317">
        <f t="shared" si="197"/>
        <v>7</v>
      </c>
      <c r="CO706" s="368">
        <v>1.6000000000000001E-3</v>
      </c>
      <c r="CP706" s="346">
        <f t="shared" ref="CP706:CP769" si="198">CN706*CO706</f>
        <v>1.12E-2</v>
      </c>
      <c r="CQ706" s="365">
        <f>+CQ707</f>
        <v>1.6437999999999999E-3</v>
      </c>
      <c r="CR706" s="337">
        <f t="shared" si="196"/>
        <v>2627.13</v>
      </c>
      <c r="CV706" s="337">
        <f t="shared" si="192"/>
        <v>2557.1</v>
      </c>
    </row>
    <row r="707" spans="10:100" x14ac:dyDescent="0.25">
      <c r="J707" s="345"/>
      <c r="K707" s="317">
        <f t="shared" si="193"/>
        <v>0</v>
      </c>
      <c r="O707" s="348"/>
      <c r="S707" s="317">
        <f t="shared" si="195"/>
        <v>0</v>
      </c>
      <c r="BB707" s="352"/>
      <c r="BR707" s="347"/>
      <c r="BS707" s="337"/>
      <c r="CH707" s="337">
        <f t="shared" si="194"/>
        <v>0</v>
      </c>
      <c r="CL707" s="361">
        <f>CM706</f>
        <v>40808</v>
      </c>
      <c r="CM707" s="361">
        <v>40815</v>
      </c>
      <c r="CN707" s="317">
        <f t="shared" si="197"/>
        <v>7</v>
      </c>
      <c r="CO707" s="368">
        <v>1.6999999999999999E-3</v>
      </c>
      <c r="CP707" s="346">
        <f t="shared" si="198"/>
        <v>1.1899999999999999E-2</v>
      </c>
      <c r="CQ707" s="365">
        <f>+CQ708</f>
        <v>1.6437999999999999E-3</v>
      </c>
      <c r="CR707" s="337">
        <f t="shared" si="196"/>
        <v>2627.13</v>
      </c>
      <c r="CV707" s="337">
        <f t="shared" si="192"/>
        <v>2716.9</v>
      </c>
    </row>
    <row r="708" spans="10:100" x14ac:dyDescent="0.25">
      <c r="J708" s="345"/>
      <c r="K708" s="317">
        <f t="shared" si="193"/>
        <v>0</v>
      </c>
      <c r="O708" s="348"/>
      <c r="S708" s="317">
        <f t="shared" si="195"/>
        <v>0</v>
      </c>
      <c r="BB708" s="352"/>
      <c r="BR708" s="347"/>
      <c r="BS708" s="337"/>
      <c r="CH708" s="337">
        <f t="shared" si="194"/>
        <v>0</v>
      </c>
      <c r="CL708" s="361">
        <f>CM707</f>
        <v>40815</v>
      </c>
      <c r="CM708" s="361">
        <v>40819</v>
      </c>
      <c r="CN708" s="317">
        <f t="shared" si="197"/>
        <v>4</v>
      </c>
      <c r="CO708" s="368">
        <v>1.6000000000000001E-3</v>
      </c>
      <c r="CP708" s="346">
        <f t="shared" si="198"/>
        <v>6.4000000000000003E-3</v>
      </c>
      <c r="CQ708" s="365">
        <f>ROUND(SUM(CP704:CP708)/32,7)</f>
        <v>1.6437999999999999E-3</v>
      </c>
      <c r="CR708" s="337">
        <f t="shared" si="196"/>
        <v>1501.2170000000001</v>
      </c>
      <c r="CS708" s="337">
        <f>(ROUND(SUM(CR704:CR708),5))</f>
        <v>12009.736999999999</v>
      </c>
      <c r="CT708" s="337">
        <f>ROUND($CR$5*0.05495*DAYS360(CL704,CM708)/360,2)</f>
        <v>407045.18</v>
      </c>
      <c r="CU708" s="366">
        <f>CS708-CT708</f>
        <v>-395035.44299999997</v>
      </c>
      <c r="CV708" s="337">
        <f t="shared" ref="CV708:CV764" si="199">ROUND($CR$5*CO708*CN708/365,1)</f>
        <v>1461.2</v>
      </c>
    </row>
    <row r="709" spans="10:100" x14ac:dyDescent="0.25">
      <c r="J709" s="345"/>
      <c r="K709" s="317">
        <f t="shared" si="193"/>
        <v>0</v>
      </c>
      <c r="O709" s="348"/>
      <c r="S709" s="317">
        <f t="shared" si="195"/>
        <v>0</v>
      </c>
      <c r="BB709" s="352"/>
      <c r="BR709" s="347"/>
      <c r="BS709" s="337"/>
      <c r="CH709" s="337">
        <f t="shared" si="194"/>
        <v>0</v>
      </c>
      <c r="CL709" s="361">
        <f>+CM708</f>
        <v>40819</v>
      </c>
      <c r="CM709" s="361">
        <v>40822</v>
      </c>
      <c r="CN709" s="317">
        <f t="shared" si="197"/>
        <v>3</v>
      </c>
      <c r="CO709" s="368">
        <v>1.6000000000000001E-3</v>
      </c>
      <c r="CP709" s="346">
        <f t="shared" si="198"/>
        <v>4.8000000000000004E-3</v>
      </c>
      <c r="CQ709" s="365">
        <f>+CQ710</f>
        <v>1.4207E-3</v>
      </c>
      <c r="CR709" s="337">
        <f t="shared" si="196"/>
        <v>973.10199999999998</v>
      </c>
      <c r="CV709" s="337">
        <f t="shared" si="199"/>
        <v>1095.9000000000001</v>
      </c>
    </row>
    <row r="710" spans="10:100" x14ac:dyDescent="0.25">
      <c r="J710" s="345"/>
      <c r="K710" s="317">
        <f t="shared" si="193"/>
        <v>0</v>
      </c>
      <c r="O710" s="348"/>
      <c r="S710" s="317">
        <f t="shared" si="195"/>
        <v>0</v>
      </c>
      <c r="BB710" s="352"/>
      <c r="BR710" s="347"/>
      <c r="BS710" s="337"/>
      <c r="CH710" s="337">
        <f t="shared" si="194"/>
        <v>0</v>
      </c>
      <c r="CL710" s="361">
        <f>CM709</f>
        <v>40822</v>
      </c>
      <c r="CM710" s="361">
        <v>40829</v>
      </c>
      <c r="CN710" s="317">
        <f t="shared" si="197"/>
        <v>7</v>
      </c>
      <c r="CO710" s="368">
        <v>1.4E-3</v>
      </c>
      <c r="CP710" s="346">
        <f t="shared" si="198"/>
        <v>9.7999999999999997E-3</v>
      </c>
      <c r="CQ710" s="365">
        <f>+CQ711</f>
        <v>1.4207E-3</v>
      </c>
      <c r="CR710" s="337">
        <f t="shared" si="196"/>
        <v>2270.5709999999999</v>
      </c>
      <c r="CV710" s="337">
        <f t="shared" si="199"/>
        <v>2237.5</v>
      </c>
    </row>
    <row r="711" spans="10:100" x14ac:dyDescent="0.25">
      <c r="J711" s="345"/>
      <c r="K711" s="317">
        <f t="shared" si="193"/>
        <v>0</v>
      </c>
      <c r="O711" s="348"/>
      <c r="S711" s="317">
        <f t="shared" si="195"/>
        <v>0</v>
      </c>
      <c r="BB711" s="352"/>
      <c r="BR711" s="347"/>
      <c r="BS711" s="337"/>
      <c r="CH711" s="337">
        <f t="shared" si="194"/>
        <v>0</v>
      </c>
      <c r="CL711" s="361">
        <f>CM710</f>
        <v>40829</v>
      </c>
      <c r="CM711" s="361">
        <v>40836</v>
      </c>
      <c r="CN711" s="317">
        <f t="shared" si="197"/>
        <v>7</v>
      </c>
      <c r="CO711" s="368">
        <v>1.4E-3</v>
      </c>
      <c r="CP711" s="346">
        <f t="shared" si="198"/>
        <v>9.7999999999999997E-3</v>
      </c>
      <c r="CQ711" s="365">
        <f>+CQ712</f>
        <v>1.4207E-3</v>
      </c>
      <c r="CR711" s="337">
        <f t="shared" si="196"/>
        <v>2270.5709999999999</v>
      </c>
      <c r="CV711" s="337">
        <f t="shared" si="199"/>
        <v>2237.5</v>
      </c>
    </row>
    <row r="712" spans="10:100" x14ac:dyDescent="0.25">
      <c r="J712" s="345"/>
      <c r="K712" s="317">
        <f t="shared" si="193"/>
        <v>0</v>
      </c>
      <c r="O712" s="348"/>
      <c r="S712" s="317">
        <f t="shared" si="195"/>
        <v>0</v>
      </c>
      <c r="BB712" s="352"/>
      <c r="BR712" s="347"/>
      <c r="BS712" s="337"/>
      <c r="CH712" s="337">
        <f t="shared" si="194"/>
        <v>0</v>
      </c>
      <c r="CL712" s="361">
        <f>CM711</f>
        <v>40836</v>
      </c>
      <c r="CM712" s="361">
        <v>40843</v>
      </c>
      <c r="CN712" s="317">
        <f t="shared" si="197"/>
        <v>7</v>
      </c>
      <c r="CO712" s="368">
        <v>1.4E-3</v>
      </c>
      <c r="CP712" s="346">
        <f t="shared" si="198"/>
        <v>9.7999999999999997E-3</v>
      </c>
      <c r="CQ712" s="365">
        <f>+CQ713</f>
        <v>1.4207E-3</v>
      </c>
      <c r="CR712" s="337">
        <f t="shared" si="196"/>
        <v>2270.5709999999999</v>
      </c>
      <c r="CV712" s="337">
        <f t="shared" si="199"/>
        <v>2237.5</v>
      </c>
    </row>
    <row r="713" spans="10:100" x14ac:dyDescent="0.25">
      <c r="J713" s="345"/>
      <c r="K713" s="317">
        <f t="shared" si="193"/>
        <v>0</v>
      </c>
      <c r="O713" s="348"/>
      <c r="S713" s="317">
        <f t="shared" si="195"/>
        <v>0</v>
      </c>
      <c r="BB713" s="352"/>
      <c r="BR713" s="347"/>
      <c r="BS713" s="337"/>
      <c r="CH713" s="337">
        <f t="shared" si="194"/>
        <v>0</v>
      </c>
      <c r="CL713" s="361">
        <f>CM712</f>
        <v>40843</v>
      </c>
      <c r="CM713" s="361">
        <v>40848</v>
      </c>
      <c r="CN713" s="317">
        <f t="shared" si="197"/>
        <v>5</v>
      </c>
      <c r="CO713" s="368">
        <v>1.4E-3</v>
      </c>
      <c r="CP713" s="346">
        <f t="shared" si="198"/>
        <v>7.0000000000000001E-3</v>
      </c>
      <c r="CQ713" s="365">
        <f>ROUND(SUM(CP709:CP713)/29,7)</f>
        <v>1.4207E-3</v>
      </c>
      <c r="CR713" s="337">
        <f t="shared" si="196"/>
        <v>1621.836</v>
      </c>
      <c r="CS713" s="337">
        <f>(ROUND(SUM(CR709:CR713),5))</f>
        <v>9406.6509999999998</v>
      </c>
      <c r="CT713" s="337">
        <f>ROUND($CR$5*0.05495*DAYS360(CL709,CM713)/360,2)</f>
        <v>356164.53</v>
      </c>
      <c r="CU713" s="366">
        <f>CS713-CT713</f>
        <v>-346757.87900000002</v>
      </c>
      <c r="CV713" s="337">
        <f t="shared" si="199"/>
        <v>1598.2</v>
      </c>
    </row>
    <row r="714" spans="10:100" x14ac:dyDescent="0.25">
      <c r="J714" s="345"/>
      <c r="K714" s="317">
        <f t="shared" si="193"/>
        <v>0</v>
      </c>
      <c r="O714" s="348"/>
      <c r="S714" s="317">
        <f t="shared" si="195"/>
        <v>0</v>
      </c>
      <c r="BB714" s="352"/>
      <c r="BR714" s="347"/>
      <c r="BS714" s="337"/>
      <c r="CH714" s="337">
        <f t="shared" si="194"/>
        <v>0</v>
      </c>
      <c r="CL714" s="361">
        <f>+CM713</f>
        <v>40848</v>
      </c>
      <c r="CM714" s="361">
        <v>40850</v>
      </c>
      <c r="CN714" s="317">
        <f t="shared" si="197"/>
        <v>2</v>
      </c>
      <c r="CO714" s="368">
        <v>1.4E-3</v>
      </c>
      <c r="CP714" s="346">
        <f t="shared" si="198"/>
        <v>2.8E-3</v>
      </c>
      <c r="CQ714" s="365">
        <f>+CQ715</f>
        <v>1.3533E-3</v>
      </c>
      <c r="CR714" s="337">
        <f t="shared" si="196"/>
        <v>617.95799999999997</v>
      </c>
      <c r="CV714" s="337">
        <f t="shared" si="199"/>
        <v>639.29999999999995</v>
      </c>
    </row>
    <row r="715" spans="10:100" x14ac:dyDescent="0.25">
      <c r="J715" s="345"/>
      <c r="K715" s="317">
        <f t="shared" si="193"/>
        <v>0</v>
      </c>
      <c r="O715" s="348"/>
      <c r="S715" s="317">
        <f t="shared" si="195"/>
        <v>0</v>
      </c>
      <c r="BB715" s="352"/>
      <c r="BR715" s="347"/>
      <c r="BS715" s="337"/>
      <c r="CH715" s="337">
        <f t="shared" si="194"/>
        <v>0</v>
      </c>
      <c r="CL715" s="361">
        <f>CM714</f>
        <v>40850</v>
      </c>
      <c r="CM715" s="361">
        <v>40857</v>
      </c>
      <c r="CN715" s="317">
        <f t="shared" si="197"/>
        <v>7</v>
      </c>
      <c r="CO715" s="368">
        <v>1.2999999999999999E-3</v>
      </c>
      <c r="CP715" s="346">
        <f t="shared" si="198"/>
        <v>9.1000000000000004E-3</v>
      </c>
      <c r="CQ715" s="365">
        <f>+CQ716</f>
        <v>1.3533E-3</v>
      </c>
      <c r="CR715" s="337">
        <f t="shared" si="196"/>
        <v>2162.8510000000001</v>
      </c>
      <c r="CV715" s="337">
        <f t="shared" si="199"/>
        <v>2077.6999999999998</v>
      </c>
    </row>
    <row r="716" spans="10:100" x14ac:dyDescent="0.25">
      <c r="J716" s="345"/>
      <c r="K716" s="317">
        <f t="shared" si="193"/>
        <v>0</v>
      </c>
      <c r="O716" s="348"/>
      <c r="S716" s="317">
        <f t="shared" si="195"/>
        <v>0</v>
      </c>
      <c r="BB716" s="352"/>
      <c r="BR716" s="347"/>
      <c r="BS716" s="337"/>
      <c r="CH716" s="337">
        <f t="shared" si="194"/>
        <v>0</v>
      </c>
      <c r="CL716" s="361">
        <f>CM715</f>
        <v>40857</v>
      </c>
      <c r="CM716" s="361">
        <v>40864</v>
      </c>
      <c r="CN716" s="317">
        <f t="shared" si="197"/>
        <v>7</v>
      </c>
      <c r="CO716" s="368">
        <v>1.2999999999999999E-3</v>
      </c>
      <c r="CP716" s="346">
        <f t="shared" si="198"/>
        <v>9.1000000000000004E-3</v>
      </c>
      <c r="CQ716" s="365">
        <f>+CQ717</f>
        <v>1.3533E-3</v>
      </c>
      <c r="CR716" s="337">
        <f t="shared" si="196"/>
        <v>2162.8510000000001</v>
      </c>
      <c r="CV716" s="337">
        <f t="shared" si="199"/>
        <v>2077.6999999999998</v>
      </c>
    </row>
    <row r="717" spans="10:100" x14ac:dyDescent="0.25">
      <c r="J717" s="345"/>
      <c r="K717" s="317">
        <f t="shared" ref="K717:K759" si="200">J717-I717</f>
        <v>0</v>
      </c>
      <c r="O717" s="348"/>
      <c r="S717" s="317">
        <f t="shared" si="195"/>
        <v>0</v>
      </c>
      <c r="BB717" s="352"/>
      <c r="BR717" s="347"/>
      <c r="BS717" s="337"/>
      <c r="CH717" s="337">
        <f t="shared" si="194"/>
        <v>0</v>
      </c>
      <c r="CL717" s="361">
        <f>CM716</f>
        <v>40864</v>
      </c>
      <c r="CM717" s="361">
        <v>40872</v>
      </c>
      <c r="CN717" s="317">
        <f t="shared" si="197"/>
        <v>8</v>
      </c>
      <c r="CO717" s="368">
        <v>1.4E-3</v>
      </c>
      <c r="CP717" s="346">
        <f t="shared" si="198"/>
        <v>1.12E-2</v>
      </c>
      <c r="CQ717" s="365">
        <f>+CQ718</f>
        <v>1.3533E-3</v>
      </c>
      <c r="CR717" s="337">
        <f t="shared" si="196"/>
        <v>2471.83</v>
      </c>
      <c r="CV717" s="337">
        <f t="shared" si="199"/>
        <v>2557.1</v>
      </c>
    </row>
    <row r="718" spans="10:100" x14ac:dyDescent="0.25">
      <c r="J718" s="345"/>
      <c r="K718" s="317">
        <f t="shared" si="200"/>
        <v>0</v>
      </c>
      <c r="O718" s="348"/>
      <c r="S718" s="317">
        <f t="shared" si="195"/>
        <v>0</v>
      </c>
      <c r="BB718" s="352"/>
      <c r="BR718" s="347"/>
      <c r="BS718" s="337"/>
      <c r="CH718" s="337">
        <f t="shared" si="194"/>
        <v>0</v>
      </c>
      <c r="CL718" s="361">
        <f>CM717</f>
        <v>40872</v>
      </c>
      <c r="CM718" s="361">
        <v>40878</v>
      </c>
      <c r="CN718" s="317">
        <f t="shared" si="197"/>
        <v>6</v>
      </c>
      <c r="CO718" s="368">
        <v>1.4E-3</v>
      </c>
      <c r="CP718" s="346">
        <f t="shared" si="198"/>
        <v>8.3999999999999995E-3</v>
      </c>
      <c r="CQ718" s="365">
        <f>ROUND(SUM(CP714:CP718)/30,7)</f>
        <v>1.3533E-3</v>
      </c>
      <c r="CR718" s="337">
        <f t="shared" si="196"/>
        <v>1853.873</v>
      </c>
      <c r="CS718" s="337">
        <f>(ROUND(SUM(CR714:CR718),5))</f>
        <v>9269.3629999999994</v>
      </c>
      <c r="CT718" s="337">
        <f>ROUND($CR$5*0.05495*DAYS360(CL714,CM718)/360,2)</f>
        <v>381604.85</v>
      </c>
      <c r="CU718" s="366">
        <f>CS718-CT718</f>
        <v>-372335.48699999996</v>
      </c>
      <c r="CV718" s="337">
        <f t="shared" si="199"/>
        <v>1917.8</v>
      </c>
    </row>
    <row r="719" spans="10:100" x14ac:dyDescent="0.25">
      <c r="J719" s="345"/>
      <c r="K719" s="317">
        <f t="shared" si="200"/>
        <v>0</v>
      </c>
      <c r="O719" s="348"/>
      <c r="S719" s="317">
        <f t="shared" si="195"/>
        <v>0</v>
      </c>
      <c r="BB719" s="352"/>
      <c r="BR719" s="347"/>
      <c r="BS719" s="337"/>
      <c r="CH719" s="337">
        <f t="shared" si="194"/>
        <v>0</v>
      </c>
      <c r="CL719" s="361">
        <f>+CM718</f>
        <v>40878</v>
      </c>
      <c r="CM719" s="361">
        <v>40885</v>
      </c>
      <c r="CN719" s="317">
        <f t="shared" si="197"/>
        <v>7</v>
      </c>
      <c r="CO719" s="368">
        <v>1.1999999999999999E-3</v>
      </c>
      <c r="CP719" s="346">
        <f t="shared" si="198"/>
        <v>8.3999999999999995E-3</v>
      </c>
      <c r="CQ719" s="365">
        <f>+CQ720</f>
        <v>1.1272999999999999E-3</v>
      </c>
      <c r="CR719" s="337">
        <f t="shared" si="196"/>
        <v>1801.6569999999999</v>
      </c>
      <c r="CV719" s="337">
        <f t="shared" si="199"/>
        <v>1917.8</v>
      </c>
    </row>
    <row r="720" spans="10:100" x14ac:dyDescent="0.25">
      <c r="J720" s="345"/>
      <c r="K720" s="317">
        <f t="shared" si="200"/>
        <v>0</v>
      </c>
      <c r="O720" s="348"/>
      <c r="S720" s="317">
        <f t="shared" si="195"/>
        <v>0</v>
      </c>
      <c r="BB720" s="352"/>
      <c r="BR720" s="347"/>
      <c r="BS720" s="337"/>
      <c r="CH720" s="337">
        <f t="shared" si="194"/>
        <v>0</v>
      </c>
      <c r="CL720" s="361">
        <f>CM719</f>
        <v>40885</v>
      </c>
      <c r="CM720" s="361">
        <v>40892</v>
      </c>
      <c r="CN720" s="317">
        <f t="shared" si="197"/>
        <v>7</v>
      </c>
      <c r="CO720" s="368">
        <v>1.1000000000000001E-3</v>
      </c>
      <c r="CP720" s="346">
        <f t="shared" si="198"/>
        <v>7.7000000000000002E-3</v>
      </c>
      <c r="CQ720" s="365">
        <f>+CQ721</f>
        <v>1.1272999999999999E-3</v>
      </c>
      <c r="CR720" s="337">
        <f t="shared" si="196"/>
        <v>1801.6569999999999</v>
      </c>
      <c r="CV720" s="337">
        <f t="shared" si="199"/>
        <v>1758</v>
      </c>
    </row>
    <row r="721" spans="10:100" x14ac:dyDescent="0.25">
      <c r="J721" s="345"/>
      <c r="K721" s="317">
        <f t="shared" si="200"/>
        <v>0</v>
      </c>
      <c r="O721" s="348"/>
      <c r="S721" s="317">
        <f t="shared" si="195"/>
        <v>0</v>
      </c>
      <c r="BB721" s="352"/>
      <c r="BR721" s="347"/>
      <c r="BS721" s="337"/>
      <c r="CH721" s="337">
        <f t="shared" si="194"/>
        <v>0</v>
      </c>
      <c r="CL721" s="361">
        <f>CM720</f>
        <v>40892</v>
      </c>
      <c r="CM721" s="361">
        <v>40899</v>
      </c>
      <c r="CN721" s="317">
        <f t="shared" si="197"/>
        <v>7</v>
      </c>
      <c r="CO721" s="368">
        <v>1.1000000000000001E-3</v>
      </c>
      <c r="CP721" s="346">
        <f t="shared" si="198"/>
        <v>7.7000000000000002E-3</v>
      </c>
      <c r="CQ721" s="365">
        <f>+CQ722</f>
        <v>1.1272999999999999E-3</v>
      </c>
      <c r="CR721" s="337">
        <f t="shared" si="196"/>
        <v>1801.6569999999999</v>
      </c>
      <c r="CV721" s="337">
        <f t="shared" si="199"/>
        <v>1758</v>
      </c>
    </row>
    <row r="722" spans="10:100" x14ac:dyDescent="0.25">
      <c r="J722" s="345"/>
      <c r="K722" s="317">
        <f t="shared" si="200"/>
        <v>0</v>
      </c>
      <c r="O722" s="348"/>
      <c r="S722" s="317">
        <f t="shared" si="195"/>
        <v>0</v>
      </c>
      <c r="BB722" s="352"/>
      <c r="BR722" s="347"/>
      <c r="BS722" s="337"/>
      <c r="CH722" s="337">
        <f t="shared" si="194"/>
        <v>0</v>
      </c>
      <c r="CL722" s="361">
        <f>CM721</f>
        <v>40899</v>
      </c>
      <c r="CM722" s="361">
        <v>40906</v>
      </c>
      <c r="CN722" s="317">
        <f t="shared" si="197"/>
        <v>7</v>
      </c>
      <c r="CO722" s="368">
        <v>1.1999999999999999E-3</v>
      </c>
      <c r="CP722" s="346">
        <f t="shared" si="198"/>
        <v>8.3999999999999995E-3</v>
      </c>
      <c r="CQ722" s="365">
        <f>+CQ723</f>
        <v>1.1272999999999999E-3</v>
      </c>
      <c r="CR722" s="337">
        <f t="shared" si="196"/>
        <v>1801.6569999999999</v>
      </c>
      <c r="CV722" s="337">
        <f t="shared" si="199"/>
        <v>1917.8</v>
      </c>
    </row>
    <row r="723" spans="10:100" x14ac:dyDescent="0.25">
      <c r="J723" s="345"/>
      <c r="K723" s="317">
        <f t="shared" si="200"/>
        <v>0</v>
      </c>
      <c r="O723" s="348"/>
      <c r="S723" s="317">
        <f t="shared" si="195"/>
        <v>0</v>
      </c>
      <c r="BB723" s="352"/>
      <c r="BR723" s="347"/>
      <c r="BS723" s="337"/>
      <c r="CH723" s="337">
        <f t="shared" si="194"/>
        <v>0</v>
      </c>
      <c r="CL723" s="361">
        <f>CM722</f>
        <v>40906</v>
      </c>
      <c r="CM723" s="361">
        <v>40909</v>
      </c>
      <c r="CN723" s="317">
        <f t="shared" si="197"/>
        <v>3</v>
      </c>
      <c r="CO723" s="368">
        <v>1E-3</v>
      </c>
      <c r="CP723" s="346">
        <f t="shared" si="198"/>
        <v>3.0000000000000001E-3</v>
      </c>
      <c r="CQ723" s="365">
        <f>+CQ724</f>
        <v>1.1272999999999999E-3</v>
      </c>
      <c r="CR723" s="337">
        <f t="shared" si="196"/>
        <v>772.13900000000001</v>
      </c>
      <c r="CS723" s="337">
        <f>(ROUND(SUM(CR719:CR723),3))</f>
        <v>7978.7669999999998</v>
      </c>
      <c r="CT723" s="337">
        <f>ROUND($CR$5*0.05495*DAYS360(CL719,CM723)/360,3)</f>
        <v>381604.85399999999</v>
      </c>
      <c r="CU723" s="372">
        <f>CS723-CT723</f>
        <v>-373626.087</v>
      </c>
      <c r="CV723" s="337">
        <f t="shared" si="199"/>
        <v>684.9</v>
      </c>
    </row>
    <row r="724" spans="10:100" x14ac:dyDescent="0.25">
      <c r="J724" s="345"/>
      <c r="K724" s="317">
        <f t="shared" si="200"/>
        <v>0</v>
      </c>
      <c r="O724" s="348"/>
      <c r="S724" s="317">
        <f t="shared" si="195"/>
        <v>0</v>
      </c>
      <c r="BB724" s="352"/>
      <c r="BR724" s="347"/>
      <c r="BS724" s="337"/>
      <c r="CH724" s="337">
        <f t="shared" si="194"/>
        <v>0</v>
      </c>
      <c r="CL724" s="361">
        <f>CM723</f>
        <v>40909</v>
      </c>
      <c r="CM724" s="361">
        <v>40911</v>
      </c>
      <c r="CN724" s="317">
        <f t="shared" si="197"/>
        <v>2</v>
      </c>
      <c r="CO724" s="368">
        <v>1E-3</v>
      </c>
      <c r="CP724" s="346">
        <f t="shared" si="198"/>
        <v>2E-3</v>
      </c>
      <c r="CQ724" s="365">
        <f>ROUND(SUM(CP719:CP724)/33,7)</f>
        <v>1.1272999999999999E-3</v>
      </c>
      <c r="CR724" s="337">
        <f t="shared" ref="CR724:CR781" si="201">ROUND($CR$5*CQ724*CN724/366,3)</f>
        <v>513.35299999999995</v>
      </c>
      <c r="CS724" s="337">
        <f>(ROUND(SUM(CR724),3))</f>
        <v>513.35299999999995</v>
      </c>
      <c r="CT724" s="337">
        <f>ROUND($CR$5*0.05495*DAYS360(CL724,CM724)/360,3)</f>
        <v>25440.324000000001</v>
      </c>
      <c r="CU724" s="372">
        <f>CS724-CT724</f>
        <v>-24926.971000000001</v>
      </c>
      <c r="CV724" s="337">
        <f t="shared" si="199"/>
        <v>456.6</v>
      </c>
    </row>
    <row r="725" spans="10:100" x14ac:dyDescent="0.25">
      <c r="J725" s="345"/>
      <c r="K725" s="317">
        <f t="shared" si="200"/>
        <v>0</v>
      </c>
      <c r="O725" s="348"/>
      <c r="S725" s="317">
        <f t="shared" si="195"/>
        <v>0</v>
      </c>
      <c r="BB725" s="352"/>
      <c r="BR725" s="347"/>
      <c r="BS725" s="337"/>
      <c r="CH725" s="337">
        <f t="shared" si="194"/>
        <v>0</v>
      </c>
      <c r="CL725" s="361">
        <f>+CM724</f>
        <v>40911</v>
      </c>
      <c r="CM725" s="361">
        <v>40913</v>
      </c>
      <c r="CN725" s="317">
        <f t="shared" si="197"/>
        <v>2</v>
      </c>
      <c r="CO725" s="368">
        <v>1E-3</v>
      </c>
      <c r="CP725" s="346">
        <f t="shared" si="198"/>
        <v>2E-3</v>
      </c>
      <c r="CQ725" s="365">
        <f>+CQ726</f>
        <v>7.1719999999999998E-4</v>
      </c>
      <c r="CR725" s="337">
        <f t="shared" si="201"/>
        <v>326.60000000000002</v>
      </c>
      <c r="CS725" s="356"/>
      <c r="CT725" s="356"/>
      <c r="CU725" s="372"/>
      <c r="CV725" s="337" t="e">
        <f>ROUND($CR$5*#REF!*CN725/365,1)</f>
        <v>#REF!</v>
      </c>
    </row>
    <row r="726" spans="10:100" x14ac:dyDescent="0.25">
      <c r="J726" s="345"/>
      <c r="K726" s="317">
        <f t="shared" si="200"/>
        <v>0</v>
      </c>
      <c r="O726" s="348"/>
      <c r="S726" s="317">
        <f t="shared" si="195"/>
        <v>0</v>
      </c>
      <c r="BB726" s="352"/>
      <c r="BR726" s="347"/>
      <c r="BS726" s="337"/>
      <c r="CH726" s="337">
        <f t="shared" si="194"/>
        <v>0</v>
      </c>
      <c r="CL726" s="361">
        <f>CM725</f>
        <v>40913</v>
      </c>
      <c r="CM726" s="361">
        <v>40920</v>
      </c>
      <c r="CN726" s="317">
        <f t="shared" si="197"/>
        <v>7</v>
      </c>
      <c r="CO726" s="368">
        <v>6.9999999999999999E-4</v>
      </c>
      <c r="CP726" s="346">
        <f t="shared" si="198"/>
        <v>4.8999999999999998E-3</v>
      </c>
      <c r="CQ726" s="365">
        <f>+CQ727</f>
        <v>7.1719999999999998E-4</v>
      </c>
      <c r="CR726" s="337">
        <f t="shared" si="201"/>
        <v>1143.1010000000001</v>
      </c>
      <c r="CV726" s="337">
        <f t="shared" si="199"/>
        <v>1118.7</v>
      </c>
    </row>
    <row r="727" spans="10:100" x14ac:dyDescent="0.25">
      <c r="J727" s="345"/>
      <c r="K727" s="317">
        <f t="shared" si="200"/>
        <v>0</v>
      </c>
      <c r="O727" s="348"/>
      <c r="S727" s="317">
        <f t="shared" si="195"/>
        <v>0</v>
      </c>
      <c r="BB727" s="352"/>
      <c r="BR727" s="347"/>
      <c r="BS727" s="337"/>
      <c r="CH727" s="337">
        <f t="shared" ref="CH727:CH790" si="202">ROUND($CA$5*CG727*CF727/365,6)</f>
        <v>0</v>
      </c>
      <c r="CL727" s="361">
        <f>CM726</f>
        <v>40920</v>
      </c>
      <c r="CM727" s="361">
        <v>40927</v>
      </c>
      <c r="CN727" s="317">
        <f t="shared" si="197"/>
        <v>7</v>
      </c>
      <c r="CO727" s="368">
        <v>5.9999999999999995E-4</v>
      </c>
      <c r="CP727" s="346">
        <f t="shared" si="198"/>
        <v>4.1999999999999997E-3</v>
      </c>
      <c r="CQ727" s="365">
        <f>+CQ728</f>
        <v>7.1719999999999998E-4</v>
      </c>
      <c r="CR727" s="337">
        <f t="shared" si="201"/>
        <v>1143.1010000000001</v>
      </c>
      <c r="CV727" s="337">
        <f t="shared" si="199"/>
        <v>958.9</v>
      </c>
    </row>
    <row r="728" spans="10:100" x14ac:dyDescent="0.25">
      <c r="J728" s="345"/>
      <c r="K728" s="317">
        <f t="shared" si="200"/>
        <v>0</v>
      </c>
      <c r="O728" s="348"/>
      <c r="S728" s="317">
        <f t="shared" si="195"/>
        <v>0</v>
      </c>
      <c r="BB728" s="352"/>
      <c r="BR728" s="347"/>
      <c r="BS728" s="337"/>
      <c r="CH728" s="337">
        <f t="shared" si="202"/>
        <v>0</v>
      </c>
      <c r="CL728" s="361">
        <f>CM727</f>
        <v>40927</v>
      </c>
      <c r="CM728" s="361">
        <v>40934</v>
      </c>
      <c r="CN728" s="317">
        <f t="shared" si="197"/>
        <v>7</v>
      </c>
      <c r="CO728" s="368">
        <v>6.9999999999999999E-4</v>
      </c>
      <c r="CP728" s="346">
        <f t="shared" si="198"/>
        <v>4.8999999999999998E-3</v>
      </c>
      <c r="CQ728" s="365">
        <f>+CQ729</f>
        <v>7.1719999999999998E-4</v>
      </c>
      <c r="CR728" s="337">
        <f t="shared" si="201"/>
        <v>1143.1010000000001</v>
      </c>
      <c r="CV728" s="337">
        <f t="shared" si="199"/>
        <v>1118.7</v>
      </c>
    </row>
    <row r="729" spans="10:100" x14ac:dyDescent="0.25">
      <c r="J729" s="345"/>
      <c r="K729" s="317">
        <f t="shared" si="200"/>
        <v>0</v>
      </c>
      <c r="O729" s="348"/>
      <c r="S729" s="317">
        <f t="shared" si="195"/>
        <v>0</v>
      </c>
      <c r="BB729" s="352"/>
      <c r="BR729" s="347"/>
      <c r="BS729" s="337"/>
      <c r="CH729" s="337">
        <f t="shared" si="202"/>
        <v>0</v>
      </c>
      <c r="CL729" s="361">
        <f>CM728</f>
        <v>40934</v>
      </c>
      <c r="CM729" s="361">
        <v>40940</v>
      </c>
      <c r="CN729" s="317">
        <f t="shared" si="197"/>
        <v>6</v>
      </c>
      <c r="CO729" s="368">
        <v>8.0000000000000004E-4</v>
      </c>
      <c r="CP729" s="346">
        <f t="shared" si="198"/>
        <v>4.8000000000000004E-3</v>
      </c>
      <c r="CQ729" s="365">
        <f>ROUND(SUM(CP725:CP729)/29,7)</f>
        <v>7.1719999999999998E-4</v>
      </c>
      <c r="CR729" s="337">
        <f t="shared" si="201"/>
        <v>979.80100000000004</v>
      </c>
      <c r="CS729" s="337">
        <f>(ROUND(SUM(CR725:CR729),3))</f>
        <v>4735.7039999999997</v>
      </c>
      <c r="CT729" s="337">
        <f>ROUND($CR$5*0.05495*DAYS360(CL725,CM729)/360,3)</f>
        <v>356164.53100000002</v>
      </c>
      <c r="CU729" s="372">
        <f>CS729-CT729</f>
        <v>-351428.82699999999</v>
      </c>
      <c r="CV729" s="337">
        <f t="shared" si="199"/>
        <v>1095.9000000000001</v>
      </c>
    </row>
    <row r="730" spans="10:100" x14ac:dyDescent="0.25">
      <c r="J730" s="345"/>
      <c r="K730" s="317">
        <f t="shared" si="200"/>
        <v>0</v>
      </c>
      <c r="O730" s="348"/>
      <c r="S730" s="317">
        <f t="shared" si="195"/>
        <v>0</v>
      </c>
      <c r="BB730" s="352"/>
      <c r="BR730" s="347"/>
      <c r="BS730" s="337"/>
      <c r="CH730" s="337">
        <f t="shared" si="202"/>
        <v>0</v>
      </c>
      <c r="CL730" s="361">
        <f>+CM729</f>
        <v>40940</v>
      </c>
      <c r="CM730" s="361">
        <v>40941</v>
      </c>
      <c r="CN730" s="317">
        <f t="shared" si="197"/>
        <v>1</v>
      </c>
      <c r="CO730" s="368">
        <v>8.0000000000000004E-4</v>
      </c>
      <c r="CP730" s="346">
        <f t="shared" si="198"/>
        <v>8.0000000000000004E-4</v>
      </c>
      <c r="CQ730" s="365">
        <f>+CQ731</f>
        <v>1.3793E-3</v>
      </c>
      <c r="CR730" s="337">
        <f t="shared" si="201"/>
        <v>314.05500000000001</v>
      </c>
      <c r="CS730" s="356"/>
      <c r="CT730" s="356"/>
      <c r="CU730" s="372"/>
      <c r="CV730" s="337">
        <f t="shared" si="199"/>
        <v>182.7</v>
      </c>
    </row>
    <row r="731" spans="10:100" x14ac:dyDescent="0.25">
      <c r="J731" s="345"/>
      <c r="K731" s="317">
        <f t="shared" si="200"/>
        <v>0</v>
      </c>
      <c r="O731" s="348"/>
      <c r="S731" s="317">
        <f t="shared" si="195"/>
        <v>0</v>
      </c>
      <c r="BB731" s="352"/>
      <c r="BR731" s="347"/>
      <c r="BS731" s="337"/>
      <c r="CH731" s="337">
        <f t="shared" si="202"/>
        <v>0</v>
      </c>
      <c r="CL731" s="361">
        <f>CM730</f>
        <v>40941</v>
      </c>
      <c r="CM731" s="361">
        <v>40948</v>
      </c>
      <c r="CN731" s="317">
        <f t="shared" si="197"/>
        <v>7</v>
      </c>
      <c r="CO731" s="368">
        <v>8.0000000000000004E-4</v>
      </c>
      <c r="CP731" s="346">
        <f t="shared" si="198"/>
        <v>5.5999999999999999E-3</v>
      </c>
      <c r="CQ731" s="365">
        <f>+CQ732</f>
        <v>1.3793E-3</v>
      </c>
      <c r="CR731" s="337">
        <f t="shared" si="201"/>
        <v>2198.3820000000001</v>
      </c>
      <c r="CV731" s="337">
        <f t="shared" si="199"/>
        <v>1278.5999999999999</v>
      </c>
    </row>
    <row r="732" spans="10:100" x14ac:dyDescent="0.25">
      <c r="J732" s="345"/>
      <c r="K732" s="317">
        <f t="shared" si="200"/>
        <v>0</v>
      </c>
      <c r="O732" s="348"/>
      <c r="S732" s="317">
        <f t="shared" si="195"/>
        <v>0</v>
      </c>
      <c r="BB732" s="352"/>
      <c r="BR732" s="347"/>
      <c r="BS732" s="337"/>
      <c r="CH732" s="337">
        <f t="shared" si="202"/>
        <v>0</v>
      </c>
      <c r="CL732" s="361">
        <f>CM731</f>
        <v>40948</v>
      </c>
      <c r="CM732" s="361">
        <v>40955</v>
      </c>
      <c r="CN732" s="317">
        <f t="shared" si="197"/>
        <v>7</v>
      </c>
      <c r="CO732" s="368">
        <v>1.5E-3</v>
      </c>
      <c r="CP732" s="346">
        <f t="shared" si="198"/>
        <v>1.0500000000000001E-2</v>
      </c>
      <c r="CQ732" s="365">
        <f>+CQ733</f>
        <v>1.3793E-3</v>
      </c>
      <c r="CR732" s="337">
        <f t="shared" si="201"/>
        <v>2198.3820000000001</v>
      </c>
      <c r="CV732" s="337">
        <f t="shared" si="199"/>
        <v>2397.3000000000002</v>
      </c>
    </row>
    <row r="733" spans="10:100" x14ac:dyDescent="0.25">
      <c r="J733" s="345"/>
      <c r="K733" s="317">
        <f t="shared" si="200"/>
        <v>0</v>
      </c>
      <c r="O733" s="348"/>
      <c r="S733" s="317">
        <f t="shared" si="195"/>
        <v>0</v>
      </c>
      <c r="BB733" s="352"/>
      <c r="BR733" s="347"/>
      <c r="BS733" s="337"/>
      <c r="CH733" s="337">
        <f t="shared" si="202"/>
        <v>0</v>
      </c>
      <c r="CL733" s="361">
        <f>CM732</f>
        <v>40955</v>
      </c>
      <c r="CM733" s="361">
        <v>40962</v>
      </c>
      <c r="CN733" s="317">
        <f t="shared" si="197"/>
        <v>7</v>
      </c>
      <c r="CO733" s="368">
        <v>1.6999999999999999E-3</v>
      </c>
      <c r="CP733" s="346">
        <f t="shared" si="198"/>
        <v>1.1899999999999999E-2</v>
      </c>
      <c r="CQ733" s="365">
        <f>+CQ734</f>
        <v>1.3793E-3</v>
      </c>
      <c r="CR733" s="337">
        <f t="shared" si="201"/>
        <v>2198.3820000000001</v>
      </c>
      <c r="CV733" s="337">
        <f t="shared" si="199"/>
        <v>2716.9</v>
      </c>
    </row>
    <row r="734" spans="10:100" x14ac:dyDescent="0.25">
      <c r="J734" s="345"/>
      <c r="K734" s="317">
        <f t="shared" si="200"/>
        <v>0</v>
      </c>
      <c r="O734" s="348"/>
      <c r="S734" s="317">
        <f t="shared" si="195"/>
        <v>0</v>
      </c>
      <c r="BB734" s="352"/>
      <c r="BR734" s="347"/>
      <c r="BS734" s="337"/>
      <c r="CH734" s="337">
        <f t="shared" si="202"/>
        <v>0</v>
      </c>
      <c r="CL734" s="361">
        <f>CM733</f>
        <v>40962</v>
      </c>
      <c r="CM734" s="361">
        <v>40969</v>
      </c>
      <c r="CN734" s="317">
        <f t="shared" si="197"/>
        <v>7</v>
      </c>
      <c r="CO734" s="368">
        <v>1.6000000000000001E-3</v>
      </c>
      <c r="CP734" s="346">
        <f t="shared" si="198"/>
        <v>1.12E-2</v>
      </c>
      <c r="CQ734" s="365">
        <f>ROUND(SUM(CP730:CP734)/29,7)</f>
        <v>1.3793E-3</v>
      </c>
      <c r="CR734" s="337">
        <f t="shared" si="201"/>
        <v>2198.3820000000001</v>
      </c>
      <c r="CS734" s="337">
        <f>(ROUND(SUM(CR730:CR734),3))</f>
        <v>9107.5830000000005</v>
      </c>
      <c r="CT734" s="337">
        <f>ROUND($CR$5*0.05495*DAYS360(CL730,CM734)/360,3)</f>
        <v>381604.85399999999</v>
      </c>
      <c r="CU734" s="372">
        <f>CS734-CT734</f>
        <v>-372497.27100000001</v>
      </c>
      <c r="CV734" s="337">
        <f t="shared" si="199"/>
        <v>2557.1</v>
      </c>
    </row>
    <row r="735" spans="10:100" x14ac:dyDescent="0.25">
      <c r="J735" s="345"/>
      <c r="K735" s="317">
        <f t="shared" si="200"/>
        <v>0</v>
      </c>
      <c r="O735" s="348"/>
      <c r="S735" s="317">
        <f t="shared" si="195"/>
        <v>0</v>
      </c>
      <c r="BB735" s="352"/>
      <c r="BR735" s="347"/>
      <c r="BS735" s="337"/>
      <c r="CH735" s="337">
        <f t="shared" si="202"/>
        <v>0</v>
      </c>
      <c r="CL735" s="361">
        <f>+CM734</f>
        <v>40969</v>
      </c>
      <c r="CM735" s="361">
        <v>40976</v>
      </c>
      <c r="CN735" s="317">
        <f t="shared" si="197"/>
        <v>7</v>
      </c>
      <c r="CO735" s="368">
        <v>1.4E-3</v>
      </c>
      <c r="CP735" s="346">
        <f t="shared" si="198"/>
        <v>9.7999999999999997E-3</v>
      </c>
      <c r="CQ735" s="365">
        <f>+CQ736</f>
        <v>1.4844000000000001E-3</v>
      </c>
      <c r="CR735" s="337">
        <f t="shared" si="201"/>
        <v>2365.8939999999998</v>
      </c>
      <c r="CS735" s="356"/>
      <c r="CT735" s="356"/>
      <c r="CU735" s="372"/>
      <c r="CV735" s="337">
        <f t="shared" si="199"/>
        <v>2237.5</v>
      </c>
    </row>
    <row r="736" spans="10:100" x14ac:dyDescent="0.25">
      <c r="J736" s="345"/>
      <c r="K736" s="317">
        <f t="shared" si="200"/>
        <v>0</v>
      </c>
      <c r="O736" s="348"/>
      <c r="S736" s="317">
        <f t="shared" si="195"/>
        <v>0</v>
      </c>
      <c r="BB736" s="352"/>
      <c r="BR736" s="347"/>
      <c r="BS736" s="337"/>
      <c r="CH736" s="337">
        <f t="shared" si="202"/>
        <v>0</v>
      </c>
      <c r="CL736" s="361">
        <f>CM735</f>
        <v>40976</v>
      </c>
      <c r="CM736" s="361">
        <v>40983</v>
      </c>
      <c r="CN736" s="317">
        <f t="shared" si="197"/>
        <v>7</v>
      </c>
      <c r="CO736" s="368">
        <v>1.2999999999999999E-3</v>
      </c>
      <c r="CP736" s="346">
        <f t="shared" si="198"/>
        <v>9.1000000000000004E-3</v>
      </c>
      <c r="CQ736" s="365">
        <f>+CQ737</f>
        <v>1.4844000000000001E-3</v>
      </c>
      <c r="CR736" s="337">
        <f t="shared" si="201"/>
        <v>2365.8939999999998</v>
      </c>
      <c r="CV736" s="337">
        <f t="shared" si="199"/>
        <v>2077.6999999999998</v>
      </c>
    </row>
    <row r="737" spans="10:102" x14ac:dyDescent="0.25">
      <c r="J737" s="345"/>
      <c r="K737" s="317">
        <f t="shared" si="200"/>
        <v>0</v>
      </c>
      <c r="O737" s="348"/>
      <c r="S737" s="317">
        <f t="shared" si="195"/>
        <v>0</v>
      </c>
      <c r="BB737" s="352"/>
      <c r="BR737" s="347"/>
      <c r="BS737" s="337"/>
      <c r="CH737" s="337">
        <f t="shared" si="202"/>
        <v>0</v>
      </c>
      <c r="CL737" s="361">
        <f>CM736</f>
        <v>40983</v>
      </c>
      <c r="CM737" s="361">
        <v>40990</v>
      </c>
      <c r="CN737" s="317">
        <f t="shared" si="197"/>
        <v>7</v>
      </c>
      <c r="CO737" s="368">
        <v>1.4E-3</v>
      </c>
      <c r="CP737" s="346">
        <f t="shared" si="198"/>
        <v>9.7999999999999997E-3</v>
      </c>
      <c r="CQ737" s="365">
        <f>+CQ738</f>
        <v>1.4844000000000001E-3</v>
      </c>
      <c r="CR737" s="337">
        <f t="shared" si="201"/>
        <v>2365.8939999999998</v>
      </c>
      <c r="CV737" s="337">
        <f t="shared" si="199"/>
        <v>2237.5</v>
      </c>
    </row>
    <row r="738" spans="10:102" x14ac:dyDescent="0.25">
      <c r="J738" s="345"/>
      <c r="K738" s="317">
        <f t="shared" si="200"/>
        <v>0</v>
      </c>
      <c r="O738" s="348"/>
      <c r="S738" s="317">
        <f t="shared" si="195"/>
        <v>0</v>
      </c>
      <c r="BB738" s="352"/>
      <c r="BR738" s="347"/>
      <c r="BS738" s="337"/>
      <c r="CH738" s="337">
        <f t="shared" si="202"/>
        <v>0</v>
      </c>
      <c r="CL738" s="361">
        <f>CM737</f>
        <v>40990</v>
      </c>
      <c r="CM738" s="361">
        <v>40997</v>
      </c>
      <c r="CN738" s="317">
        <f t="shared" si="197"/>
        <v>7</v>
      </c>
      <c r="CO738" s="368">
        <v>1.6000000000000001E-3</v>
      </c>
      <c r="CP738" s="346">
        <f t="shared" si="198"/>
        <v>1.12E-2</v>
      </c>
      <c r="CQ738" s="365">
        <f>+CQ739</f>
        <v>1.4844000000000001E-3</v>
      </c>
      <c r="CR738" s="337">
        <f t="shared" si="201"/>
        <v>2365.8939999999998</v>
      </c>
      <c r="CV738" s="337">
        <f t="shared" si="199"/>
        <v>2557.1</v>
      </c>
      <c r="CX738" s="363"/>
    </row>
    <row r="739" spans="10:102" x14ac:dyDescent="0.25">
      <c r="J739" s="345"/>
      <c r="K739" s="317">
        <f t="shared" si="200"/>
        <v>0</v>
      </c>
      <c r="O739" s="348"/>
      <c r="S739" s="317">
        <f t="shared" si="195"/>
        <v>0</v>
      </c>
      <c r="BB739" s="352"/>
      <c r="BR739" s="347"/>
      <c r="BS739" s="337"/>
      <c r="CH739" s="337">
        <f t="shared" si="202"/>
        <v>0</v>
      </c>
      <c r="CL739" s="361">
        <f>CM738</f>
        <v>40997</v>
      </c>
      <c r="CM739" s="361">
        <v>41001</v>
      </c>
      <c r="CN739" s="317">
        <f t="shared" si="197"/>
        <v>4</v>
      </c>
      <c r="CO739" s="368">
        <v>1.9E-3</v>
      </c>
      <c r="CP739" s="346">
        <f t="shared" si="198"/>
        <v>7.6E-3</v>
      </c>
      <c r="CQ739" s="365">
        <f>ROUND(SUM(CP735:CP739)/32,7)</f>
        <v>1.4844000000000001E-3</v>
      </c>
      <c r="CR739" s="337">
        <f t="shared" si="201"/>
        <v>1351.94</v>
      </c>
      <c r="CS739" s="337">
        <f>(ROUND(SUM(CR735:CR739),3))</f>
        <v>10815.516</v>
      </c>
      <c r="CT739" s="337">
        <f>ROUND($CR$5*0.05495*DAYS360(CL735,CM739)/360,3)</f>
        <v>394325.016</v>
      </c>
      <c r="CU739" s="372">
        <f>CS739-CT739</f>
        <v>-383509.5</v>
      </c>
      <c r="CV739" s="337">
        <f t="shared" si="199"/>
        <v>1735.2</v>
      </c>
    </row>
    <row r="740" spans="10:102" x14ac:dyDescent="0.25">
      <c r="J740" s="345"/>
      <c r="K740" s="317">
        <f t="shared" si="200"/>
        <v>0</v>
      </c>
      <c r="O740" s="348"/>
      <c r="S740" s="317">
        <f t="shared" si="195"/>
        <v>0</v>
      </c>
      <c r="BB740" s="352"/>
      <c r="BR740" s="347"/>
      <c r="BS740" s="337"/>
      <c r="CH740" s="337">
        <f t="shared" si="202"/>
        <v>0</v>
      </c>
      <c r="CL740" s="361">
        <f>+CM739</f>
        <v>41001</v>
      </c>
      <c r="CM740" s="361">
        <v>41004</v>
      </c>
      <c r="CN740" s="317">
        <f t="shared" si="197"/>
        <v>3</v>
      </c>
      <c r="CO740" s="368">
        <v>1.9E-3</v>
      </c>
      <c r="CP740" s="346">
        <f t="shared" si="198"/>
        <v>5.7000000000000002E-3</v>
      </c>
      <c r="CQ740" s="365">
        <f>+CQ741</f>
        <v>2.2447999999999999E-3</v>
      </c>
      <c r="CR740" s="337">
        <f t="shared" si="201"/>
        <v>1533.364</v>
      </c>
      <c r="CS740" s="356"/>
      <c r="CT740" s="356"/>
      <c r="CU740" s="372"/>
      <c r="CV740" s="337">
        <f t="shared" si="199"/>
        <v>1301.4000000000001</v>
      </c>
    </row>
    <row r="741" spans="10:102" x14ac:dyDescent="0.25">
      <c r="J741" s="345"/>
      <c r="K741" s="317">
        <f t="shared" si="200"/>
        <v>0</v>
      </c>
      <c r="O741" s="348"/>
      <c r="S741" s="317">
        <f t="shared" si="195"/>
        <v>0</v>
      </c>
      <c r="BB741" s="352"/>
      <c r="BR741" s="347"/>
      <c r="BS741" s="337"/>
      <c r="CH741" s="337">
        <f t="shared" si="202"/>
        <v>0</v>
      </c>
      <c r="CL741" s="361">
        <f>CM740</f>
        <v>41004</v>
      </c>
      <c r="CM741" s="361">
        <v>41011</v>
      </c>
      <c r="CN741" s="317">
        <f t="shared" si="197"/>
        <v>7</v>
      </c>
      <c r="CO741" s="368">
        <v>1.8E-3</v>
      </c>
      <c r="CP741" s="346">
        <f t="shared" si="198"/>
        <v>1.26E-2</v>
      </c>
      <c r="CQ741" s="365">
        <f>+CQ742</f>
        <v>2.2447999999999999E-3</v>
      </c>
      <c r="CR741" s="337">
        <f t="shared" si="201"/>
        <v>3577.8490000000002</v>
      </c>
      <c r="CV741" s="337">
        <f t="shared" si="199"/>
        <v>2876.8</v>
      </c>
    </row>
    <row r="742" spans="10:102" x14ac:dyDescent="0.25">
      <c r="J742" s="345"/>
      <c r="K742" s="317">
        <f t="shared" si="200"/>
        <v>0</v>
      </c>
      <c r="O742" s="348"/>
      <c r="S742" s="317">
        <f t="shared" ref="S742:S808" si="203">R742-Q742</f>
        <v>0</v>
      </c>
      <c r="BB742" s="352"/>
      <c r="BR742" s="347"/>
      <c r="BS742" s="337"/>
      <c r="CH742" s="337">
        <f t="shared" si="202"/>
        <v>0</v>
      </c>
      <c r="CL742" s="361">
        <f>CM741</f>
        <v>41011</v>
      </c>
      <c r="CM742" s="361">
        <v>41018</v>
      </c>
      <c r="CN742" s="317">
        <f t="shared" si="197"/>
        <v>7</v>
      </c>
      <c r="CO742" s="368">
        <v>2.3E-3</v>
      </c>
      <c r="CP742" s="346">
        <f t="shared" si="198"/>
        <v>1.61E-2</v>
      </c>
      <c r="CQ742" s="365">
        <f>+CQ743</f>
        <v>2.2447999999999999E-3</v>
      </c>
      <c r="CR742" s="337">
        <f t="shared" si="201"/>
        <v>3577.8490000000002</v>
      </c>
      <c r="CV742" s="337">
        <f t="shared" si="199"/>
        <v>3675.9</v>
      </c>
    </row>
    <row r="743" spans="10:102" x14ac:dyDescent="0.25">
      <c r="J743" s="345"/>
      <c r="K743" s="317">
        <f t="shared" si="200"/>
        <v>0</v>
      </c>
      <c r="O743" s="348"/>
      <c r="S743" s="317">
        <f t="shared" si="203"/>
        <v>0</v>
      </c>
      <c r="BB743" s="352"/>
      <c r="BR743" s="347"/>
      <c r="BS743" s="337"/>
      <c r="CH743" s="337">
        <f t="shared" si="202"/>
        <v>0</v>
      </c>
      <c r="CL743" s="361">
        <f>CM742</f>
        <v>41018</v>
      </c>
      <c r="CM743" s="361">
        <v>41025</v>
      </c>
      <c r="CN743" s="317">
        <f t="shared" si="197"/>
        <v>7</v>
      </c>
      <c r="CO743" s="368">
        <v>2.5999999999999999E-3</v>
      </c>
      <c r="CP743" s="346">
        <f t="shared" si="198"/>
        <v>1.8200000000000001E-2</v>
      </c>
      <c r="CQ743" s="365">
        <f>+CQ744</f>
        <v>2.2447999999999999E-3</v>
      </c>
      <c r="CR743" s="337">
        <f t="shared" si="201"/>
        <v>3577.8490000000002</v>
      </c>
      <c r="CV743" s="337">
        <f t="shared" si="199"/>
        <v>4155.3</v>
      </c>
    </row>
    <row r="744" spans="10:102" x14ac:dyDescent="0.25">
      <c r="J744" s="345"/>
      <c r="K744" s="317">
        <f t="shared" si="200"/>
        <v>0</v>
      </c>
      <c r="O744" s="348"/>
      <c r="S744" s="317">
        <f t="shared" si="203"/>
        <v>0</v>
      </c>
      <c r="BB744" s="352"/>
      <c r="BR744" s="347"/>
      <c r="BS744" s="337"/>
      <c r="CH744" s="337">
        <f t="shared" si="202"/>
        <v>0</v>
      </c>
      <c r="CL744" s="361">
        <f>CM743</f>
        <v>41025</v>
      </c>
      <c r="CM744" s="361">
        <v>41030</v>
      </c>
      <c r="CN744" s="317">
        <f t="shared" si="197"/>
        <v>5</v>
      </c>
      <c r="CO744" s="368">
        <v>2.5000000000000001E-3</v>
      </c>
      <c r="CP744" s="346">
        <f t="shared" si="198"/>
        <v>1.2500000000000001E-2</v>
      </c>
      <c r="CQ744" s="365">
        <f>ROUND(SUM(CP740:CP744)/29,7)</f>
        <v>2.2447999999999999E-3</v>
      </c>
      <c r="CR744" s="337">
        <f t="shared" si="201"/>
        <v>2555.607</v>
      </c>
      <c r="CS744" s="337">
        <f>(ROUND(SUM(CR740:CR744),3))</f>
        <v>14822.518</v>
      </c>
      <c r="CT744" s="337">
        <f>ROUND($CR$5*0.05495*DAYS360(CL740,CM744)/360,3)</f>
        <v>368884.69199999998</v>
      </c>
      <c r="CU744" s="372">
        <f>CS744-CT744</f>
        <v>-354062.174</v>
      </c>
      <c r="CV744" s="337">
        <f t="shared" si="199"/>
        <v>2853.9</v>
      </c>
      <c r="CX744" s="363">
        <f>-SUM(CU719:CU744)/SUM(CN719:CN744)*366</f>
        <v>4478806.6038157903</v>
      </c>
    </row>
    <row r="745" spans="10:102" x14ac:dyDescent="0.25">
      <c r="J745" s="345"/>
      <c r="K745" s="317">
        <f t="shared" si="200"/>
        <v>0</v>
      </c>
      <c r="O745" s="348"/>
      <c r="S745" s="317">
        <f t="shared" si="203"/>
        <v>0</v>
      </c>
      <c r="BB745" s="352"/>
      <c r="BR745" s="347"/>
      <c r="BS745" s="337"/>
      <c r="CH745" s="337">
        <f t="shared" si="202"/>
        <v>0</v>
      </c>
      <c r="CL745" s="361">
        <f>+CM744</f>
        <v>41030</v>
      </c>
      <c r="CM745" s="361">
        <v>41032</v>
      </c>
      <c r="CN745" s="317">
        <f t="shared" si="197"/>
        <v>2</v>
      </c>
      <c r="CO745" s="368">
        <v>2.5000000000000001E-3</v>
      </c>
      <c r="CP745" s="346">
        <f t="shared" si="198"/>
        <v>5.0000000000000001E-3</v>
      </c>
      <c r="CQ745" s="365">
        <f>+CQ746</f>
        <v>2.1838999999999999E-3</v>
      </c>
      <c r="CR745" s="337">
        <f t="shared" si="201"/>
        <v>994.51</v>
      </c>
      <c r="CS745" s="356"/>
      <c r="CT745" s="356"/>
      <c r="CU745" s="372"/>
      <c r="CV745" s="337">
        <f t="shared" si="199"/>
        <v>1141.5999999999999</v>
      </c>
    </row>
    <row r="746" spans="10:102" x14ac:dyDescent="0.25">
      <c r="J746" s="345"/>
      <c r="K746" s="317">
        <f t="shared" si="200"/>
        <v>0</v>
      </c>
      <c r="O746" s="348"/>
      <c r="S746" s="317">
        <f t="shared" si="203"/>
        <v>0</v>
      </c>
      <c r="BB746" s="352"/>
      <c r="BR746" s="347"/>
      <c r="BS746" s="337"/>
      <c r="CH746" s="337">
        <f t="shared" si="202"/>
        <v>0</v>
      </c>
      <c r="CL746" s="361">
        <f>CM745</f>
        <v>41032</v>
      </c>
      <c r="CM746" s="361">
        <v>41039</v>
      </c>
      <c r="CN746" s="317">
        <f t="shared" si="197"/>
        <v>7</v>
      </c>
      <c r="CO746" s="368">
        <v>2.3E-3</v>
      </c>
      <c r="CP746" s="346">
        <f t="shared" si="198"/>
        <v>1.61E-2</v>
      </c>
      <c r="CQ746" s="365">
        <f>+CQ747</f>
        <v>2.1838999999999999E-3</v>
      </c>
      <c r="CR746" s="337">
        <f t="shared" si="201"/>
        <v>3480.7849999999999</v>
      </c>
      <c r="CV746" s="337">
        <f t="shared" si="199"/>
        <v>3675.9</v>
      </c>
    </row>
    <row r="747" spans="10:102" x14ac:dyDescent="0.25">
      <c r="J747" s="345"/>
      <c r="K747" s="317">
        <f t="shared" si="200"/>
        <v>0</v>
      </c>
      <c r="O747" s="348"/>
      <c r="S747" s="317">
        <f t="shared" si="203"/>
        <v>0</v>
      </c>
      <c r="BB747" s="352"/>
      <c r="BR747" s="347"/>
      <c r="BS747" s="337"/>
      <c r="CH747" s="337">
        <f t="shared" si="202"/>
        <v>0</v>
      </c>
      <c r="CL747" s="361">
        <f>CM746</f>
        <v>41039</v>
      </c>
      <c r="CM747" s="361">
        <v>41046</v>
      </c>
      <c r="CN747" s="317">
        <f t="shared" si="197"/>
        <v>7</v>
      </c>
      <c r="CO747" s="368">
        <v>2.2000000000000001E-3</v>
      </c>
      <c r="CP747" s="346">
        <f t="shared" si="198"/>
        <v>1.54E-2</v>
      </c>
      <c r="CQ747" s="365">
        <f>+CQ748</f>
        <v>2.1838999999999999E-3</v>
      </c>
      <c r="CR747" s="337">
        <f t="shared" si="201"/>
        <v>3480.7849999999999</v>
      </c>
      <c r="CV747" s="337">
        <f t="shared" si="199"/>
        <v>3516.1</v>
      </c>
    </row>
    <row r="748" spans="10:102" x14ac:dyDescent="0.25">
      <c r="J748" s="345"/>
      <c r="K748" s="317">
        <f t="shared" si="200"/>
        <v>0</v>
      </c>
      <c r="O748" s="348"/>
      <c r="S748" s="317">
        <f t="shared" si="203"/>
        <v>0</v>
      </c>
      <c r="BB748" s="352"/>
      <c r="BR748" s="347"/>
      <c r="BS748" s="337"/>
      <c r="CH748" s="337">
        <f t="shared" si="202"/>
        <v>0</v>
      </c>
      <c r="CL748" s="361">
        <f>CM747</f>
        <v>41046</v>
      </c>
      <c r="CM748" s="361">
        <v>41053</v>
      </c>
      <c r="CN748" s="317">
        <f t="shared" si="197"/>
        <v>7</v>
      </c>
      <c r="CO748" s="368">
        <v>2.2000000000000001E-3</v>
      </c>
      <c r="CP748" s="346">
        <f t="shared" si="198"/>
        <v>1.54E-2</v>
      </c>
      <c r="CQ748" s="365">
        <f>+CQ749</f>
        <v>2.1838999999999999E-3</v>
      </c>
      <c r="CR748" s="337">
        <f t="shared" si="201"/>
        <v>3480.7849999999999</v>
      </c>
      <c r="CV748" s="337">
        <f t="shared" si="199"/>
        <v>3516.1</v>
      </c>
    </row>
    <row r="749" spans="10:102" x14ac:dyDescent="0.25">
      <c r="J749" s="345"/>
      <c r="K749" s="317">
        <f t="shared" si="200"/>
        <v>0</v>
      </c>
      <c r="O749" s="348"/>
      <c r="S749" s="317">
        <f t="shared" si="203"/>
        <v>0</v>
      </c>
      <c r="BB749" s="352"/>
      <c r="BR749" s="347"/>
      <c r="BS749" s="337"/>
      <c r="CH749" s="337">
        <f t="shared" si="202"/>
        <v>0</v>
      </c>
      <c r="CL749" s="361">
        <f>CM748</f>
        <v>41053</v>
      </c>
      <c r="CM749" s="361">
        <v>41060</v>
      </c>
      <c r="CN749" s="317">
        <f t="shared" si="197"/>
        <v>7</v>
      </c>
      <c r="CO749" s="368">
        <v>2E-3</v>
      </c>
      <c r="CP749" s="346">
        <f t="shared" si="198"/>
        <v>1.4E-2</v>
      </c>
      <c r="CQ749" s="365">
        <f>+CQ750</f>
        <v>2.1838999999999999E-3</v>
      </c>
      <c r="CR749" s="337">
        <f t="shared" si="201"/>
        <v>3480.7849999999999</v>
      </c>
      <c r="CS749" s="337"/>
      <c r="CT749" s="337"/>
      <c r="CU749" s="372"/>
      <c r="CV749" s="337">
        <f t="shared" si="199"/>
        <v>3196.4</v>
      </c>
    </row>
    <row r="750" spans="10:102" x14ac:dyDescent="0.25">
      <c r="J750" s="345"/>
      <c r="K750" s="317">
        <f>J750-I750</f>
        <v>0</v>
      </c>
      <c r="O750" s="348"/>
      <c r="S750" s="317">
        <f>R750-Q750</f>
        <v>0</v>
      </c>
      <c r="BB750" s="352"/>
      <c r="BR750" s="347"/>
      <c r="BS750" s="337"/>
      <c r="CH750" s="337">
        <f>ROUND($CA$5*CG750*CF750/365,6)</f>
        <v>0</v>
      </c>
      <c r="CL750" s="361">
        <f>CM749</f>
        <v>41060</v>
      </c>
      <c r="CM750" s="361">
        <v>41061</v>
      </c>
      <c r="CN750" s="317">
        <f t="shared" si="197"/>
        <v>1</v>
      </c>
      <c r="CO750" s="368">
        <v>1.8E-3</v>
      </c>
      <c r="CP750" s="346">
        <f t="shared" si="198"/>
        <v>1.8E-3</v>
      </c>
      <c r="CQ750" s="365">
        <f>ROUND(SUM(CP745:CP750)/31,7)</f>
        <v>2.1838999999999999E-3</v>
      </c>
      <c r="CR750" s="337">
        <f t="shared" si="201"/>
        <v>497.255</v>
      </c>
      <c r="CS750" s="337">
        <f>(ROUND(SUM(CR745:CR750),3))</f>
        <v>15414.905000000001</v>
      </c>
      <c r="CT750" s="337">
        <f>ROUND($CR$5*0.05495*DAYS360(CL745,CM750)/360,3)</f>
        <v>381604.85399999999</v>
      </c>
      <c r="CU750" s="372">
        <f>CS750-CT750</f>
        <v>-366189.94899999996</v>
      </c>
      <c r="CV750" s="337">
        <f t="shared" si="199"/>
        <v>411</v>
      </c>
      <c r="CX750" s="363">
        <f>-SUM(CU745:CU750)/SUM(CN745:CN750)*366</f>
        <v>4323403.9139999999</v>
      </c>
    </row>
    <row r="751" spans="10:102" x14ac:dyDescent="0.25">
      <c r="J751" s="345"/>
      <c r="K751" s="317">
        <f t="shared" si="200"/>
        <v>0</v>
      </c>
      <c r="O751" s="348"/>
      <c r="S751" s="317">
        <f t="shared" si="203"/>
        <v>0</v>
      </c>
      <c r="BB751" s="352"/>
      <c r="BR751" s="347"/>
      <c r="BS751" s="337"/>
      <c r="CH751" s="337">
        <f t="shared" si="202"/>
        <v>0</v>
      </c>
      <c r="CL751" s="361">
        <f>+CM750</f>
        <v>41061</v>
      </c>
      <c r="CM751" s="361">
        <v>41067</v>
      </c>
      <c r="CN751" s="317">
        <f t="shared" si="197"/>
        <v>6</v>
      </c>
      <c r="CO751" s="368">
        <v>1.8E-3</v>
      </c>
      <c r="CP751" s="346">
        <f t="shared" si="198"/>
        <v>1.0800000000000001E-2</v>
      </c>
      <c r="CQ751" s="365">
        <f>+CQ752</f>
        <v>1.8226E-3</v>
      </c>
      <c r="CR751" s="337">
        <f t="shared" si="201"/>
        <v>2489.9409999999998</v>
      </c>
      <c r="CS751" s="356"/>
      <c r="CT751" s="356"/>
      <c r="CU751" s="372"/>
      <c r="CV751" s="337">
        <f t="shared" si="199"/>
        <v>2465.8000000000002</v>
      </c>
    </row>
    <row r="752" spans="10:102" x14ac:dyDescent="0.25">
      <c r="J752" s="345"/>
      <c r="K752" s="317">
        <f t="shared" si="200"/>
        <v>0</v>
      </c>
      <c r="O752" s="348"/>
      <c r="S752" s="317">
        <f t="shared" si="203"/>
        <v>0</v>
      </c>
      <c r="BB752" s="352"/>
      <c r="BR752" s="347"/>
      <c r="BS752" s="337"/>
      <c r="CH752" s="337">
        <f t="shared" si="202"/>
        <v>0</v>
      </c>
      <c r="CL752" s="361">
        <f>CM751</f>
        <v>41067</v>
      </c>
      <c r="CM752" s="361">
        <v>41074</v>
      </c>
      <c r="CN752" s="317">
        <f t="shared" si="197"/>
        <v>7</v>
      </c>
      <c r="CO752" s="368">
        <v>1.6000000000000001E-3</v>
      </c>
      <c r="CP752" s="346">
        <f t="shared" si="198"/>
        <v>1.12E-2</v>
      </c>
      <c r="CQ752" s="365">
        <f>+CQ753</f>
        <v>1.8226E-3</v>
      </c>
      <c r="CR752" s="337">
        <f t="shared" si="201"/>
        <v>2904.931</v>
      </c>
      <c r="CV752" s="337">
        <f t="shared" si="199"/>
        <v>2557.1</v>
      </c>
    </row>
    <row r="753" spans="10:102" x14ac:dyDescent="0.25">
      <c r="J753" s="345"/>
      <c r="K753" s="317">
        <f t="shared" si="200"/>
        <v>0</v>
      </c>
      <c r="O753" s="348"/>
      <c r="S753" s="317">
        <f t="shared" si="203"/>
        <v>0</v>
      </c>
      <c r="BB753" s="352"/>
      <c r="BR753" s="347"/>
      <c r="BS753" s="337"/>
      <c r="CH753" s="337">
        <f t="shared" si="202"/>
        <v>0</v>
      </c>
      <c r="CL753" s="361">
        <f>CM752</f>
        <v>41074</v>
      </c>
      <c r="CM753" s="361">
        <v>41081</v>
      </c>
      <c r="CN753" s="317">
        <f t="shared" si="197"/>
        <v>7</v>
      </c>
      <c r="CO753" s="368">
        <v>1.9E-3</v>
      </c>
      <c r="CP753" s="346">
        <f t="shared" si="198"/>
        <v>1.3299999999999999E-2</v>
      </c>
      <c r="CQ753" s="365">
        <f>+CQ754</f>
        <v>1.8226E-3</v>
      </c>
      <c r="CR753" s="337">
        <f t="shared" si="201"/>
        <v>2904.931</v>
      </c>
      <c r="CV753" s="337">
        <f t="shared" si="199"/>
        <v>3036.6</v>
      </c>
    </row>
    <row r="754" spans="10:102" x14ac:dyDescent="0.25">
      <c r="J754" s="345"/>
      <c r="K754" s="317">
        <f t="shared" si="200"/>
        <v>0</v>
      </c>
      <c r="O754" s="348"/>
      <c r="S754" s="317">
        <f t="shared" si="203"/>
        <v>0</v>
      </c>
      <c r="BB754" s="352"/>
      <c r="BR754" s="347"/>
      <c r="BS754" s="337"/>
      <c r="CH754" s="337">
        <f t="shared" si="202"/>
        <v>0</v>
      </c>
      <c r="CL754" s="361">
        <f>CM753</f>
        <v>41081</v>
      </c>
      <c r="CM754" s="361">
        <v>41088</v>
      </c>
      <c r="CN754" s="317">
        <f t="shared" si="197"/>
        <v>7</v>
      </c>
      <c r="CO754" s="368">
        <v>2E-3</v>
      </c>
      <c r="CP754" s="346">
        <f t="shared" si="198"/>
        <v>1.4E-2</v>
      </c>
      <c r="CQ754" s="365">
        <f>+CQ755</f>
        <v>1.8226E-3</v>
      </c>
      <c r="CR754" s="337">
        <f t="shared" si="201"/>
        <v>2904.931</v>
      </c>
      <c r="CV754" s="337">
        <f t="shared" si="199"/>
        <v>3196.4</v>
      </c>
    </row>
    <row r="755" spans="10:102" x14ac:dyDescent="0.25">
      <c r="J755" s="345"/>
      <c r="K755" s="317">
        <f t="shared" si="200"/>
        <v>0</v>
      </c>
      <c r="O755" s="348"/>
      <c r="S755" s="317">
        <f t="shared" si="203"/>
        <v>0</v>
      </c>
      <c r="BB755" s="352"/>
      <c r="BR755" s="347"/>
      <c r="BS755" s="337"/>
      <c r="CH755" s="337">
        <f t="shared" si="202"/>
        <v>0</v>
      </c>
      <c r="CL755" s="361">
        <f>CM754</f>
        <v>41088</v>
      </c>
      <c r="CM755" s="361">
        <v>41092</v>
      </c>
      <c r="CN755" s="317">
        <f t="shared" si="197"/>
        <v>4</v>
      </c>
      <c r="CO755" s="368">
        <v>1.8E-3</v>
      </c>
      <c r="CP755" s="346">
        <f t="shared" si="198"/>
        <v>7.1999999999999998E-3</v>
      </c>
      <c r="CQ755" s="365">
        <f>ROUND(SUM(CP751:CP755)/31,7)</f>
        <v>1.8226E-3</v>
      </c>
      <c r="CR755" s="337">
        <f t="shared" si="201"/>
        <v>1659.96</v>
      </c>
      <c r="CS755" s="337">
        <f>(ROUND(SUM(CR751:CR755),3))</f>
        <v>12864.694</v>
      </c>
      <c r="CT755" s="337">
        <f>ROUND($CR$5*0.05495*DAYS360(CL751,CM755)/360,3)</f>
        <v>394325.016</v>
      </c>
      <c r="CU755" s="372">
        <f>ROUNDUP(CS755-CT755,2)</f>
        <v>-381460.33</v>
      </c>
      <c r="CV755" s="337">
        <f t="shared" si="199"/>
        <v>1643.9</v>
      </c>
      <c r="CX755" s="363">
        <f>-SUM(CU745:CU755)/SUM(CN745:CN755)*366</f>
        <v>4413548.4211935485</v>
      </c>
    </row>
    <row r="756" spans="10:102" x14ac:dyDescent="0.25">
      <c r="J756" s="345"/>
      <c r="K756" s="317">
        <f t="shared" si="200"/>
        <v>0</v>
      </c>
      <c r="O756" s="348"/>
      <c r="S756" s="317">
        <f t="shared" si="203"/>
        <v>0</v>
      </c>
      <c r="BB756" s="352"/>
      <c r="BR756" s="347"/>
      <c r="BS756" s="337"/>
      <c r="CH756" s="337">
        <f t="shared" si="202"/>
        <v>0</v>
      </c>
      <c r="CL756" s="361">
        <f>+CM755</f>
        <v>41092</v>
      </c>
      <c r="CM756" s="361">
        <v>41095</v>
      </c>
      <c r="CN756" s="317">
        <f t="shared" si="197"/>
        <v>3</v>
      </c>
      <c r="CO756" s="368">
        <v>1.8E-3</v>
      </c>
      <c r="CP756" s="346">
        <f t="shared" si="198"/>
        <v>5.4000000000000003E-3</v>
      </c>
      <c r="CQ756" s="365">
        <f>+CQ757</f>
        <v>1.5533000000000001E-3</v>
      </c>
      <c r="CR756" s="337">
        <f t="shared" si="201"/>
        <v>1061.018</v>
      </c>
      <c r="CS756" s="356"/>
      <c r="CT756" s="356"/>
      <c r="CU756" s="372"/>
      <c r="CV756" s="337">
        <f t="shared" si="199"/>
        <v>1232.9000000000001</v>
      </c>
    </row>
    <row r="757" spans="10:102" x14ac:dyDescent="0.25">
      <c r="J757" s="345"/>
      <c r="K757" s="317">
        <f t="shared" si="200"/>
        <v>0</v>
      </c>
      <c r="O757" s="348"/>
      <c r="S757" s="317">
        <f t="shared" si="203"/>
        <v>0</v>
      </c>
      <c r="BR757" s="347"/>
      <c r="BS757" s="337"/>
      <c r="CH757" s="337">
        <f t="shared" si="202"/>
        <v>0</v>
      </c>
      <c r="CL757" s="361">
        <f>CM756</f>
        <v>41095</v>
      </c>
      <c r="CM757" s="361">
        <v>41102</v>
      </c>
      <c r="CN757" s="317">
        <f t="shared" si="197"/>
        <v>7</v>
      </c>
      <c r="CO757" s="368">
        <v>1.5E-3</v>
      </c>
      <c r="CP757" s="346">
        <f t="shared" si="198"/>
        <v>1.0500000000000001E-2</v>
      </c>
      <c r="CQ757" s="365">
        <f>+CQ758</f>
        <v>1.5533000000000001E-3</v>
      </c>
      <c r="CR757" s="337">
        <f t="shared" si="201"/>
        <v>2475.71</v>
      </c>
      <c r="CV757" s="337">
        <f t="shared" si="199"/>
        <v>2397.3000000000002</v>
      </c>
    </row>
    <row r="758" spans="10:102" x14ac:dyDescent="0.25">
      <c r="J758" s="345"/>
      <c r="K758" s="317">
        <f t="shared" si="200"/>
        <v>0</v>
      </c>
      <c r="O758" s="348"/>
      <c r="S758" s="317">
        <f t="shared" si="203"/>
        <v>0</v>
      </c>
      <c r="BR758" s="347"/>
      <c r="BS758" s="337"/>
      <c r="CH758" s="337">
        <f t="shared" si="202"/>
        <v>0</v>
      </c>
      <c r="CL758" s="361">
        <f>CM757</f>
        <v>41102</v>
      </c>
      <c r="CM758" s="361">
        <v>41109</v>
      </c>
      <c r="CN758" s="317">
        <f t="shared" si="197"/>
        <v>7</v>
      </c>
      <c r="CO758" s="368">
        <v>1.5E-3</v>
      </c>
      <c r="CP758" s="346">
        <f t="shared" si="198"/>
        <v>1.0500000000000001E-2</v>
      </c>
      <c r="CQ758" s="365">
        <f>+CQ759</f>
        <v>1.5533000000000001E-3</v>
      </c>
      <c r="CR758" s="337">
        <f t="shared" si="201"/>
        <v>2475.71</v>
      </c>
      <c r="CV758" s="337">
        <f t="shared" si="199"/>
        <v>2397.3000000000002</v>
      </c>
    </row>
    <row r="759" spans="10:102" x14ac:dyDescent="0.25">
      <c r="J759" s="345"/>
      <c r="K759" s="317">
        <f t="shared" si="200"/>
        <v>0</v>
      </c>
      <c r="O759" s="348"/>
      <c r="S759" s="317">
        <f t="shared" si="203"/>
        <v>0</v>
      </c>
      <c r="BR759" s="347"/>
      <c r="BS759" s="337"/>
      <c r="CH759" s="337">
        <f t="shared" si="202"/>
        <v>0</v>
      </c>
      <c r="CL759" s="361">
        <f>CM758</f>
        <v>41109</v>
      </c>
      <c r="CM759" s="361">
        <v>41116</v>
      </c>
      <c r="CN759" s="317">
        <f t="shared" si="197"/>
        <v>7</v>
      </c>
      <c r="CO759" s="368">
        <v>1.6000000000000001E-3</v>
      </c>
      <c r="CP759" s="346">
        <f t="shared" si="198"/>
        <v>1.12E-2</v>
      </c>
      <c r="CQ759" s="365">
        <f>+CQ760</f>
        <v>1.5533000000000001E-3</v>
      </c>
      <c r="CR759" s="337">
        <f t="shared" si="201"/>
        <v>2475.71</v>
      </c>
      <c r="CV759" s="337">
        <f t="shared" si="199"/>
        <v>2557.1</v>
      </c>
    </row>
    <row r="760" spans="10:102" x14ac:dyDescent="0.25">
      <c r="J760" s="345"/>
      <c r="S760" s="317">
        <f t="shared" si="203"/>
        <v>0</v>
      </c>
      <c r="BR760" s="347"/>
      <c r="BS760" s="337"/>
      <c r="CH760" s="337">
        <f t="shared" si="202"/>
        <v>0</v>
      </c>
      <c r="CL760" s="361">
        <f>CM759</f>
        <v>41116</v>
      </c>
      <c r="CM760" s="361">
        <v>41122</v>
      </c>
      <c r="CN760" s="317">
        <f t="shared" si="197"/>
        <v>6</v>
      </c>
      <c r="CO760" s="368">
        <v>1.5E-3</v>
      </c>
      <c r="CP760" s="346">
        <f t="shared" si="198"/>
        <v>9.0000000000000011E-3</v>
      </c>
      <c r="CQ760" s="365">
        <f>ROUND(SUM(CP756:CP760)/30,7)</f>
        <v>1.5533000000000001E-3</v>
      </c>
      <c r="CR760" s="337">
        <f t="shared" si="201"/>
        <v>2122.0369999999998</v>
      </c>
      <c r="CS760" s="337">
        <f>(ROUND(SUM(CR756:CR760),3))</f>
        <v>10610.184999999999</v>
      </c>
      <c r="CT760" s="337">
        <f>ROUND($CR$5*0.05495*DAYS360(CL756,CM760)/360,3)</f>
        <v>368884.69199999998</v>
      </c>
      <c r="CU760" s="372">
        <f>ROUNDUP(CS760-CT760,2)</f>
        <v>-358274.51</v>
      </c>
      <c r="CV760" s="337">
        <f t="shared" si="199"/>
        <v>2054.8000000000002</v>
      </c>
      <c r="CX760" s="363">
        <f>-SUM(CU750:CU760)/SUM(CN745:CN760)*366</f>
        <v>4399657.312760869</v>
      </c>
    </row>
    <row r="761" spans="10:102" x14ac:dyDescent="0.25">
      <c r="J761" s="345"/>
      <c r="S761" s="317">
        <f t="shared" si="203"/>
        <v>0</v>
      </c>
      <c r="BR761" s="347"/>
      <c r="BS761" s="337"/>
      <c r="CH761" s="337">
        <f t="shared" si="202"/>
        <v>0</v>
      </c>
      <c r="CL761" s="361">
        <f>+CM760</f>
        <v>41122</v>
      </c>
      <c r="CM761" s="361">
        <v>41123</v>
      </c>
      <c r="CN761" s="317">
        <f t="shared" ref="CN761:CN824" si="204">CM761-CL761</f>
        <v>1</v>
      </c>
      <c r="CO761" s="368">
        <v>1.5E-3</v>
      </c>
      <c r="CP761" s="346">
        <f t="shared" si="198"/>
        <v>1.5E-3</v>
      </c>
      <c r="CQ761" s="365">
        <f>+CQ762</f>
        <v>1.4059000000000001E-3</v>
      </c>
      <c r="CR761" s="337">
        <f t="shared" si="201"/>
        <v>320.11099999999999</v>
      </c>
      <c r="CS761" s="356"/>
      <c r="CT761" s="356"/>
      <c r="CU761" s="372"/>
      <c r="CV761" s="337">
        <f t="shared" si="199"/>
        <v>342.5</v>
      </c>
    </row>
    <row r="762" spans="10:102" x14ac:dyDescent="0.25">
      <c r="J762" s="345"/>
      <c r="S762" s="317">
        <f t="shared" si="203"/>
        <v>0</v>
      </c>
      <c r="BR762" s="347"/>
      <c r="BS762" s="337"/>
      <c r="CH762" s="337">
        <f t="shared" si="202"/>
        <v>0</v>
      </c>
      <c r="CL762" s="361">
        <f>CM761</f>
        <v>41123</v>
      </c>
      <c r="CM762" s="361">
        <v>41130</v>
      </c>
      <c r="CN762" s="317">
        <f t="shared" si="204"/>
        <v>7</v>
      </c>
      <c r="CO762" s="368">
        <v>1.4E-3</v>
      </c>
      <c r="CP762" s="346">
        <f t="shared" si="198"/>
        <v>9.7999999999999997E-3</v>
      </c>
      <c r="CQ762" s="365">
        <f>+CQ763</f>
        <v>1.4059000000000001E-3</v>
      </c>
      <c r="CR762" s="337">
        <f t="shared" si="201"/>
        <v>2240.7779999999998</v>
      </c>
      <c r="CV762" s="337">
        <f t="shared" si="199"/>
        <v>2237.5</v>
      </c>
    </row>
    <row r="763" spans="10:102" x14ac:dyDescent="0.25">
      <c r="J763" s="345"/>
      <c r="S763" s="317">
        <f t="shared" si="203"/>
        <v>0</v>
      </c>
      <c r="BR763" s="347"/>
      <c r="BS763" s="337"/>
      <c r="CH763" s="337">
        <f t="shared" si="202"/>
        <v>0</v>
      </c>
      <c r="CL763" s="361">
        <f>CM762</f>
        <v>41130</v>
      </c>
      <c r="CM763" s="361">
        <v>41137</v>
      </c>
      <c r="CN763" s="317">
        <f t="shared" si="204"/>
        <v>7</v>
      </c>
      <c r="CO763" s="368">
        <v>1.2999999999999999E-3</v>
      </c>
      <c r="CP763" s="346">
        <f t="shared" si="198"/>
        <v>9.1000000000000004E-3</v>
      </c>
      <c r="CQ763" s="365">
        <f>+CQ764</f>
        <v>1.4059000000000001E-3</v>
      </c>
      <c r="CR763" s="337">
        <f t="shared" si="201"/>
        <v>2240.7779999999998</v>
      </c>
      <c r="CV763" s="337">
        <f t="shared" si="199"/>
        <v>2077.6999999999998</v>
      </c>
    </row>
    <row r="764" spans="10:102" x14ac:dyDescent="0.25">
      <c r="J764" s="345"/>
      <c r="S764" s="317">
        <f t="shared" si="203"/>
        <v>0</v>
      </c>
      <c r="BR764" s="347"/>
      <c r="BS764" s="337"/>
      <c r="CH764" s="337">
        <f t="shared" si="202"/>
        <v>0</v>
      </c>
      <c r="CL764" s="361">
        <f>CM763</f>
        <v>41137</v>
      </c>
      <c r="CM764" s="361">
        <v>41144</v>
      </c>
      <c r="CN764" s="317">
        <f t="shared" si="204"/>
        <v>7</v>
      </c>
      <c r="CO764" s="368">
        <v>1.2999999999999999E-3</v>
      </c>
      <c r="CP764" s="346">
        <f t="shared" si="198"/>
        <v>9.1000000000000004E-3</v>
      </c>
      <c r="CQ764" s="365">
        <f>+CQ765</f>
        <v>1.4059000000000001E-3</v>
      </c>
      <c r="CR764" s="337">
        <f t="shared" si="201"/>
        <v>2240.7779999999998</v>
      </c>
      <c r="CV764" s="337">
        <f t="shared" si="199"/>
        <v>2077.6999999999998</v>
      </c>
    </row>
    <row r="765" spans="10:102" x14ac:dyDescent="0.25">
      <c r="J765" s="345"/>
      <c r="S765" s="317">
        <f t="shared" si="203"/>
        <v>0</v>
      </c>
      <c r="BR765" s="347"/>
      <c r="BS765" s="337"/>
      <c r="CH765" s="337">
        <f t="shared" si="202"/>
        <v>0</v>
      </c>
      <c r="CL765" s="361">
        <f>CM764</f>
        <v>41144</v>
      </c>
      <c r="CM765" s="361">
        <v>41151</v>
      </c>
      <c r="CN765" s="317">
        <f t="shared" si="204"/>
        <v>7</v>
      </c>
      <c r="CO765" s="368">
        <v>1.4E-3</v>
      </c>
      <c r="CP765" s="346">
        <f t="shared" si="198"/>
        <v>9.7999999999999997E-3</v>
      </c>
      <c r="CQ765" s="365">
        <f>+CQ766</f>
        <v>1.4059000000000001E-3</v>
      </c>
      <c r="CR765" s="337">
        <f t="shared" si="201"/>
        <v>2240.7779999999998</v>
      </c>
    </row>
    <row r="766" spans="10:102" x14ac:dyDescent="0.25">
      <c r="J766" s="345"/>
      <c r="S766" s="317">
        <f t="shared" si="203"/>
        <v>0</v>
      </c>
      <c r="BR766" s="347"/>
      <c r="BS766" s="337"/>
      <c r="CH766" s="337">
        <f t="shared" si="202"/>
        <v>0</v>
      </c>
      <c r="CL766" s="361">
        <f>CM765</f>
        <v>41151</v>
      </c>
      <c r="CM766" s="361">
        <v>41156</v>
      </c>
      <c r="CN766" s="317">
        <f t="shared" si="204"/>
        <v>5</v>
      </c>
      <c r="CO766" s="368">
        <v>1.6999999999999999E-3</v>
      </c>
      <c r="CP766" s="346">
        <f t="shared" si="198"/>
        <v>8.4999999999999989E-3</v>
      </c>
      <c r="CQ766" s="365">
        <f>ROUND(SUM(CP761:CP766)/34,7)</f>
        <v>1.4059000000000001E-3</v>
      </c>
      <c r="CR766" s="337">
        <f t="shared" si="201"/>
        <v>1600.556</v>
      </c>
      <c r="CS766" s="337">
        <f>(ROUND(SUM(CR761:CR766),3))</f>
        <v>10883.779</v>
      </c>
      <c r="CT766" s="337">
        <f>ROUND($CR$5*0.05495*DAYS360(CL761,CM766)/360,3)</f>
        <v>419765.34</v>
      </c>
      <c r="CU766" s="372">
        <f>ROUNDUP(CS766-CT766,4)</f>
        <v>-408881.56099999999</v>
      </c>
      <c r="CV766" s="337">
        <f>ROUND($CR$5*CO766*CN765/365,1)</f>
        <v>2716.9</v>
      </c>
      <c r="CX766" s="363">
        <f>-SUM(CU750:CW766)/SUM(CN745:CN766)*366</f>
        <v>4303125.469047619</v>
      </c>
    </row>
    <row r="767" spans="10:102" x14ac:dyDescent="0.25">
      <c r="J767" s="345"/>
      <c r="S767" s="317">
        <f t="shared" si="203"/>
        <v>0</v>
      </c>
      <c r="BR767" s="347"/>
      <c r="BS767" s="337"/>
      <c r="CH767" s="337">
        <f t="shared" si="202"/>
        <v>0</v>
      </c>
      <c r="CL767" s="361">
        <f>+CM766</f>
        <v>41156</v>
      </c>
      <c r="CM767" s="361">
        <v>41158</v>
      </c>
      <c r="CN767" s="317">
        <f t="shared" si="204"/>
        <v>2</v>
      </c>
      <c r="CO767" s="368">
        <v>1.6999999999999999E-3</v>
      </c>
      <c r="CP767" s="346">
        <f t="shared" si="198"/>
        <v>3.3999999999999998E-3</v>
      </c>
      <c r="CQ767" s="365">
        <f>+CQ768</f>
        <v>1.637E-3</v>
      </c>
      <c r="CR767" s="337">
        <f t="shared" si="201"/>
        <v>745.46100000000001</v>
      </c>
      <c r="CS767" s="356"/>
      <c r="CT767" s="356"/>
      <c r="CU767" s="372"/>
      <c r="CV767" s="337">
        <f>ROUND($CR$5*CO767*CN767/365,1)</f>
        <v>776.3</v>
      </c>
    </row>
    <row r="768" spans="10:102" x14ac:dyDescent="0.25">
      <c r="J768" s="345"/>
      <c r="S768" s="317">
        <f t="shared" si="203"/>
        <v>0</v>
      </c>
      <c r="BR768" s="347"/>
      <c r="BS768" s="337"/>
      <c r="CH768" s="337">
        <f t="shared" si="202"/>
        <v>0</v>
      </c>
      <c r="CL768" s="361">
        <f>CM767</f>
        <v>41158</v>
      </c>
      <c r="CM768" s="361">
        <v>41165</v>
      </c>
      <c r="CN768" s="317">
        <f t="shared" si="204"/>
        <v>7</v>
      </c>
      <c r="CO768" s="368">
        <v>1.5E-3</v>
      </c>
      <c r="CP768" s="346">
        <f t="shared" si="198"/>
        <v>1.0500000000000001E-2</v>
      </c>
      <c r="CQ768" s="365">
        <f>+CQ769</f>
        <v>1.637E-3</v>
      </c>
      <c r="CR768" s="337">
        <f t="shared" si="201"/>
        <v>2609.114</v>
      </c>
      <c r="CV768" s="337">
        <f>ROUND($CR$5*CO768*CN768/365,1)</f>
        <v>2397.3000000000002</v>
      </c>
    </row>
    <row r="769" spans="10:102" x14ac:dyDescent="0.25">
      <c r="J769" s="345"/>
      <c r="S769" s="317">
        <f t="shared" si="203"/>
        <v>0</v>
      </c>
      <c r="BR769" s="347"/>
      <c r="BS769" s="337"/>
      <c r="CH769" s="337">
        <f t="shared" si="202"/>
        <v>0</v>
      </c>
      <c r="CL769" s="361">
        <f>CM768</f>
        <v>41165</v>
      </c>
      <c r="CM769" s="361">
        <v>41172</v>
      </c>
      <c r="CN769" s="317">
        <f t="shared" si="204"/>
        <v>7</v>
      </c>
      <c r="CO769" s="368">
        <v>1.6000000000000001E-3</v>
      </c>
      <c r="CP769" s="346">
        <f t="shared" si="198"/>
        <v>1.12E-2</v>
      </c>
      <c r="CQ769" s="365">
        <f>+CQ770</f>
        <v>1.637E-3</v>
      </c>
      <c r="CR769" s="337">
        <f t="shared" si="201"/>
        <v>2609.114</v>
      </c>
      <c r="CV769" s="337">
        <f>ROUND($CR$5*CO769*CN769/365,1)</f>
        <v>2557.1</v>
      </c>
    </row>
    <row r="770" spans="10:102" x14ac:dyDescent="0.25">
      <c r="J770" s="345"/>
      <c r="S770" s="317">
        <f t="shared" si="203"/>
        <v>0</v>
      </c>
      <c r="BR770" s="347"/>
      <c r="BS770" s="337"/>
      <c r="CH770" s="337">
        <f t="shared" si="202"/>
        <v>0</v>
      </c>
      <c r="CL770" s="361">
        <f>CM769</f>
        <v>41172</v>
      </c>
      <c r="CM770" s="361">
        <v>41179</v>
      </c>
      <c r="CN770" s="317">
        <f t="shared" si="204"/>
        <v>7</v>
      </c>
      <c r="CO770" s="368">
        <v>1.6999999999999999E-3</v>
      </c>
      <c r="CP770" s="346">
        <f t="shared" ref="CP770:CP833" si="205">CN770*CO770</f>
        <v>1.1899999999999999E-2</v>
      </c>
      <c r="CQ770" s="365">
        <f>CQ771</f>
        <v>1.637E-3</v>
      </c>
      <c r="CR770" s="337">
        <f t="shared" si="201"/>
        <v>2609.114</v>
      </c>
      <c r="CV770" s="337">
        <f>ROUND($CR$5*CO770*CN770/365,1)</f>
        <v>2716.9</v>
      </c>
    </row>
    <row r="771" spans="10:102" x14ac:dyDescent="0.25">
      <c r="J771" s="345"/>
      <c r="S771" s="317">
        <f t="shared" si="203"/>
        <v>0</v>
      </c>
      <c r="BR771" s="347"/>
      <c r="BS771" s="337"/>
      <c r="CH771" s="337">
        <f t="shared" si="202"/>
        <v>0</v>
      </c>
      <c r="CL771" s="361">
        <f>+CM770</f>
        <v>41179</v>
      </c>
      <c r="CM771" s="361">
        <v>41183</v>
      </c>
      <c r="CN771" s="317">
        <f t="shared" si="204"/>
        <v>4</v>
      </c>
      <c r="CO771" s="368">
        <v>1.8E-3</v>
      </c>
      <c r="CP771" s="346">
        <f t="shared" si="205"/>
        <v>7.1999999999999998E-3</v>
      </c>
      <c r="CQ771" s="365">
        <f>ROUND(SUM(CP767:CP771)/27,7)</f>
        <v>1.637E-3</v>
      </c>
      <c r="CR771" s="337">
        <f t="shared" si="201"/>
        <v>1490.922</v>
      </c>
      <c r="CS771" s="337">
        <f>(ROUND(SUM(CR767:CR771),3))</f>
        <v>10063.725</v>
      </c>
      <c r="CT771" s="337">
        <f>ROUND($CR$5*0.05495*DAYS360(CL767,CM771)/360,3)</f>
        <v>343444.36900000001</v>
      </c>
      <c r="CU771" s="372">
        <f>ROUNDUP(CS771-CT771,4)</f>
        <v>-333380.64399999997</v>
      </c>
      <c r="CV771" s="337" t="e">
        <f>ROUND($CR$5*CO771*#REF!/365,1)</f>
        <v>#REF!</v>
      </c>
      <c r="CX771" s="363">
        <f>-SUM(CU750:CU771)/SUM(CN745:CN771)*366</f>
        <v>4421153.2013333328</v>
      </c>
    </row>
    <row r="772" spans="10:102" x14ac:dyDescent="0.25">
      <c r="J772" s="345"/>
      <c r="S772" s="317">
        <f t="shared" si="203"/>
        <v>0</v>
      </c>
      <c r="BR772" s="347"/>
      <c r="BS772" s="337"/>
      <c r="CH772" s="337">
        <f t="shared" si="202"/>
        <v>0</v>
      </c>
      <c r="CL772" s="361">
        <f>+CM771</f>
        <v>41183</v>
      </c>
      <c r="CM772" s="361">
        <v>41186</v>
      </c>
      <c r="CN772" s="317">
        <f t="shared" si="204"/>
        <v>3</v>
      </c>
      <c r="CO772" s="368">
        <v>1.8E-3</v>
      </c>
      <c r="CP772" s="346">
        <f t="shared" si="205"/>
        <v>5.4000000000000003E-3</v>
      </c>
      <c r="CQ772" s="365">
        <f>+CQ773</f>
        <v>1.8676999999999999E-3</v>
      </c>
      <c r="CR772" s="337">
        <f t="shared" si="201"/>
        <v>1275.777</v>
      </c>
      <c r="CS772" s="356"/>
      <c r="CT772" s="356"/>
      <c r="CU772" s="372"/>
      <c r="CV772" s="337">
        <f>ROUND($CR$5*CO772*CN772/365,1)</f>
        <v>1232.9000000000001</v>
      </c>
    </row>
    <row r="773" spans="10:102" x14ac:dyDescent="0.25">
      <c r="J773" s="345"/>
      <c r="S773" s="317">
        <f t="shared" si="203"/>
        <v>0</v>
      </c>
      <c r="BR773" s="347"/>
      <c r="BS773" s="337"/>
      <c r="CH773" s="337">
        <f t="shared" si="202"/>
        <v>0</v>
      </c>
      <c r="CL773" s="361">
        <f>CM772</f>
        <v>41186</v>
      </c>
      <c r="CM773" s="361">
        <v>41193</v>
      </c>
      <c r="CN773" s="317">
        <f t="shared" si="204"/>
        <v>7</v>
      </c>
      <c r="CO773" s="368">
        <v>1.6000000000000001E-3</v>
      </c>
      <c r="CP773" s="346">
        <f t="shared" si="205"/>
        <v>1.12E-2</v>
      </c>
      <c r="CQ773" s="365">
        <f>+CQ774</f>
        <v>1.8676999999999999E-3</v>
      </c>
      <c r="CR773" s="337">
        <f t="shared" si="201"/>
        <v>2976.8130000000001</v>
      </c>
      <c r="CV773" s="337">
        <f>ROUND($CR$5*CO773*CN773/365,1)</f>
        <v>2557.1</v>
      </c>
    </row>
    <row r="774" spans="10:102" x14ac:dyDescent="0.25">
      <c r="J774" s="345"/>
      <c r="S774" s="317">
        <f t="shared" si="203"/>
        <v>0</v>
      </c>
      <c r="BR774" s="347"/>
      <c r="BS774" s="337"/>
      <c r="CH774" s="337">
        <f t="shared" si="202"/>
        <v>0</v>
      </c>
      <c r="CL774" s="361">
        <f>CM773</f>
        <v>41193</v>
      </c>
      <c r="CM774" s="361">
        <v>41200</v>
      </c>
      <c r="CN774" s="317">
        <f t="shared" si="204"/>
        <v>7</v>
      </c>
      <c r="CO774" s="368">
        <v>1.8E-3</v>
      </c>
      <c r="CP774" s="346">
        <f t="shared" si="205"/>
        <v>1.26E-2</v>
      </c>
      <c r="CQ774" s="365">
        <f>+CQ775</f>
        <v>1.8676999999999999E-3</v>
      </c>
      <c r="CR774" s="337">
        <f t="shared" si="201"/>
        <v>2976.8130000000001</v>
      </c>
      <c r="CV774" s="337">
        <f>ROUND($CR$5*CO774*CN774/365,1)</f>
        <v>2876.8</v>
      </c>
    </row>
    <row r="775" spans="10:102" x14ac:dyDescent="0.25">
      <c r="J775" s="345"/>
      <c r="S775" s="317">
        <f t="shared" si="203"/>
        <v>0</v>
      </c>
      <c r="BR775" s="347"/>
      <c r="BS775" s="337"/>
      <c r="CH775" s="337">
        <f t="shared" si="202"/>
        <v>0</v>
      </c>
      <c r="CL775" s="361">
        <f>CM774</f>
        <v>41200</v>
      </c>
      <c r="CM775" s="361">
        <v>41207</v>
      </c>
      <c r="CN775" s="317">
        <f t="shared" si="204"/>
        <v>7</v>
      </c>
      <c r="CO775" s="368">
        <v>2E-3</v>
      </c>
      <c r="CP775" s="346">
        <f t="shared" si="205"/>
        <v>1.4E-2</v>
      </c>
      <c r="CQ775" s="365">
        <f>CQ776</f>
        <v>1.8676999999999999E-3</v>
      </c>
      <c r="CR775" s="337">
        <f t="shared" si="201"/>
        <v>2976.8130000000001</v>
      </c>
      <c r="CV775" s="337">
        <f>ROUND($CR$5*CO775*CN775/365,1)</f>
        <v>3196.4</v>
      </c>
    </row>
    <row r="776" spans="10:102" x14ac:dyDescent="0.25">
      <c r="J776" s="345"/>
      <c r="S776" s="317">
        <f t="shared" si="203"/>
        <v>0</v>
      </c>
      <c r="BR776" s="347"/>
      <c r="BS776" s="337"/>
      <c r="CH776" s="337">
        <f t="shared" si="202"/>
        <v>0</v>
      </c>
      <c r="CL776" s="361">
        <f>+CM775</f>
        <v>41207</v>
      </c>
      <c r="CM776" s="361">
        <v>41214</v>
      </c>
      <c r="CN776" s="317">
        <f t="shared" si="204"/>
        <v>7</v>
      </c>
      <c r="CO776" s="368">
        <v>2.0999999999999999E-3</v>
      </c>
      <c r="CP776" s="346">
        <f t="shared" si="205"/>
        <v>1.47E-2</v>
      </c>
      <c r="CQ776" s="365">
        <f>ROUND(SUM(CP772:CP776)/31,7)</f>
        <v>1.8676999999999999E-3</v>
      </c>
      <c r="CR776" s="337">
        <f t="shared" si="201"/>
        <v>2976.8130000000001</v>
      </c>
      <c r="CS776" s="337">
        <f>(ROUND(SUM(CR772:CR776),2))</f>
        <v>13183.03</v>
      </c>
      <c r="CT776" s="337">
        <f>ROUND($CR$5*0.05495*DAYS360(CL772,CM776)/360,2)</f>
        <v>381604.85</v>
      </c>
      <c r="CU776" s="372">
        <f>ROUNDUP(CS776-CT776,5)</f>
        <v>-368421.82</v>
      </c>
      <c r="CV776" s="337" t="e">
        <f>ROUND($CR$5*CO776*#REF!/365,1)</f>
        <v>#REF!</v>
      </c>
      <c r="CX776" s="363">
        <f>-SUM(CU750:CU776)/SUM(CN745:CN776)*366</f>
        <v>4409124.0539347818</v>
      </c>
    </row>
    <row r="777" spans="10:102" x14ac:dyDescent="0.25">
      <c r="J777" s="345"/>
      <c r="S777" s="317">
        <f t="shared" si="203"/>
        <v>0</v>
      </c>
      <c r="BR777" s="347"/>
      <c r="BS777" s="337"/>
      <c r="CH777" s="337">
        <f t="shared" si="202"/>
        <v>0</v>
      </c>
      <c r="CL777" s="361">
        <f>+CM776</f>
        <v>41214</v>
      </c>
      <c r="CM777" s="361">
        <v>41221</v>
      </c>
      <c r="CN777" s="317">
        <f t="shared" si="204"/>
        <v>7</v>
      </c>
      <c r="CO777" s="368">
        <v>2.0999999999999999E-3</v>
      </c>
      <c r="CP777" s="346">
        <f t="shared" si="205"/>
        <v>1.47E-2</v>
      </c>
      <c r="CQ777" s="365">
        <f>+CQ778</f>
        <v>1.9344E-3</v>
      </c>
      <c r="CR777" s="337">
        <f t="shared" si="201"/>
        <v>3083.1219999999998</v>
      </c>
      <c r="CS777" s="356"/>
      <c r="CT777" s="356"/>
      <c r="CU777" s="372"/>
      <c r="CV777" s="337">
        <f>ROUND($CR$5*CO777*CN777/365,1)</f>
        <v>3356.2</v>
      </c>
    </row>
    <row r="778" spans="10:102" x14ac:dyDescent="0.25">
      <c r="J778" s="345"/>
      <c r="S778" s="317">
        <f t="shared" si="203"/>
        <v>0</v>
      </c>
      <c r="BR778" s="347"/>
      <c r="BS778" s="337"/>
      <c r="CH778" s="337">
        <f t="shared" si="202"/>
        <v>0</v>
      </c>
      <c r="CL778" s="361">
        <f>CM777</f>
        <v>41221</v>
      </c>
      <c r="CM778" s="361">
        <v>41228</v>
      </c>
      <c r="CN778" s="317">
        <f t="shared" si="204"/>
        <v>7</v>
      </c>
      <c r="CO778" s="368">
        <v>2E-3</v>
      </c>
      <c r="CP778" s="346">
        <f t="shared" si="205"/>
        <v>1.4E-2</v>
      </c>
      <c r="CQ778" s="365">
        <f>+CQ779</f>
        <v>1.9344E-3</v>
      </c>
      <c r="CR778" s="337">
        <f t="shared" si="201"/>
        <v>3083.1219999999998</v>
      </c>
      <c r="CV778" s="337">
        <f>ROUND($CR$5*CO778*CN778/365,1)</f>
        <v>3196.4</v>
      </c>
    </row>
    <row r="779" spans="10:102" x14ac:dyDescent="0.25">
      <c r="J779" s="345"/>
      <c r="S779" s="317">
        <f t="shared" si="203"/>
        <v>0</v>
      </c>
      <c r="BR779" s="347"/>
      <c r="BS779" s="337"/>
      <c r="CH779" s="337">
        <f t="shared" si="202"/>
        <v>0</v>
      </c>
      <c r="CL779" s="361">
        <f>CM778</f>
        <v>41228</v>
      </c>
      <c r="CM779" s="361">
        <v>41236</v>
      </c>
      <c r="CN779" s="317">
        <f t="shared" si="204"/>
        <v>8</v>
      </c>
      <c r="CO779" s="368">
        <v>2E-3</v>
      </c>
      <c r="CP779" s="346">
        <f t="shared" si="205"/>
        <v>1.6E-2</v>
      </c>
      <c r="CQ779" s="365">
        <f>+CQ780</f>
        <v>1.9344E-3</v>
      </c>
      <c r="CR779" s="337">
        <f t="shared" si="201"/>
        <v>3523.5680000000002</v>
      </c>
      <c r="CV779" s="337">
        <f>ROUND($CR$5*CO779*CN779/365,1)</f>
        <v>3653</v>
      </c>
    </row>
    <row r="780" spans="10:102" x14ac:dyDescent="0.25">
      <c r="J780" s="345"/>
      <c r="S780" s="317">
        <f t="shared" si="203"/>
        <v>0</v>
      </c>
      <c r="BR780" s="347"/>
      <c r="BS780" s="337"/>
      <c r="CH780" s="337">
        <f t="shared" si="202"/>
        <v>0</v>
      </c>
      <c r="CL780" s="361">
        <f>CM779</f>
        <v>41236</v>
      </c>
      <c r="CM780" s="361">
        <v>41242</v>
      </c>
      <c r="CN780" s="317">
        <f t="shared" si="204"/>
        <v>6</v>
      </c>
      <c r="CO780" s="368">
        <v>1.8E-3</v>
      </c>
      <c r="CP780" s="346">
        <f t="shared" si="205"/>
        <v>1.0800000000000001E-2</v>
      </c>
      <c r="CQ780" s="365">
        <f>CQ781</f>
        <v>1.9344E-3</v>
      </c>
      <c r="CR780" s="337">
        <f t="shared" si="201"/>
        <v>2642.6759999999999</v>
      </c>
      <c r="CV780" s="337">
        <f>ROUND($CR$5*CO780*CN780/365,1)</f>
        <v>2465.8000000000002</v>
      </c>
    </row>
    <row r="781" spans="10:102" x14ac:dyDescent="0.25">
      <c r="J781" s="345"/>
      <c r="S781" s="317">
        <f t="shared" si="203"/>
        <v>0</v>
      </c>
      <c r="BR781" s="347"/>
      <c r="BS781" s="337"/>
      <c r="CH781" s="337">
        <f t="shared" si="202"/>
        <v>0</v>
      </c>
      <c r="CL781" s="361">
        <f>+CM780</f>
        <v>41242</v>
      </c>
      <c r="CM781" s="361">
        <v>41246</v>
      </c>
      <c r="CN781" s="317">
        <f t="shared" si="204"/>
        <v>4</v>
      </c>
      <c r="CO781" s="368">
        <v>1.6000000000000001E-3</v>
      </c>
      <c r="CP781" s="346">
        <f t="shared" si="205"/>
        <v>6.4000000000000003E-3</v>
      </c>
      <c r="CQ781" s="365">
        <f>ROUND(SUM(CP777:CP781)/32,7)</f>
        <v>1.9344E-3</v>
      </c>
      <c r="CR781" s="337">
        <f t="shared" si="201"/>
        <v>1761.7840000000001</v>
      </c>
      <c r="CS781" s="337">
        <f>(ROUND(SUM(CR777:CR781),2))</f>
        <v>14094.27</v>
      </c>
      <c r="CT781" s="337">
        <f>ROUND($CR$5*0.05495*DAYS360(CL777,CM781)/360,2)</f>
        <v>407045.18</v>
      </c>
      <c r="CU781" s="372">
        <f>ROUNDUP(CS781-CT781,5)</f>
        <v>-392950.91</v>
      </c>
      <c r="CV781" s="337" t="e">
        <f>ROUND($CR$5*CO781*#REF!/365,1)</f>
        <v>#REF!</v>
      </c>
      <c r="CX781" s="363">
        <f>-SUM(CU781)/SUM(CN777:CN781)*366</f>
        <v>4494376.0331250001</v>
      </c>
    </row>
    <row r="782" spans="10:102" x14ac:dyDescent="0.25">
      <c r="J782" s="345"/>
      <c r="S782" s="317">
        <f t="shared" si="203"/>
        <v>0</v>
      </c>
      <c r="BR782" s="347"/>
      <c r="BS782" s="337"/>
      <c r="CH782" s="337">
        <f t="shared" si="202"/>
        <v>0</v>
      </c>
      <c r="CL782" s="361">
        <f>+CM781</f>
        <v>41246</v>
      </c>
      <c r="CM782" s="361">
        <v>41249</v>
      </c>
      <c r="CN782" s="317">
        <f t="shared" si="204"/>
        <v>3</v>
      </c>
      <c r="CO782" s="368">
        <v>1.6000000000000001E-3</v>
      </c>
      <c r="CP782" s="346">
        <f t="shared" si="205"/>
        <v>4.8000000000000004E-3</v>
      </c>
      <c r="CQ782" s="365">
        <f>+CQ783</f>
        <v>1.33E-3</v>
      </c>
      <c r="CR782" s="337">
        <f>ROUND($CR$5*CQ782*CN782/366,3)</f>
        <v>908.48800000000006</v>
      </c>
      <c r="CS782" s="356"/>
      <c r="CT782" s="356"/>
      <c r="CU782" s="372"/>
      <c r="CV782" s="337">
        <f>ROUND($CR$5*CO782*CN782/365,1)</f>
        <v>1095.9000000000001</v>
      </c>
    </row>
    <row r="783" spans="10:102" x14ac:dyDescent="0.25">
      <c r="J783" s="345"/>
      <c r="S783" s="317">
        <f t="shared" si="203"/>
        <v>0</v>
      </c>
      <c r="BR783" s="347"/>
      <c r="BS783" s="337"/>
      <c r="CH783" s="337">
        <f t="shared" si="202"/>
        <v>0</v>
      </c>
      <c r="CL783" s="361">
        <f>CM782</f>
        <v>41249</v>
      </c>
      <c r="CM783" s="361">
        <v>41256</v>
      </c>
      <c r="CN783" s="317">
        <f t="shared" si="204"/>
        <v>7</v>
      </c>
      <c r="CO783" s="368">
        <v>1.2999999999999999E-3</v>
      </c>
      <c r="CP783" s="346">
        <f t="shared" si="205"/>
        <v>9.1000000000000004E-3</v>
      </c>
      <c r="CQ783" s="365">
        <f>+CQ784</f>
        <v>1.33E-3</v>
      </c>
      <c r="CR783" s="337">
        <f>ROUND($CR$5*CQ783*CN783/366,3)</f>
        <v>2119.806</v>
      </c>
      <c r="CV783" s="337">
        <f>ROUND($CR$5*CO783*CN783/365,1)</f>
        <v>2077.6999999999998</v>
      </c>
    </row>
    <row r="784" spans="10:102" x14ac:dyDescent="0.25">
      <c r="J784" s="345"/>
      <c r="S784" s="317">
        <f t="shared" si="203"/>
        <v>0</v>
      </c>
      <c r="BR784" s="347"/>
      <c r="BS784" s="337"/>
      <c r="CH784" s="337">
        <f t="shared" si="202"/>
        <v>0</v>
      </c>
      <c r="CL784" s="361">
        <f>CM783</f>
        <v>41256</v>
      </c>
      <c r="CM784" s="361">
        <v>41263</v>
      </c>
      <c r="CN784" s="317">
        <f t="shared" si="204"/>
        <v>7</v>
      </c>
      <c r="CO784" s="368">
        <v>1.2999999999999999E-3</v>
      </c>
      <c r="CP784" s="346">
        <f t="shared" si="205"/>
        <v>9.1000000000000004E-3</v>
      </c>
      <c r="CQ784" s="365">
        <f>+CQ785</f>
        <v>1.33E-3</v>
      </c>
      <c r="CR784" s="337">
        <f>ROUND($CR$5*CQ784*CN784/366,3)</f>
        <v>2119.806</v>
      </c>
      <c r="CV784" s="337">
        <f>ROUND($CR$5*CO784*CN784/365,1)</f>
        <v>2077.6999999999998</v>
      </c>
    </row>
    <row r="785" spans="10:102" x14ac:dyDescent="0.25">
      <c r="J785" s="345"/>
      <c r="S785" s="317">
        <f t="shared" si="203"/>
        <v>0</v>
      </c>
      <c r="BR785" s="347"/>
      <c r="CH785" s="337">
        <f t="shared" si="202"/>
        <v>0</v>
      </c>
      <c r="CL785" s="361">
        <f>CM784</f>
        <v>41263</v>
      </c>
      <c r="CM785" s="361">
        <v>41270</v>
      </c>
      <c r="CN785" s="317">
        <f t="shared" si="204"/>
        <v>7</v>
      </c>
      <c r="CO785" s="368">
        <v>1.2999999999999999E-3</v>
      </c>
      <c r="CP785" s="346">
        <f t="shared" si="205"/>
        <v>9.1000000000000004E-3</v>
      </c>
      <c r="CQ785" s="365">
        <f>CQ786</f>
        <v>1.33E-3</v>
      </c>
      <c r="CR785" s="337">
        <f>ROUND($CR$5*CQ785*CN785/366,3)</f>
        <v>2119.806</v>
      </c>
      <c r="CV785" s="337">
        <f>ROUND($CR$5*CO785*CN785/365,1)</f>
        <v>2077.6999999999998</v>
      </c>
    </row>
    <row r="786" spans="10:102" x14ac:dyDescent="0.25">
      <c r="J786" s="345"/>
      <c r="S786" s="317">
        <f t="shared" si="203"/>
        <v>0</v>
      </c>
      <c r="BR786" s="347"/>
      <c r="CH786" s="337">
        <f t="shared" si="202"/>
        <v>0</v>
      </c>
      <c r="CL786" s="361">
        <f>CM785</f>
        <v>41270</v>
      </c>
      <c r="CM786" s="361">
        <v>41275</v>
      </c>
      <c r="CN786" s="317">
        <f t="shared" si="204"/>
        <v>5</v>
      </c>
      <c r="CO786" s="368">
        <v>1.2999999999999999E-3</v>
      </c>
      <c r="CP786" s="346">
        <f t="shared" si="205"/>
        <v>6.4999999999999997E-3</v>
      </c>
      <c r="CQ786" s="365">
        <f>CQ787</f>
        <v>1.33E-3</v>
      </c>
      <c r="CR786" s="337">
        <f>ROUND($CR$5*CQ786*CN786/366,3)</f>
        <v>1514.1469999999999</v>
      </c>
      <c r="CS786" s="337"/>
      <c r="CT786" s="337"/>
      <c r="CU786" s="372"/>
      <c r="CV786" s="337"/>
      <c r="CX786" s="363"/>
    </row>
    <row r="787" spans="10:102" x14ac:dyDescent="0.25">
      <c r="J787" s="345"/>
      <c r="S787" s="317">
        <f>R787-Q787</f>
        <v>0</v>
      </c>
      <c r="BR787" s="347"/>
      <c r="CH787" s="337">
        <f>ROUND($CA$5*CG787*CF787/365,6)</f>
        <v>0</v>
      </c>
      <c r="CL787" s="361">
        <f>CM786</f>
        <v>41275</v>
      </c>
      <c r="CM787" s="361">
        <v>41276</v>
      </c>
      <c r="CN787" s="317">
        <f t="shared" si="204"/>
        <v>1</v>
      </c>
      <c r="CO787" s="368">
        <v>1.2999999999999999E-3</v>
      </c>
      <c r="CP787" s="346">
        <f t="shared" si="205"/>
        <v>1.2999999999999999E-3</v>
      </c>
      <c r="CQ787" s="365">
        <f>ROUND(SUM(CP782:CP787)/30,7)</f>
        <v>1.33E-3</v>
      </c>
      <c r="CR787" s="337">
        <f t="shared" ref="CR787:CR814" si="206">ROUND($CR$5*CQ787*CN787/365,3)</f>
        <v>303.65899999999999</v>
      </c>
      <c r="CS787" s="337">
        <f>(ROUND(SUM(CR782:CR787),2))</f>
        <v>9085.7099999999991</v>
      </c>
      <c r="CT787" s="337">
        <f>ROUND($CR$5*0.05495*DAYS360(CL782,CM787)/360,2)</f>
        <v>368884.69</v>
      </c>
      <c r="CU787" s="372">
        <f>ROUNDUP(CS787-CT787,5)</f>
        <v>-359798.98</v>
      </c>
      <c r="CV787" s="337" t="e">
        <f>ROUND($CR$5*CO787*#REF!/365,1)</f>
        <v>#REF!</v>
      </c>
      <c r="CX787" s="363">
        <f>-SUM(CU781:CU787)/SUM(CN777:CN787)*366</f>
        <v>4443652.5764516126</v>
      </c>
    </row>
    <row r="788" spans="10:102" x14ac:dyDescent="0.25">
      <c r="J788" s="345"/>
      <c r="S788" s="317">
        <f t="shared" si="203"/>
        <v>0</v>
      </c>
      <c r="BR788" s="347"/>
      <c r="CH788" s="337">
        <f t="shared" si="202"/>
        <v>0</v>
      </c>
      <c r="CL788" s="361">
        <f>+CM787</f>
        <v>41276</v>
      </c>
      <c r="CM788" s="361">
        <v>41277</v>
      </c>
      <c r="CN788" s="317">
        <f t="shared" si="204"/>
        <v>1</v>
      </c>
      <c r="CO788" s="368">
        <v>1.2999999999999999E-3</v>
      </c>
      <c r="CP788" s="346">
        <f t="shared" si="205"/>
        <v>1.2999999999999999E-3</v>
      </c>
      <c r="CQ788" s="365">
        <f>+CQ789</f>
        <v>9.3999999999999997E-4</v>
      </c>
      <c r="CR788" s="337">
        <f t="shared" si="206"/>
        <v>214.61600000000001</v>
      </c>
      <c r="CS788" s="356"/>
      <c r="CT788" s="356"/>
      <c r="CU788" s="372"/>
      <c r="CV788" s="337">
        <f>ROUND($CR$5*CO788*CN788/365,1)</f>
        <v>296.8</v>
      </c>
    </row>
    <row r="789" spans="10:102" x14ac:dyDescent="0.25">
      <c r="J789" s="345"/>
      <c r="S789" s="317">
        <f t="shared" si="203"/>
        <v>0</v>
      </c>
      <c r="BR789" s="347"/>
      <c r="CH789" s="337">
        <f t="shared" si="202"/>
        <v>0</v>
      </c>
      <c r="CL789" s="361">
        <f>CM788</f>
        <v>41277</v>
      </c>
      <c r="CM789" s="361">
        <v>41284</v>
      </c>
      <c r="CN789" s="317">
        <f t="shared" si="204"/>
        <v>7</v>
      </c>
      <c r="CO789" s="368">
        <v>1E-3</v>
      </c>
      <c r="CP789" s="346">
        <f t="shared" si="205"/>
        <v>7.0000000000000001E-3</v>
      </c>
      <c r="CQ789" s="365">
        <f>+CQ790</f>
        <v>9.3999999999999997E-4</v>
      </c>
      <c r="CR789" s="337">
        <f t="shared" si="206"/>
        <v>1502.3130000000001</v>
      </c>
      <c r="CV789" s="337">
        <f>ROUND($CR$5*CO789*CN789/365,1)</f>
        <v>1598.2</v>
      </c>
    </row>
    <row r="790" spans="10:102" x14ac:dyDescent="0.25">
      <c r="J790" s="345"/>
      <c r="S790" s="317">
        <f t="shared" si="203"/>
        <v>0</v>
      </c>
      <c r="BR790" s="347"/>
      <c r="CH790" s="337">
        <f t="shared" si="202"/>
        <v>0</v>
      </c>
      <c r="CL790" s="361">
        <f>CM789</f>
        <v>41284</v>
      </c>
      <c r="CM790" s="361">
        <v>41291</v>
      </c>
      <c r="CN790" s="317">
        <f t="shared" si="204"/>
        <v>7</v>
      </c>
      <c r="CO790" s="368">
        <v>8.0000000000000004E-4</v>
      </c>
      <c r="CP790" s="346">
        <f t="shared" si="205"/>
        <v>5.5999999999999999E-3</v>
      </c>
      <c r="CQ790" s="365">
        <f>+CQ791</f>
        <v>9.3999999999999997E-4</v>
      </c>
      <c r="CR790" s="337">
        <f t="shared" si="206"/>
        <v>1502.3130000000001</v>
      </c>
      <c r="CV790" s="337">
        <f>ROUND($CR$5*CO790*CN790/365,1)</f>
        <v>1278.5999999999999</v>
      </c>
    </row>
    <row r="791" spans="10:102" x14ac:dyDescent="0.25">
      <c r="J791" s="345"/>
      <c r="S791" s="317">
        <f t="shared" si="203"/>
        <v>0</v>
      </c>
      <c r="BR791" s="347"/>
      <c r="CH791" s="337">
        <f t="shared" ref="CH791:CH865" si="207">ROUND($CA$5*CG791*CF791/365,6)</f>
        <v>0</v>
      </c>
      <c r="CL791" s="361">
        <f>CM790</f>
        <v>41291</v>
      </c>
      <c r="CM791" s="361">
        <v>41298</v>
      </c>
      <c r="CN791" s="317">
        <f t="shared" si="204"/>
        <v>7</v>
      </c>
      <c r="CO791" s="368">
        <v>8.9999999999999998E-4</v>
      </c>
      <c r="CP791" s="346">
        <f t="shared" si="205"/>
        <v>6.3E-3</v>
      </c>
      <c r="CQ791" s="365">
        <f>CQ792</f>
        <v>9.3999999999999997E-4</v>
      </c>
      <c r="CR791" s="337">
        <f t="shared" si="206"/>
        <v>1502.3130000000001</v>
      </c>
      <c r="CV791" s="337">
        <f>ROUND($CR$5*CO791*CN791/365,1)</f>
        <v>1438.4</v>
      </c>
    </row>
    <row r="792" spans="10:102" x14ac:dyDescent="0.25">
      <c r="J792" s="345"/>
      <c r="S792" s="317">
        <f t="shared" si="203"/>
        <v>0</v>
      </c>
      <c r="BR792" s="347"/>
      <c r="CH792" s="337">
        <f t="shared" si="207"/>
        <v>0</v>
      </c>
      <c r="CL792" s="361">
        <f>+CM791</f>
        <v>41298</v>
      </c>
      <c r="CM792" s="361">
        <v>41305</v>
      </c>
      <c r="CN792" s="317">
        <f t="shared" si="204"/>
        <v>7</v>
      </c>
      <c r="CO792" s="368">
        <v>1E-3</v>
      </c>
      <c r="CP792" s="346">
        <f t="shared" si="205"/>
        <v>7.0000000000000001E-3</v>
      </c>
      <c r="CQ792" s="365">
        <f>CQ793</f>
        <v>9.3999999999999997E-4</v>
      </c>
      <c r="CR792" s="337">
        <f t="shared" si="206"/>
        <v>1502.3130000000001</v>
      </c>
      <c r="CS792" s="337"/>
      <c r="CT792" s="337"/>
      <c r="CU792" s="372"/>
      <c r="CV792" s="337"/>
      <c r="CX792" s="363"/>
    </row>
    <row r="793" spans="10:102" x14ac:dyDescent="0.25">
      <c r="J793" s="345"/>
      <c r="S793" s="317">
        <f t="shared" si="203"/>
        <v>0</v>
      </c>
      <c r="BR793" s="347"/>
      <c r="CH793" s="337">
        <f t="shared" si="207"/>
        <v>0</v>
      </c>
      <c r="CL793" s="361">
        <f>+CM792</f>
        <v>41305</v>
      </c>
      <c r="CM793" s="361">
        <v>41306</v>
      </c>
      <c r="CN793" s="317">
        <f t="shared" si="204"/>
        <v>1</v>
      </c>
      <c r="CO793" s="368">
        <v>1E-3</v>
      </c>
      <c r="CP793" s="346">
        <f t="shared" si="205"/>
        <v>1E-3</v>
      </c>
      <c r="CQ793" s="365">
        <f>ROUND(SUM(CP788:CP793)/30,7)</f>
        <v>9.3999999999999997E-4</v>
      </c>
      <c r="CR793" s="337">
        <f t="shared" si="206"/>
        <v>214.61600000000001</v>
      </c>
      <c r="CS793" s="337">
        <f>(ROUND(SUM(CR788:CR793),2))</f>
        <v>6438.48</v>
      </c>
      <c r="CT793" s="337">
        <f>ROUND($CR$5*0.05495*DAYS360(CL788,CM793)/360,2)</f>
        <v>368884.69</v>
      </c>
      <c r="CU793" s="372">
        <f>ROUNDUP(CS793-CT793,5)</f>
        <v>-362446.21</v>
      </c>
      <c r="CV793" s="337" t="e">
        <f>ROUND($CR$5*CO793*#REF!/365,1)</f>
        <v>#REF!</v>
      </c>
      <c r="CX793" s="363">
        <f>-SUM(CU781:CU793)/SUM(CN777:CN793)*365</f>
        <v>4424419.3097826084</v>
      </c>
    </row>
    <row r="794" spans="10:102" x14ac:dyDescent="0.25">
      <c r="J794" s="345"/>
      <c r="S794" s="317">
        <f>R794-Q794</f>
        <v>0</v>
      </c>
      <c r="BR794" s="347"/>
      <c r="CH794" s="337">
        <f t="shared" si="207"/>
        <v>0</v>
      </c>
      <c r="CL794" s="361">
        <f>+CM793</f>
        <v>41306</v>
      </c>
      <c r="CM794" s="361">
        <v>41312</v>
      </c>
      <c r="CN794" s="317">
        <f t="shared" si="204"/>
        <v>6</v>
      </c>
      <c r="CO794" s="368">
        <v>1E-3</v>
      </c>
      <c r="CP794" s="346">
        <f t="shared" si="205"/>
        <v>6.0000000000000001E-3</v>
      </c>
      <c r="CQ794" s="365">
        <f>+CQ795</f>
        <v>1.0286E-3</v>
      </c>
      <c r="CR794" s="337">
        <f t="shared" si="206"/>
        <v>1409.069</v>
      </c>
      <c r="CS794" s="356"/>
      <c r="CT794" s="356"/>
      <c r="CU794" s="372"/>
      <c r="CV794" s="337">
        <f>ROUND($CR$5*CO794*CN794/365,1)</f>
        <v>1369.9</v>
      </c>
    </row>
    <row r="795" spans="10:102" x14ac:dyDescent="0.25">
      <c r="J795" s="345"/>
      <c r="S795" s="317">
        <f>R795-Q795</f>
        <v>0</v>
      </c>
      <c r="BR795" s="347"/>
      <c r="CH795" s="337">
        <f>ROUND($CA$5*CG795*CF795/365,6)</f>
        <v>0</v>
      </c>
      <c r="CL795" s="361">
        <f>CM794</f>
        <v>41312</v>
      </c>
      <c r="CM795" s="361">
        <v>41319</v>
      </c>
      <c r="CN795" s="317">
        <f t="shared" si="204"/>
        <v>7</v>
      </c>
      <c r="CO795" s="368">
        <v>8.9999999999999998E-4</v>
      </c>
      <c r="CP795" s="346">
        <f t="shared" si="205"/>
        <v>6.3E-3</v>
      </c>
      <c r="CQ795" s="365">
        <f>+CQ796</f>
        <v>1.0286E-3</v>
      </c>
      <c r="CR795" s="337">
        <f t="shared" si="206"/>
        <v>1643.914</v>
      </c>
      <c r="CV795" s="337">
        <f>ROUND($CR$5*CO795*CN795/365,1)</f>
        <v>1438.4</v>
      </c>
    </row>
    <row r="796" spans="10:102" x14ac:dyDescent="0.25">
      <c r="J796" s="345"/>
      <c r="S796" s="317">
        <f>R796-Q796</f>
        <v>0</v>
      </c>
      <c r="BR796" s="347"/>
      <c r="CH796" s="337">
        <f>ROUND($CA$5*CG796*CF796/365,6)</f>
        <v>0</v>
      </c>
      <c r="CL796" s="361">
        <f>CM795</f>
        <v>41319</v>
      </c>
      <c r="CM796" s="361">
        <v>41326</v>
      </c>
      <c r="CN796" s="317">
        <f t="shared" si="204"/>
        <v>7</v>
      </c>
      <c r="CO796" s="368">
        <v>1.1000000000000001E-3</v>
      </c>
      <c r="CP796" s="346">
        <f t="shared" si="205"/>
        <v>7.7000000000000002E-3</v>
      </c>
      <c r="CQ796" s="365">
        <f>+CQ797</f>
        <v>1.0286E-3</v>
      </c>
      <c r="CR796" s="337">
        <f t="shared" si="206"/>
        <v>1643.914</v>
      </c>
      <c r="CV796" s="337">
        <f>ROUND($CR$5*CO796*CN796/365,1)</f>
        <v>1758</v>
      </c>
    </row>
    <row r="797" spans="10:102" x14ac:dyDescent="0.25">
      <c r="J797" s="345"/>
      <c r="S797" s="317">
        <f>R797-Q797</f>
        <v>0</v>
      </c>
      <c r="BR797" s="347"/>
      <c r="CH797" s="337">
        <f>ROUND($CA$5*CG797*CF797/365,6)</f>
        <v>0</v>
      </c>
      <c r="CL797" s="361">
        <f>CM796</f>
        <v>41326</v>
      </c>
      <c r="CM797" s="361">
        <v>41333</v>
      </c>
      <c r="CN797" s="317">
        <f t="shared" si="204"/>
        <v>7</v>
      </c>
      <c r="CO797" s="368">
        <v>1.1000000000000001E-3</v>
      </c>
      <c r="CP797" s="346">
        <f t="shared" si="205"/>
        <v>7.7000000000000002E-3</v>
      </c>
      <c r="CQ797" s="365">
        <f>+CQ798</f>
        <v>1.0286E-3</v>
      </c>
      <c r="CR797" s="337">
        <f t="shared" si="206"/>
        <v>1643.914</v>
      </c>
      <c r="CV797" s="337">
        <f>ROUND($CR$5*CO797*CN797/365,1)</f>
        <v>1758</v>
      </c>
    </row>
    <row r="798" spans="10:102" x14ac:dyDescent="0.25">
      <c r="J798" s="345"/>
      <c r="S798" s="317">
        <f>R798-Q798</f>
        <v>0</v>
      </c>
      <c r="BR798" s="347"/>
      <c r="CH798" s="337">
        <f>ROUND($CA$5*CG798*CF798/365,6)</f>
        <v>0</v>
      </c>
      <c r="CL798" s="361">
        <f>CM797</f>
        <v>41333</v>
      </c>
      <c r="CM798" s="361">
        <v>41334</v>
      </c>
      <c r="CN798" s="317">
        <f t="shared" si="204"/>
        <v>1</v>
      </c>
      <c r="CO798" s="368">
        <v>1.1000000000000001E-3</v>
      </c>
      <c r="CP798" s="346">
        <f t="shared" si="205"/>
        <v>1.1000000000000001E-3</v>
      </c>
      <c r="CQ798" s="365">
        <f>ROUND(SUM(CP794:CP798)/28,7)</f>
        <v>1.0286E-3</v>
      </c>
      <c r="CR798" s="337">
        <f t="shared" si="206"/>
        <v>234.845</v>
      </c>
      <c r="CS798" s="337">
        <f>(ROUND(SUM(CR794:CR798),2))</f>
        <v>6575.66</v>
      </c>
      <c r="CT798" s="337">
        <f>ROUND($CR$5*0.05495*DAYS360(CL794,CM798)/360,2)</f>
        <v>381604.85</v>
      </c>
      <c r="CU798" s="372">
        <f>ROUNDUP(CS798-CT798,5)</f>
        <v>-375029.19</v>
      </c>
      <c r="CV798" s="337" t="e">
        <f>ROUND($CR$5*CO798*#REF!/365,1)</f>
        <v>#REF!</v>
      </c>
      <c r="CX798" s="363">
        <f>-SUM(CU781:CU798)/SUM(CN777:CN798)*365</f>
        <v>4532768.5904166661</v>
      </c>
    </row>
    <row r="799" spans="10:102" x14ac:dyDescent="0.25">
      <c r="J799" s="345"/>
      <c r="S799" s="317">
        <f t="shared" si="203"/>
        <v>0</v>
      </c>
      <c r="BR799" s="347"/>
      <c r="CH799" s="337">
        <f t="shared" si="207"/>
        <v>0</v>
      </c>
      <c r="CL799" s="361">
        <f>+CM798</f>
        <v>41334</v>
      </c>
      <c r="CM799" s="361">
        <v>41340</v>
      </c>
      <c r="CN799" s="317">
        <f t="shared" si="204"/>
        <v>6</v>
      </c>
      <c r="CO799" s="368">
        <v>1.1000000000000001E-3</v>
      </c>
      <c r="CP799" s="346">
        <f t="shared" si="205"/>
        <v>6.6E-3</v>
      </c>
      <c r="CQ799" s="365">
        <f>+CQ800</f>
        <v>1.1375000000000001E-3</v>
      </c>
      <c r="CR799" s="337">
        <f t="shared" si="206"/>
        <v>1558.25</v>
      </c>
      <c r="CS799" s="356"/>
      <c r="CT799" s="356"/>
      <c r="CU799" s="372"/>
      <c r="CV799" s="337">
        <f>ROUND($CR$5*CO799*CN799/365,1)</f>
        <v>1506.9</v>
      </c>
    </row>
    <row r="800" spans="10:102" x14ac:dyDescent="0.25">
      <c r="J800" s="345"/>
      <c r="S800" s="317">
        <f t="shared" si="203"/>
        <v>0</v>
      </c>
      <c r="BR800" s="347"/>
      <c r="CH800" s="337">
        <f t="shared" si="207"/>
        <v>0</v>
      </c>
      <c r="CL800" s="361">
        <f>CM799</f>
        <v>41340</v>
      </c>
      <c r="CM800" s="361">
        <v>41347</v>
      </c>
      <c r="CN800" s="317">
        <f t="shared" si="204"/>
        <v>7</v>
      </c>
      <c r="CO800" s="368">
        <v>1E-3</v>
      </c>
      <c r="CP800" s="346">
        <f t="shared" si="205"/>
        <v>7.0000000000000001E-3</v>
      </c>
      <c r="CQ800" s="365">
        <f>+CQ801</f>
        <v>1.1375000000000001E-3</v>
      </c>
      <c r="CR800" s="337">
        <f t="shared" si="206"/>
        <v>1817.9590000000001</v>
      </c>
      <c r="CV800" s="337">
        <f>ROUND($CR$5*CO800*CN800/365,1)</f>
        <v>1598.2</v>
      </c>
    </row>
    <row r="801" spans="10:102" x14ac:dyDescent="0.25">
      <c r="J801" s="345"/>
      <c r="S801" s="317">
        <f t="shared" si="203"/>
        <v>0</v>
      </c>
      <c r="BR801" s="347"/>
      <c r="CH801" s="337">
        <f t="shared" si="207"/>
        <v>0</v>
      </c>
      <c r="CL801" s="361">
        <f>CM800</f>
        <v>41347</v>
      </c>
      <c r="CM801" s="361">
        <v>41354</v>
      </c>
      <c r="CN801" s="317">
        <f t="shared" si="204"/>
        <v>7</v>
      </c>
      <c r="CO801" s="368">
        <v>1.1999999999999999E-3</v>
      </c>
      <c r="CP801" s="346">
        <f t="shared" si="205"/>
        <v>8.3999999999999995E-3</v>
      </c>
      <c r="CQ801" s="365">
        <f>+CQ802</f>
        <v>1.1375000000000001E-3</v>
      </c>
      <c r="CR801" s="337">
        <f t="shared" si="206"/>
        <v>1817.9590000000001</v>
      </c>
      <c r="CV801" s="337">
        <f>ROUND($CR$5*CO801*CN801/365,1)</f>
        <v>1917.8</v>
      </c>
    </row>
    <row r="802" spans="10:102" x14ac:dyDescent="0.25">
      <c r="J802" s="345"/>
      <c r="S802" s="317">
        <f t="shared" si="203"/>
        <v>0</v>
      </c>
      <c r="BR802" s="347"/>
      <c r="CH802" s="337">
        <f t="shared" si="207"/>
        <v>0</v>
      </c>
      <c r="CL802" s="361">
        <f>CM801</f>
        <v>41354</v>
      </c>
      <c r="CM802" s="361">
        <v>41361</v>
      </c>
      <c r="CN802" s="317">
        <f t="shared" si="204"/>
        <v>7</v>
      </c>
      <c r="CO802" s="368">
        <v>1.1999999999999999E-3</v>
      </c>
      <c r="CP802" s="346">
        <f t="shared" si="205"/>
        <v>8.3999999999999995E-3</v>
      </c>
      <c r="CQ802" s="365">
        <f>+CQ803</f>
        <v>1.1375000000000001E-3</v>
      </c>
      <c r="CR802" s="337">
        <f t="shared" si="206"/>
        <v>1817.9590000000001</v>
      </c>
      <c r="CV802" s="337">
        <f>ROUND($CR$5*CO802*CN802/365,1)</f>
        <v>1917.8</v>
      </c>
    </row>
    <row r="803" spans="10:102" x14ac:dyDescent="0.25">
      <c r="J803" s="345"/>
      <c r="S803" s="317">
        <f t="shared" si="203"/>
        <v>0</v>
      </c>
      <c r="BR803" s="347"/>
      <c r="CH803" s="337">
        <f t="shared" si="207"/>
        <v>0</v>
      </c>
      <c r="CL803" s="361">
        <f>CM802</f>
        <v>41361</v>
      </c>
      <c r="CM803" s="361">
        <v>41366</v>
      </c>
      <c r="CN803" s="317">
        <f t="shared" si="204"/>
        <v>5</v>
      </c>
      <c r="CO803" s="368">
        <v>1.1999999999999999E-3</v>
      </c>
      <c r="CP803" s="346">
        <f t="shared" si="205"/>
        <v>5.9999999999999993E-3</v>
      </c>
      <c r="CQ803" s="365">
        <f>ROUND(SUM(CP799:CP803)/32,7)</f>
        <v>1.1375000000000001E-3</v>
      </c>
      <c r="CR803" s="337">
        <f t="shared" si="206"/>
        <v>1298.5419999999999</v>
      </c>
      <c r="CS803" s="337">
        <f>(ROUND(SUM(CR799:CR803),2))</f>
        <v>8310.67</v>
      </c>
      <c r="CT803" s="337">
        <f>ROUND($CR$5*0.05495*DAYS360(CL799,CM803)/360,2)</f>
        <v>394325.02</v>
      </c>
      <c r="CU803" s="372">
        <f>ROUNDUP(CS803-CT803,5)</f>
        <v>-386014.35</v>
      </c>
      <c r="CV803" s="337" t="e">
        <f>ROUND($CR$5*CO803*#REF!/365,1)</f>
        <v>#REF!</v>
      </c>
      <c r="CX803" s="363">
        <f>-SUM(CU781:CU803)/SUM(CN777:CN803)*365</f>
        <v>4505443.8723684205</v>
      </c>
    </row>
    <row r="804" spans="10:102" x14ac:dyDescent="0.25">
      <c r="J804" s="345"/>
      <c r="S804" s="317">
        <f t="shared" si="203"/>
        <v>0</v>
      </c>
      <c r="BR804" s="347"/>
      <c r="CH804" s="337">
        <f t="shared" si="207"/>
        <v>0</v>
      </c>
      <c r="CL804" s="361">
        <f>+CM803</f>
        <v>41366</v>
      </c>
      <c r="CM804" s="361">
        <v>41368</v>
      </c>
      <c r="CN804" s="317">
        <f t="shared" si="204"/>
        <v>2</v>
      </c>
      <c r="CO804" s="368">
        <v>1.1999999999999999E-3</v>
      </c>
      <c r="CP804" s="346">
        <f t="shared" si="205"/>
        <v>2.3999999999999998E-3</v>
      </c>
      <c r="CQ804" s="365">
        <f>+CQ805</f>
        <v>1.7447999999999999E-3</v>
      </c>
      <c r="CR804" s="337">
        <f t="shared" si="206"/>
        <v>796.72799999999995</v>
      </c>
      <c r="CS804" s="356"/>
      <c r="CT804" s="356"/>
      <c r="CU804" s="372"/>
      <c r="CV804" s="337">
        <f>ROUND($CR$5*CO804*CN804/365,1)</f>
        <v>548</v>
      </c>
    </row>
    <row r="805" spans="10:102" x14ac:dyDescent="0.25">
      <c r="J805" s="345"/>
      <c r="S805" s="317">
        <f t="shared" si="203"/>
        <v>0</v>
      </c>
      <c r="BR805" s="347"/>
      <c r="CH805" s="337">
        <f t="shared" si="207"/>
        <v>0</v>
      </c>
      <c r="CL805" s="361">
        <f>CM804</f>
        <v>41368</v>
      </c>
      <c r="CM805" s="361">
        <v>41375</v>
      </c>
      <c r="CN805" s="317">
        <f t="shared" si="204"/>
        <v>7</v>
      </c>
      <c r="CO805" s="368">
        <v>1.1000000000000001E-3</v>
      </c>
      <c r="CP805" s="346">
        <f t="shared" si="205"/>
        <v>7.7000000000000002E-3</v>
      </c>
      <c r="CQ805" s="365">
        <f>+CQ806</f>
        <v>1.7447999999999999E-3</v>
      </c>
      <c r="CR805" s="337">
        <f t="shared" si="206"/>
        <v>2788.549</v>
      </c>
      <c r="CV805" s="337">
        <f>ROUND($CR$5*CO805*CN805/365,1)</f>
        <v>1758</v>
      </c>
    </row>
    <row r="806" spans="10:102" x14ac:dyDescent="0.25">
      <c r="J806" s="345"/>
      <c r="S806" s="317">
        <f t="shared" si="203"/>
        <v>0</v>
      </c>
      <c r="BR806" s="347"/>
      <c r="CH806" s="337">
        <f t="shared" si="207"/>
        <v>0</v>
      </c>
      <c r="CL806" s="361">
        <f>CM805</f>
        <v>41375</v>
      </c>
      <c r="CM806" s="361">
        <v>41382</v>
      </c>
      <c r="CN806" s="317">
        <f t="shared" si="204"/>
        <v>7</v>
      </c>
      <c r="CO806" s="368">
        <v>1.6000000000000001E-3</v>
      </c>
      <c r="CP806" s="346">
        <f t="shared" si="205"/>
        <v>1.12E-2</v>
      </c>
      <c r="CQ806" s="365">
        <f>+CQ807</f>
        <v>1.7447999999999999E-3</v>
      </c>
      <c r="CR806" s="337">
        <f t="shared" si="206"/>
        <v>2788.549</v>
      </c>
      <c r="CV806" s="337">
        <f>ROUND($CR$5*CO806*CN806/365,1)</f>
        <v>2557.1</v>
      </c>
    </row>
    <row r="807" spans="10:102" x14ac:dyDescent="0.25">
      <c r="J807" s="345"/>
      <c r="S807" s="317">
        <f t="shared" si="203"/>
        <v>0</v>
      </c>
      <c r="BR807" s="347"/>
      <c r="CH807" s="337">
        <f t="shared" si="207"/>
        <v>0</v>
      </c>
      <c r="CL807" s="361">
        <f>CM806</f>
        <v>41382</v>
      </c>
      <c r="CM807" s="361">
        <v>41389</v>
      </c>
      <c r="CN807" s="317">
        <f t="shared" si="204"/>
        <v>7</v>
      </c>
      <c r="CO807" s="368">
        <v>2.3E-3</v>
      </c>
      <c r="CP807" s="346">
        <f t="shared" si="205"/>
        <v>1.61E-2</v>
      </c>
      <c r="CQ807" s="365">
        <f>+CQ808</f>
        <v>1.7447999999999999E-3</v>
      </c>
      <c r="CR807" s="337">
        <f t="shared" si="206"/>
        <v>2788.549</v>
      </c>
      <c r="CV807" s="337">
        <f>ROUND($CR$5*CO807*CN807/365,1)</f>
        <v>3675.9</v>
      </c>
    </row>
    <row r="808" spans="10:102" x14ac:dyDescent="0.25">
      <c r="J808" s="345"/>
      <c r="S808" s="317">
        <f t="shared" si="203"/>
        <v>0</v>
      </c>
      <c r="BR808" s="347"/>
      <c r="CH808" s="337">
        <f t="shared" si="207"/>
        <v>0</v>
      </c>
      <c r="CL808" s="361">
        <f>CM807</f>
        <v>41389</v>
      </c>
      <c r="CM808" s="361">
        <v>41395</v>
      </c>
      <c r="CN808" s="317">
        <f t="shared" si="204"/>
        <v>6</v>
      </c>
      <c r="CO808" s="368">
        <v>2.2000000000000001E-3</v>
      </c>
      <c r="CP808" s="346">
        <f t="shared" si="205"/>
        <v>1.32E-2</v>
      </c>
      <c r="CQ808" s="365">
        <f>ROUND(SUM(CP804:CP808)/29,7)</f>
        <v>1.7447999999999999E-3</v>
      </c>
      <c r="CR808" s="337">
        <f t="shared" si="206"/>
        <v>2390.1849999999999</v>
      </c>
      <c r="CS808" s="337">
        <f>(ROUND(SUM(CR804:CR808),2))</f>
        <v>11552.56</v>
      </c>
      <c r="CT808" s="337">
        <f>ROUND($CR$5*0.05495*DAYS360(CL804,CM808)/360,2)</f>
        <v>368884.69</v>
      </c>
      <c r="CU808" s="372">
        <f>ROUNDUP(CS808-CT808,5)</f>
        <v>-357332.13</v>
      </c>
      <c r="CV808" s="337" t="e">
        <f>ROUND($CR$5*CO808*#REF!/365,1)</f>
        <v>#REF!</v>
      </c>
      <c r="CX808" s="363">
        <f>-SUM(CU781:CU808)/SUM(CN777:CN808)*365</f>
        <v>4504164.0665745847</v>
      </c>
    </row>
    <row r="809" spans="10:102" x14ac:dyDescent="0.25">
      <c r="J809" s="345"/>
      <c r="S809" s="317">
        <f t="shared" ref="S809:S878" si="208">R809-Q809</f>
        <v>0</v>
      </c>
      <c r="BR809" s="347"/>
      <c r="CH809" s="337">
        <f t="shared" si="207"/>
        <v>0</v>
      </c>
      <c r="CL809" s="361">
        <f>+CM808</f>
        <v>41395</v>
      </c>
      <c r="CM809" s="361">
        <v>41396</v>
      </c>
      <c r="CN809" s="317">
        <f t="shared" si="204"/>
        <v>1</v>
      </c>
      <c r="CO809" s="368">
        <v>2.2000000000000001E-3</v>
      </c>
      <c r="CP809" s="346">
        <f t="shared" si="205"/>
        <v>2.2000000000000001E-3</v>
      </c>
      <c r="CQ809" s="365">
        <f>+CQ810</f>
        <v>1.6969999999999999E-3</v>
      </c>
      <c r="CR809" s="337">
        <f t="shared" si="206"/>
        <v>387.45100000000002</v>
      </c>
      <c r="CS809" s="356"/>
      <c r="CT809" s="356"/>
      <c r="CU809" s="372"/>
      <c r="CV809" s="337">
        <f>ROUND($CR$5*CO809*CN809/365,1)</f>
        <v>502.3</v>
      </c>
    </row>
    <row r="810" spans="10:102" x14ac:dyDescent="0.25">
      <c r="J810" s="345"/>
      <c r="S810" s="317">
        <f t="shared" si="208"/>
        <v>0</v>
      </c>
      <c r="BR810" s="347"/>
      <c r="CH810" s="337">
        <f t="shared" si="207"/>
        <v>0</v>
      </c>
      <c r="CL810" s="361">
        <f>CM809</f>
        <v>41396</v>
      </c>
      <c r="CM810" s="361">
        <v>41403</v>
      </c>
      <c r="CN810" s="317">
        <f t="shared" si="204"/>
        <v>7</v>
      </c>
      <c r="CO810" s="368">
        <v>1.9E-3</v>
      </c>
      <c r="CP810" s="346">
        <f t="shared" si="205"/>
        <v>1.3299999999999999E-2</v>
      </c>
      <c r="CQ810" s="365">
        <f>+CQ811</f>
        <v>1.6969999999999999E-3</v>
      </c>
      <c r="CR810" s="337">
        <f t="shared" si="206"/>
        <v>2712.1550000000002</v>
      </c>
      <c r="CV810" s="337">
        <f>ROUND($CR$5*CO810*CN810/365,1)</f>
        <v>3036.6</v>
      </c>
    </row>
    <row r="811" spans="10:102" x14ac:dyDescent="0.25">
      <c r="J811" s="345"/>
      <c r="S811" s="317">
        <f t="shared" si="208"/>
        <v>0</v>
      </c>
      <c r="BR811" s="347"/>
      <c r="CH811" s="337">
        <f t="shared" si="207"/>
        <v>0</v>
      </c>
      <c r="CL811" s="361">
        <f>CM810</f>
        <v>41403</v>
      </c>
      <c r="CM811" s="361">
        <v>41410</v>
      </c>
      <c r="CN811" s="317">
        <f t="shared" si="204"/>
        <v>7</v>
      </c>
      <c r="CO811" s="368">
        <v>1.8E-3</v>
      </c>
      <c r="CP811" s="346">
        <f t="shared" si="205"/>
        <v>1.26E-2</v>
      </c>
      <c r="CQ811" s="365">
        <f>+CQ812</f>
        <v>1.6969999999999999E-3</v>
      </c>
      <c r="CR811" s="337">
        <f t="shared" si="206"/>
        <v>2712.1550000000002</v>
      </c>
      <c r="CV811" s="337">
        <f>ROUND($CR$5*CO811*CN811/365,1)</f>
        <v>2876.8</v>
      </c>
    </row>
    <row r="812" spans="10:102" x14ac:dyDescent="0.25">
      <c r="J812" s="345"/>
      <c r="S812" s="317">
        <f t="shared" si="208"/>
        <v>0</v>
      </c>
      <c r="BR812" s="347"/>
      <c r="CH812" s="337">
        <f t="shared" si="207"/>
        <v>0</v>
      </c>
      <c r="CL812" s="361">
        <f>CM811</f>
        <v>41410</v>
      </c>
      <c r="CM812" s="361">
        <v>41417</v>
      </c>
      <c r="CN812" s="317">
        <f t="shared" si="204"/>
        <v>7</v>
      </c>
      <c r="CO812" s="368">
        <v>1.8E-3</v>
      </c>
      <c r="CP812" s="346">
        <f t="shared" si="205"/>
        <v>1.26E-2</v>
      </c>
      <c r="CQ812" s="365">
        <f>+CQ813</f>
        <v>1.6969999999999999E-3</v>
      </c>
      <c r="CR812" s="337">
        <f t="shared" si="206"/>
        <v>2712.1550000000002</v>
      </c>
      <c r="CV812" s="337">
        <f>ROUND($CR$5*CO812*CN812/365,1)</f>
        <v>2876.8</v>
      </c>
    </row>
    <row r="813" spans="10:102" x14ac:dyDescent="0.25">
      <c r="J813" s="345"/>
      <c r="S813" s="317">
        <f t="shared" si="208"/>
        <v>0</v>
      </c>
      <c r="BR813" s="347"/>
      <c r="CH813" s="337">
        <f t="shared" si="207"/>
        <v>0</v>
      </c>
      <c r="CL813" s="361">
        <f>CM812</f>
        <v>41417</v>
      </c>
      <c r="CM813" s="361">
        <v>41424</v>
      </c>
      <c r="CN813" s="317">
        <f t="shared" si="204"/>
        <v>7</v>
      </c>
      <c r="CO813" s="368">
        <v>1.5E-3</v>
      </c>
      <c r="CP813" s="346">
        <f t="shared" si="205"/>
        <v>1.0500000000000001E-2</v>
      </c>
      <c r="CQ813" s="365">
        <f>+CQ814</f>
        <v>1.6969999999999999E-3</v>
      </c>
      <c r="CR813" s="337">
        <f t="shared" si="206"/>
        <v>2712.1550000000002</v>
      </c>
      <c r="CS813" s="337"/>
      <c r="CT813" s="337"/>
      <c r="CU813" s="372"/>
      <c r="CV813" s="337"/>
      <c r="CX813" s="363"/>
    </row>
    <row r="814" spans="10:102" x14ac:dyDescent="0.25">
      <c r="J814" s="345"/>
      <c r="S814" s="317">
        <f t="shared" si="208"/>
        <v>0</v>
      </c>
      <c r="BR814" s="347"/>
      <c r="CH814" s="337">
        <f t="shared" si="207"/>
        <v>0</v>
      </c>
      <c r="CL814" s="361">
        <f>CM813</f>
        <v>41424</v>
      </c>
      <c r="CM814" s="361">
        <v>41428</v>
      </c>
      <c r="CN814" s="317">
        <f t="shared" si="204"/>
        <v>4</v>
      </c>
      <c r="CO814" s="368">
        <v>1.1999999999999999E-3</v>
      </c>
      <c r="CP814" s="346">
        <f t="shared" si="205"/>
        <v>4.7999999999999996E-3</v>
      </c>
      <c r="CQ814" s="365">
        <f>ROUND(SUM(CP809:CP814)/SUM(CN809:CN814),7)</f>
        <v>1.6969999999999999E-3</v>
      </c>
      <c r="CR814" s="337">
        <f t="shared" si="206"/>
        <v>1549.8030000000001</v>
      </c>
      <c r="CS814" s="337">
        <f>(ROUND(SUM(CR809:CR814),2))</f>
        <v>12785.87</v>
      </c>
      <c r="CT814" s="337">
        <f>ROUND($CR$5*0.05495*DAYS360(CL809,CM814)/360,2)</f>
        <v>407045.18</v>
      </c>
      <c r="CU814" s="372">
        <f>ROUNDUP(CS814-CT814,5)</f>
        <v>-394259.31</v>
      </c>
      <c r="CV814" s="337" t="e">
        <f>ROUND($CR$5*CO814*#REF!/365,1)</f>
        <v>#REF!</v>
      </c>
      <c r="CX814" s="363">
        <f>-SUM(CU809:CU814)/SUM(CN809:CN814)*365</f>
        <v>4360746.9136363631</v>
      </c>
    </row>
    <row r="815" spans="10:102" x14ac:dyDescent="0.25">
      <c r="J815" s="345"/>
      <c r="S815" s="317">
        <f t="shared" si="208"/>
        <v>0</v>
      </c>
      <c r="BR815" s="347"/>
      <c r="CH815" s="337">
        <f t="shared" si="207"/>
        <v>0</v>
      </c>
      <c r="CL815" s="361">
        <f>+CM814</f>
        <v>41428</v>
      </c>
      <c r="CM815" s="361">
        <v>41431</v>
      </c>
      <c r="CN815" s="317">
        <f t="shared" si="204"/>
        <v>3</v>
      </c>
      <c r="CO815" s="368">
        <v>1.1999999999999999E-3</v>
      </c>
      <c r="CP815" s="346">
        <f t="shared" si="205"/>
        <v>3.5999999999999999E-3</v>
      </c>
      <c r="CQ815" s="365">
        <f>+CQ816</f>
        <v>7.8930000000000005E-4</v>
      </c>
      <c r="CR815" s="337">
        <f t="shared" ref="CR815:CR855" si="209">ROUND($CR$5*CQ815*CN815/365,4)</f>
        <v>540.62729999999999</v>
      </c>
      <c r="CS815" s="356"/>
      <c r="CT815" s="356"/>
      <c r="CU815" s="372"/>
      <c r="CV815" s="337">
        <f>ROUND($CR$5*CO815*CN815/365,1)</f>
        <v>821.9</v>
      </c>
    </row>
    <row r="816" spans="10:102" x14ac:dyDescent="0.25">
      <c r="J816" s="345"/>
      <c r="S816" s="317">
        <f t="shared" si="208"/>
        <v>0</v>
      </c>
      <c r="BR816" s="347"/>
      <c r="CH816" s="337">
        <f t="shared" si="207"/>
        <v>0</v>
      </c>
      <c r="CL816" s="361">
        <f>CM815</f>
        <v>41431</v>
      </c>
      <c r="CM816" s="361">
        <v>41438</v>
      </c>
      <c r="CN816" s="317">
        <f t="shared" si="204"/>
        <v>7</v>
      </c>
      <c r="CO816" s="368">
        <v>8.0000000000000004E-4</v>
      </c>
      <c r="CP816" s="346">
        <f t="shared" si="205"/>
        <v>5.5999999999999999E-3</v>
      </c>
      <c r="CQ816" s="365">
        <f>+CQ817</f>
        <v>7.8930000000000005E-4</v>
      </c>
      <c r="CR816" s="337">
        <f t="shared" si="209"/>
        <v>1261.4636</v>
      </c>
      <c r="CV816" s="337">
        <f>ROUND($CR$5*CO816*CN816/365,1)</f>
        <v>1278.5999999999999</v>
      </c>
    </row>
    <row r="817" spans="10:102" x14ac:dyDescent="0.25">
      <c r="J817" s="345"/>
      <c r="S817" s="317">
        <f t="shared" si="208"/>
        <v>0</v>
      </c>
      <c r="BR817" s="347"/>
      <c r="CH817" s="337">
        <f t="shared" si="207"/>
        <v>0</v>
      </c>
      <c r="CL817" s="361">
        <f>CM816</f>
        <v>41438</v>
      </c>
      <c r="CM817" s="361">
        <v>41445</v>
      </c>
      <c r="CN817" s="317">
        <f t="shared" si="204"/>
        <v>7</v>
      </c>
      <c r="CO817" s="368">
        <v>8.0000000000000004E-4</v>
      </c>
      <c r="CP817" s="346">
        <f t="shared" si="205"/>
        <v>5.5999999999999999E-3</v>
      </c>
      <c r="CQ817" s="365">
        <f>+CQ818</f>
        <v>7.8930000000000005E-4</v>
      </c>
      <c r="CR817" s="337">
        <f t="shared" si="209"/>
        <v>1261.4636</v>
      </c>
      <c r="CV817" s="337">
        <f>ROUND($CR$5*CO817*CN817/365,1)</f>
        <v>1278.5999999999999</v>
      </c>
    </row>
    <row r="818" spans="10:102" x14ac:dyDescent="0.25">
      <c r="J818" s="345"/>
      <c r="S818" s="317">
        <f t="shared" si="208"/>
        <v>0</v>
      </c>
      <c r="BR818" s="347"/>
      <c r="CH818" s="337">
        <f t="shared" si="207"/>
        <v>0</v>
      </c>
      <c r="CL818" s="361">
        <f>CM817</f>
        <v>41445</v>
      </c>
      <c r="CM818" s="361">
        <v>41452</v>
      </c>
      <c r="CN818" s="317">
        <f t="shared" si="204"/>
        <v>7</v>
      </c>
      <c r="CO818" s="368">
        <v>6.9999999999999999E-4</v>
      </c>
      <c r="CP818" s="346">
        <f t="shared" si="205"/>
        <v>4.8999999999999998E-3</v>
      </c>
      <c r="CQ818" s="365">
        <f>+CQ819</f>
        <v>7.8930000000000005E-4</v>
      </c>
      <c r="CR818" s="337">
        <f t="shared" si="209"/>
        <v>1261.4636</v>
      </c>
      <c r="CV818" s="337">
        <f>ROUND($CR$5*CO818*CN818/365,1)</f>
        <v>1118.7</v>
      </c>
    </row>
    <row r="819" spans="10:102" x14ac:dyDescent="0.25">
      <c r="J819" s="345"/>
      <c r="S819" s="317">
        <f>R819-Q819</f>
        <v>0</v>
      </c>
      <c r="BR819" s="347"/>
      <c r="CH819" s="337">
        <f>ROUND($CA$5*CG819*CF819/365,6)</f>
        <v>0</v>
      </c>
      <c r="CL819" s="361">
        <f>CM818</f>
        <v>41452</v>
      </c>
      <c r="CM819" s="361">
        <v>41456</v>
      </c>
      <c r="CN819" s="317">
        <f t="shared" si="204"/>
        <v>4</v>
      </c>
      <c r="CO819" s="368">
        <v>5.9999999999999995E-4</v>
      </c>
      <c r="CP819" s="346">
        <f t="shared" si="205"/>
        <v>2.3999999999999998E-3</v>
      </c>
      <c r="CQ819" s="365">
        <f>ROUND(SUM(CP815:CP819)/SUM(CN815:CN819),7)</f>
        <v>7.8930000000000005E-4</v>
      </c>
      <c r="CR819" s="337">
        <f t="shared" si="209"/>
        <v>720.83630000000005</v>
      </c>
      <c r="CS819" s="337">
        <f>(ROUND(SUM(CR815:CR819),3))</f>
        <v>5045.8540000000003</v>
      </c>
      <c r="CT819" s="337">
        <f>ROUND($CR$5*0.05495*DAYS360(CL815,CM819)/360,2)</f>
        <v>356164.53</v>
      </c>
      <c r="CU819" s="372">
        <f>ROUNDUP(CS819-CT819,5)</f>
        <v>-351118.67599999998</v>
      </c>
      <c r="CV819" s="337" t="e">
        <f>ROUND($CR$5*CO819*#REF!/365,1)</f>
        <v>#REF!</v>
      </c>
      <c r="CX819" s="363">
        <f>-SUM(CU814:CU819)/SUM(CN809:CN819)*365</f>
        <v>4460048.6047540987</v>
      </c>
    </row>
    <row r="820" spans="10:102" x14ac:dyDescent="0.25">
      <c r="CL820" s="361">
        <f>+CM819</f>
        <v>41456</v>
      </c>
      <c r="CM820" s="361">
        <v>41460</v>
      </c>
      <c r="CN820" s="317">
        <f t="shared" si="204"/>
        <v>4</v>
      </c>
      <c r="CO820" s="368">
        <v>5.9999999999999995E-4</v>
      </c>
      <c r="CP820" s="346">
        <f t="shared" si="205"/>
        <v>2.3999999999999998E-3</v>
      </c>
      <c r="CQ820" s="365">
        <f>+CQ821</f>
        <v>5.3549999999999995E-4</v>
      </c>
      <c r="CR820" s="337">
        <f t="shared" si="209"/>
        <v>489.05090000000001</v>
      </c>
      <c r="CS820" s="356"/>
      <c r="CT820" s="356"/>
      <c r="CU820" s="372"/>
      <c r="CV820" s="337">
        <f>ROUND($CR$5*CO820*CN820/365,1)</f>
        <v>548</v>
      </c>
    </row>
    <row r="821" spans="10:102" x14ac:dyDescent="0.25">
      <c r="J821" s="345"/>
      <c r="S821" s="317">
        <f t="shared" si="208"/>
        <v>0</v>
      </c>
      <c r="BR821" s="347"/>
      <c r="CH821" s="337">
        <f t="shared" si="207"/>
        <v>0</v>
      </c>
      <c r="CL821" s="361">
        <f>CM820</f>
        <v>41460</v>
      </c>
      <c r="CM821" s="361">
        <v>41466</v>
      </c>
      <c r="CN821" s="317">
        <f t="shared" si="204"/>
        <v>6</v>
      </c>
      <c r="CO821" s="368">
        <v>5.0000000000000001E-4</v>
      </c>
      <c r="CP821" s="346">
        <f t="shared" si="205"/>
        <v>3.0000000000000001E-3</v>
      </c>
      <c r="CQ821" s="365">
        <f>+CQ822</f>
        <v>5.3549999999999995E-4</v>
      </c>
      <c r="CR821" s="337">
        <f t="shared" si="209"/>
        <v>733.57629999999995</v>
      </c>
      <c r="CV821" s="337">
        <f>ROUND($CR$5*CO821*CN821/365,1)</f>
        <v>684.9</v>
      </c>
    </row>
    <row r="822" spans="10:102" x14ac:dyDescent="0.25">
      <c r="J822" s="345"/>
      <c r="S822" s="317">
        <f t="shared" si="208"/>
        <v>0</v>
      </c>
      <c r="BR822" s="347"/>
      <c r="CH822" s="337">
        <f t="shared" si="207"/>
        <v>0</v>
      </c>
      <c r="CL822" s="361">
        <f>CM821</f>
        <v>41466</v>
      </c>
      <c r="CM822" s="361">
        <v>41473</v>
      </c>
      <c r="CN822" s="317">
        <f t="shared" si="204"/>
        <v>7</v>
      </c>
      <c r="CO822" s="368">
        <v>5.0000000000000001E-4</v>
      </c>
      <c r="CP822" s="346">
        <f t="shared" si="205"/>
        <v>3.5000000000000001E-3</v>
      </c>
      <c r="CQ822" s="365">
        <f>+CQ823</f>
        <v>5.3549999999999995E-4</v>
      </c>
      <c r="CR822" s="337">
        <f t="shared" si="209"/>
        <v>855.83900000000006</v>
      </c>
      <c r="CV822" s="337">
        <f>ROUND($CR$5*CO822*CN822/365,1)</f>
        <v>799.1</v>
      </c>
    </row>
    <row r="823" spans="10:102" x14ac:dyDescent="0.25">
      <c r="J823" s="345"/>
      <c r="S823" s="317">
        <f t="shared" si="208"/>
        <v>0</v>
      </c>
      <c r="BR823" s="347"/>
      <c r="CH823" s="337">
        <f t="shared" si="207"/>
        <v>0</v>
      </c>
      <c r="CL823" s="361">
        <f>CM822</f>
        <v>41473</v>
      </c>
      <c r="CM823" s="361">
        <v>41480</v>
      </c>
      <c r="CN823" s="317">
        <f t="shared" si="204"/>
        <v>7</v>
      </c>
      <c r="CO823" s="368">
        <v>5.0000000000000001E-4</v>
      </c>
      <c r="CP823" s="346">
        <f t="shared" si="205"/>
        <v>3.5000000000000001E-3</v>
      </c>
      <c r="CQ823" s="365">
        <f>+CQ824</f>
        <v>5.3549999999999995E-4</v>
      </c>
      <c r="CR823" s="337">
        <f t="shared" si="209"/>
        <v>855.83900000000006</v>
      </c>
      <c r="CV823" s="337">
        <f>ROUND($CR$5*CO823*CN823/365,1)</f>
        <v>799.1</v>
      </c>
    </row>
    <row r="824" spans="10:102" x14ac:dyDescent="0.25">
      <c r="J824" s="345"/>
      <c r="S824" s="317">
        <f t="shared" si="208"/>
        <v>0</v>
      </c>
      <c r="BR824" s="347"/>
      <c r="CH824" s="337">
        <f t="shared" si="207"/>
        <v>0</v>
      </c>
      <c r="CL824" s="361">
        <f>CM823</f>
        <v>41480</v>
      </c>
      <c r="CM824" s="361">
        <v>41487</v>
      </c>
      <c r="CN824" s="317">
        <f t="shared" si="204"/>
        <v>7</v>
      </c>
      <c r="CO824" s="368">
        <v>5.9999999999999995E-4</v>
      </c>
      <c r="CP824" s="346">
        <f t="shared" si="205"/>
        <v>4.1999999999999997E-3</v>
      </c>
      <c r="CQ824" s="365">
        <f>ROUND(SUM(CP820:CP824)/SUM(CN820:CN824),7)</f>
        <v>5.3549999999999995E-4</v>
      </c>
      <c r="CR824" s="337">
        <f t="shared" si="209"/>
        <v>855.83900000000006</v>
      </c>
      <c r="CS824" s="337">
        <f>(ROUND(SUM(CR820:CR824),3))</f>
        <v>3790.1439999999998</v>
      </c>
      <c r="CT824" s="337">
        <f>ROUND($CR$5*0.05495*DAYS360(CL820,CM824)/360,2)</f>
        <v>381604.85</v>
      </c>
      <c r="CU824" s="372">
        <f>ROUNDUP(CS824-CT824,5)</f>
        <v>-377814.70600000001</v>
      </c>
      <c r="CV824" s="337" t="e">
        <f>ROUND($CR$5*CO824*#REF!/365,1)</f>
        <v>#REF!</v>
      </c>
      <c r="CX824" s="363">
        <f>-SUM(CU814:CU824)/SUM(CN809:CN824)*365</f>
        <v>4456144.9193478264</v>
      </c>
    </row>
    <row r="825" spans="10:102" x14ac:dyDescent="0.25">
      <c r="CL825" s="361">
        <f>+CM824</f>
        <v>41487</v>
      </c>
      <c r="CM825" s="361">
        <v>41494</v>
      </c>
      <c r="CN825" s="317">
        <f t="shared" ref="CN825:CN855" si="210">CM825-CL825</f>
        <v>7</v>
      </c>
      <c r="CO825" s="368">
        <v>5.0000000000000001E-4</v>
      </c>
      <c r="CP825" s="346">
        <f t="shared" si="205"/>
        <v>3.5000000000000001E-3</v>
      </c>
      <c r="CQ825" s="365">
        <f>+CQ826</f>
        <v>5.576E-4</v>
      </c>
      <c r="CR825" s="337">
        <f t="shared" si="209"/>
        <v>891.15940000000001</v>
      </c>
      <c r="CS825" s="356"/>
      <c r="CT825" s="356"/>
      <c r="CU825" s="372"/>
      <c r="CV825" s="337">
        <f>ROUND($CR$5*CO825*CN825/365,1)</f>
        <v>799.1</v>
      </c>
    </row>
    <row r="826" spans="10:102" x14ac:dyDescent="0.25">
      <c r="J826" s="345"/>
      <c r="S826" s="317">
        <f>R826-Q826</f>
        <v>0</v>
      </c>
      <c r="BR826" s="347"/>
      <c r="CH826" s="337">
        <f>ROUND($CA$5*CG826*CF826/365,6)</f>
        <v>0</v>
      </c>
      <c r="CL826" s="361">
        <f>CM825</f>
        <v>41494</v>
      </c>
      <c r="CM826" s="361">
        <v>41501</v>
      </c>
      <c r="CN826" s="317">
        <f t="shared" si="210"/>
        <v>7</v>
      </c>
      <c r="CO826" s="368">
        <v>5.0000000000000001E-4</v>
      </c>
      <c r="CP826" s="346">
        <f t="shared" si="205"/>
        <v>3.5000000000000001E-3</v>
      </c>
      <c r="CQ826" s="365">
        <f>+CQ827</f>
        <v>5.576E-4</v>
      </c>
      <c r="CR826" s="337">
        <f t="shared" si="209"/>
        <v>891.15940000000001</v>
      </c>
      <c r="CV826" s="337">
        <f>ROUND($CR$5*CO826*CN826/365,1)</f>
        <v>799.1</v>
      </c>
    </row>
    <row r="827" spans="10:102" x14ac:dyDescent="0.25">
      <c r="J827" s="345"/>
      <c r="S827" s="317">
        <f>R827-Q827</f>
        <v>0</v>
      </c>
      <c r="BR827" s="347"/>
      <c r="CH827" s="337">
        <f>ROUND($CA$5*CG827*CF827/365,6)</f>
        <v>0</v>
      </c>
      <c r="CL827" s="361">
        <f>CM826</f>
        <v>41501</v>
      </c>
      <c r="CM827" s="361">
        <v>41508</v>
      </c>
      <c r="CN827" s="317">
        <f t="shared" si="210"/>
        <v>7</v>
      </c>
      <c r="CO827" s="368">
        <v>5.9999999999999995E-4</v>
      </c>
      <c r="CP827" s="346">
        <f t="shared" si="205"/>
        <v>4.1999999999999997E-3</v>
      </c>
      <c r="CQ827" s="365">
        <f>+CQ828</f>
        <v>5.576E-4</v>
      </c>
      <c r="CR827" s="337">
        <f t="shared" si="209"/>
        <v>891.15940000000001</v>
      </c>
      <c r="CV827" s="337">
        <f>ROUND($CR$5*CO827*CN827/365,1)</f>
        <v>958.9</v>
      </c>
    </row>
    <row r="828" spans="10:102" x14ac:dyDescent="0.25">
      <c r="J828" s="345"/>
      <c r="S828" s="317">
        <f>R828-Q828</f>
        <v>0</v>
      </c>
      <c r="BR828" s="347"/>
      <c r="CH828" s="337">
        <f>ROUND($CA$5*CG828*CF828/365,6)</f>
        <v>0</v>
      </c>
      <c r="CL828" s="361">
        <f>CM827</f>
        <v>41508</v>
      </c>
      <c r="CM828" s="361">
        <v>41515</v>
      </c>
      <c r="CN828" s="317">
        <f t="shared" si="210"/>
        <v>7</v>
      </c>
      <c r="CO828" s="368">
        <v>5.9999999999999995E-4</v>
      </c>
      <c r="CP828" s="346">
        <f t="shared" si="205"/>
        <v>4.1999999999999997E-3</v>
      </c>
      <c r="CQ828" s="365">
        <f>+CQ829</f>
        <v>5.576E-4</v>
      </c>
      <c r="CR828" s="337">
        <f t="shared" si="209"/>
        <v>891.15940000000001</v>
      </c>
      <c r="CV828" s="337">
        <f>ROUND($CR$5*CO828*CN828/365,1)</f>
        <v>958.9</v>
      </c>
    </row>
    <row r="829" spans="10:102" x14ac:dyDescent="0.25">
      <c r="J829" s="345"/>
      <c r="S829" s="317">
        <f>R829-Q829</f>
        <v>0</v>
      </c>
      <c r="BR829" s="347"/>
      <c r="CH829" s="337">
        <f>ROUND($CA$5*CG829*CF829/365,6)</f>
        <v>0</v>
      </c>
      <c r="CL829" s="361">
        <f>CM828</f>
        <v>41515</v>
      </c>
      <c r="CM829" s="361">
        <v>41520</v>
      </c>
      <c r="CN829" s="317">
        <f t="shared" si="210"/>
        <v>5</v>
      </c>
      <c r="CO829" s="368">
        <v>5.9999999999999995E-4</v>
      </c>
      <c r="CP829" s="346">
        <f t="shared" si="205"/>
        <v>2.9999999999999996E-3</v>
      </c>
      <c r="CQ829" s="365">
        <f>ROUND(SUM(CP825:CP829)/SUM(CN825:CN829),7)</f>
        <v>5.576E-4</v>
      </c>
      <c r="CR829" s="337">
        <f t="shared" si="209"/>
        <v>636.54240000000004</v>
      </c>
      <c r="CS829" s="337">
        <f>(ROUND(SUM(CR825:CR829),3))</f>
        <v>4201.18</v>
      </c>
      <c r="CT829" s="337">
        <f>ROUND($CR$5*0.05495*DAYS360(CL825,CM829)/360,2)</f>
        <v>407045.18</v>
      </c>
      <c r="CU829" s="372">
        <f>ROUNDUP(CS829-CT829,5)</f>
        <v>-402844</v>
      </c>
      <c r="CV829" s="337" t="e">
        <f>ROUND($CR$5*CO829*#REF!/365,1)</f>
        <v>#REF!</v>
      </c>
      <c r="CX829" s="363">
        <f>-SUM(CU814:CU829)/SUM(CN809:CN829)*365</f>
        <v>4456027.1406400008</v>
      </c>
    </row>
    <row r="830" spans="10:102" x14ac:dyDescent="0.25">
      <c r="J830" s="345"/>
      <c r="S830" s="317">
        <f t="shared" si="208"/>
        <v>0</v>
      </c>
      <c r="BR830" s="347"/>
      <c r="CH830" s="337">
        <f t="shared" si="207"/>
        <v>0</v>
      </c>
      <c r="CL830" s="361">
        <f>+CM829</f>
        <v>41520</v>
      </c>
      <c r="CM830" s="361">
        <v>41522</v>
      </c>
      <c r="CN830" s="317">
        <f t="shared" si="210"/>
        <v>2</v>
      </c>
      <c r="CO830" s="368">
        <v>5.9999999999999995E-4</v>
      </c>
      <c r="CP830" s="346">
        <f t="shared" si="205"/>
        <v>1.1999999999999999E-3</v>
      </c>
      <c r="CQ830" s="365">
        <f>+CQ831</f>
        <v>6.179E-4</v>
      </c>
      <c r="CR830" s="337">
        <f t="shared" si="209"/>
        <v>282.15179999999998</v>
      </c>
      <c r="CS830" s="356"/>
      <c r="CT830" s="356"/>
      <c r="CU830" s="372"/>
      <c r="CV830" s="337">
        <f>ROUND($CR$5*CO830*CN830/365,1)</f>
        <v>274</v>
      </c>
    </row>
    <row r="831" spans="10:102" x14ac:dyDescent="0.25">
      <c r="J831" s="345"/>
      <c r="S831" s="317">
        <f t="shared" si="208"/>
        <v>0</v>
      </c>
      <c r="BR831" s="347"/>
      <c r="CH831" s="337">
        <f t="shared" si="207"/>
        <v>0</v>
      </c>
      <c r="CL831" s="361">
        <f>CM830</f>
        <v>41522</v>
      </c>
      <c r="CM831" s="361">
        <v>41529</v>
      </c>
      <c r="CN831" s="317">
        <f t="shared" si="210"/>
        <v>7</v>
      </c>
      <c r="CO831" s="368">
        <v>5.0000000000000001E-4</v>
      </c>
      <c r="CP831" s="346">
        <f t="shared" si="205"/>
        <v>3.5000000000000001E-3</v>
      </c>
      <c r="CQ831" s="365">
        <f>+CQ832</f>
        <v>6.179E-4</v>
      </c>
      <c r="CR831" s="337">
        <f t="shared" si="209"/>
        <v>987.53120000000001</v>
      </c>
      <c r="CV831" s="337">
        <f>ROUND($CR$5*CO831*CN831/365,1)</f>
        <v>799.1</v>
      </c>
    </row>
    <row r="832" spans="10:102" x14ac:dyDescent="0.25">
      <c r="J832" s="345"/>
      <c r="S832" s="317">
        <f t="shared" si="208"/>
        <v>0</v>
      </c>
      <c r="BR832" s="347"/>
      <c r="CH832" s="337">
        <f t="shared" si="207"/>
        <v>0</v>
      </c>
      <c r="CL832" s="361">
        <f>CM831</f>
        <v>41529</v>
      </c>
      <c r="CM832" s="361">
        <v>41536</v>
      </c>
      <c r="CN832" s="317">
        <f t="shared" si="210"/>
        <v>7</v>
      </c>
      <c r="CO832" s="368">
        <v>5.9999999999999995E-4</v>
      </c>
      <c r="CP832" s="346">
        <f t="shared" si="205"/>
        <v>4.1999999999999997E-3</v>
      </c>
      <c r="CQ832" s="365">
        <f>+CQ833</f>
        <v>6.179E-4</v>
      </c>
      <c r="CR832" s="337">
        <f t="shared" si="209"/>
        <v>987.53120000000001</v>
      </c>
      <c r="CV832" s="337">
        <f>ROUND($CR$5*CO832*CN832/365,1)</f>
        <v>958.9</v>
      </c>
    </row>
    <row r="833" spans="10:102" x14ac:dyDescent="0.25">
      <c r="J833" s="345"/>
      <c r="S833" s="317">
        <f t="shared" si="208"/>
        <v>0</v>
      </c>
      <c r="BR833" s="347"/>
      <c r="CH833" s="337">
        <f t="shared" si="207"/>
        <v>0</v>
      </c>
      <c r="CL833" s="361">
        <f>CM832</f>
        <v>41536</v>
      </c>
      <c r="CM833" s="361">
        <v>41543</v>
      </c>
      <c r="CN833" s="317">
        <f t="shared" si="210"/>
        <v>7</v>
      </c>
      <c r="CO833" s="368">
        <v>6.9999999999999999E-4</v>
      </c>
      <c r="CP833" s="346">
        <f t="shared" si="205"/>
        <v>4.8999999999999998E-3</v>
      </c>
      <c r="CQ833" s="365">
        <f>+CQ834</f>
        <v>6.179E-4</v>
      </c>
      <c r="CR833" s="337">
        <f t="shared" si="209"/>
        <v>987.53120000000001</v>
      </c>
      <c r="CV833" s="337">
        <f>ROUND($CR$5*CO833*CN833/365,1)</f>
        <v>1118.7</v>
      </c>
    </row>
    <row r="834" spans="10:102" x14ac:dyDescent="0.25">
      <c r="J834" s="345"/>
      <c r="S834" s="317">
        <f t="shared" si="208"/>
        <v>0</v>
      </c>
      <c r="BR834" s="347"/>
      <c r="CH834" s="337">
        <f t="shared" si="207"/>
        <v>0</v>
      </c>
      <c r="CL834" s="361">
        <f>CM833</f>
        <v>41543</v>
      </c>
      <c r="CM834" s="361">
        <v>41548</v>
      </c>
      <c r="CN834" s="317">
        <f t="shared" si="210"/>
        <v>5</v>
      </c>
      <c r="CO834" s="368">
        <v>6.9999999999999999E-4</v>
      </c>
      <c r="CP834" s="346">
        <f t="shared" ref="CP834:CP855" si="211">CN834*CO834</f>
        <v>3.5000000000000001E-3</v>
      </c>
      <c r="CQ834" s="365">
        <f>ROUND(SUM(CP830:CP834)/SUM(CN830:CN834),7)</f>
        <v>6.179E-4</v>
      </c>
      <c r="CR834" s="337">
        <f t="shared" si="209"/>
        <v>705.37940000000003</v>
      </c>
      <c r="CS834" s="337">
        <f>(ROUND(SUM(CR830:CR834),3))</f>
        <v>3950.125</v>
      </c>
      <c r="CT834" s="337">
        <f>ROUND($CR$5*0.05495*DAYS360(CL830,CM834)/360,2)</f>
        <v>356164.53</v>
      </c>
      <c r="CU834" s="372">
        <f>ROUNDUP(CS834-CT834,5)</f>
        <v>-352214.40500000003</v>
      </c>
      <c r="CV834" s="337" t="e">
        <f>ROUND($CR$5*CO834*#REF!/365,1)</f>
        <v>#REF!</v>
      </c>
      <c r="CX834" s="363">
        <f>-SUM(CU814:CU834)/SUM(CN809:CN834)*365</f>
        <v>4480795.1006862745</v>
      </c>
    </row>
    <row r="835" spans="10:102" x14ac:dyDescent="0.25">
      <c r="J835" s="345"/>
      <c r="S835" s="317">
        <f t="shared" si="208"/>
        <v>0</v>
      </c>
      <c r="BR835" s="347"/>
      <c r="CH835" s="337">
        <f t="shared" si="207"/>
        <v>0</v>
      </c>
      <c r="CL835" s="361">
        <f>+CM834</f>
        <v>41548</v>
      </c>
      <c r="CM835" s="361">
        <v>41550</v>
      </c>
      <c r="CN835" s="317">
        <f t="shared" si="210"/>
        <v>2</v>
      </c>
      <c r="CO835" s="368">
        <v>6.9999999999999999E-4</v>
      </c>
      <c r="CP835" s="346">
        <f t="shared" si="211"/>
        <v>1.4E-3</v>
      </c>
      <c r="CQ835" s="365">
        <f>+CQ836</f>
        <v>7.9330000000000004E-4</v>
      </c>
      <c r="CR835" s="337">
        <f t="shared" si="209"/>
        <v>362.24470000000002</v>
      </c>
      <c r="CS835" s="356"/>
      <c r="CT835" s="356"/>
      <c r="CU835" s="372"/>
      <c r="CV835" s="337">
        <f>ROUND($CR$5*CO835*CN835/365,1)</f>
        <v>319.60000000000002</v>
      </c>
    </row>
    <row r="836" spans="10:102" x14ac:dyDescent="0.25">
      <c r="J836" s="345"/>
      <c r="S836" s="317">
        <f t="shared" si="208"/>
        <v>0</v>
      </c>
      <c r="BR836" s="347"/>
      <c r="CH836" s="337">
        <f t="shared" si="207"/>
        <v>0</v>
      </c>
      <c r="CL836" s="361">
        <f>CM835</f>
        <v>41550</v>
      </c>
      <c r="CM836" s="361">
        <v>41557</v>
      </c>
      <c r="CN836" s="317">
        <f t="shared" si="210"/>
        <v>7</v>
      </c>
      <c r="CO836" s="368">
        <v>5.9999999999999995E-4</v>
      </c>
      <c r="CP836" s="346">
        <f t="shared" si="211"/>
        <v>4.1999999999999997E-3</v>
      </c>
      <c r="CQ836" s="365">
        <f>+CQ837</f>
        <v>7.9330000000000004E-4</v>
      </c>
      <c r="CR836" s="337">
        <f t="shared" si="209"/>
        <v>1267.8563999999999</v>
      </c>
      <c r="CV836" s="337">
        <f>ROUND($CR$5*CO836*CN836/365,1)</f>
        <v>958.9</v>
      </c>
    </row>
    <row r="837" spans="10:102" x14ac:dyDescent="0.25">
      <c r="J837" s="345"/>
      <c r="S837" s="317">
        <f t="shared" si="208"/>
        <v>0</v>
      </c>
      <c r="BR837" s="347"/>
      <c r="CH837" s="337">
        <f t="shared" si="207"/>
        <v>0</v>
      </c>
      <c r="CL837" s="361">
        <f>CM836</f>
        <v>41557</v>
      </c>
      <c r="CM837" s="361">
        <v>41564</v>
      </c>
      <c r="CN837" s="317">
        <f t="shared" si="210"/>
        <v>7</v>
      </c>
      <c r="CO837" s="368">
        <v>6.9999999999999999E-4</v>
      </c>
      <c r="CP837" s="346">
        <f t="shared" si="211"/>
        <v>4.8999999999999998E-3</v>
      </c>
      <c r="CQ837" s="365">
        <f>+CQ838</f>
        <v>7.9330000000000004E-4</v>
      </c>
      <c r="CR837" s="337">
        <f t="shared" si="209"/>
        <v>1267.8563999999999</v>
      </c>
      <c r="CV837" s="337">
        <f>ROUND($CR$5*CO837*CN837/365,1)</f>
        <v>1118.7</v>
      </c>
    </row>
    <row r="838" spans="10:102" x14ac:dyDescent="0.25">
      <c r="J838" s="345"/>
      <c r="S838" s="317">
        <f t="shared" si="208"/>
        <v>0</v>
      </c>
      <c r="BR838" s="347"/>
      <c r="CH838" s="337">
        <f t="shared" si="207"/>
        <v>0</v>
      </c>
      <c r="CL838" s="361">
        <f>CM837</f>
        <v>41564</v>
      </c>
      <c r="CM838" s="361">
        <v>41571</v>
      </c>
      <c r="CN838" s="317">
        <f t="shared" si="210"/>
        <v>7</v>
      </c>
      <c r="CO838" s="368">
        <v>8.9999999999999998E-4</v>
      </c>
      <c r="CP838" s="346">
        <f t="shared" si="211"/>
        <v>6.3E-3</v>
      </c>
      <c r="CQ838" s="365">
        <f>+CQ839</f>
        <v>7.9330000000000004E-4</v>
      </c>
      <c r="CR838" s="337">
        <f t="shared" si="209"/>
        <v>1267.8563999999999</v>
      </c>
      <c r="CV838" s="337">
        <f>ROUND($CR$5*CO838*CN838/365,1)</f>
        <v>1438.4</v>
      </c>
    </row>
    <row r="839" spans="10:102" x14ac:dyDescent="0.25">
      <c r="J839" s="345"/>
      <c r="S839" s="317">
        <f t="shared" si="208"/>
        <v>0</v>
      </c>
      <c r="BR839" s="347"/>
      <c r="CH839" s="337">
        <f t="shared" si="207"/>
        <v>0</v>
      </c>
      <c r="CL839" s="361">
        <f>CM838</f>
        <v>41571</v>
      </c>
      <c r="CM839" s="361">
        <v>41578</v>
      </c>
      <c r="CN839" s="317">
        <f t="shared" si="210"/>
        <v>7</v>
      </c>
      <c r="CO839" s="368">
        <v>1E-3</v>
      </c>
      <c r="CP839" s="346">
        <f t="shared" si="211"/>
        <v>7.0000000000000001E-3</v>
      </c>
      <c r="CQ839" s="365">
        <f>ROUND(SUM(CP835:CP839)/SUM(CN835:CN839),7)</f>
        <v>7.9330000000000004E-4</v>
      </c>
      <c r="CR839" s="337">
        <f t="shared" si="209"/>
        <v>1267.8563999999999</v>
      </c>
      <c r="CS839" s="337"/>
      <c r="CT839" s="337"/>
      <c r="CU839" s="372"/>
      <c r="CV839" s="337"/>
      <c r="CX839" s="363"/>
    </row>
    <row r="840" spans="10:102" x14ac:dyDescent="0.25">
      <c r="J840" s="345"/>
      <c r="S840" s="317"/>
      <c r="BR840" s="347"/>
      <c r="CH840" s="337"/>
      <c r="CL840" s="361">
        <f>CM839</f>
        <v>41578</v>
      </c>
      <c r="CM840" s="361">
        <v>41579</v>
      </c>
      <c r="CN840" s="317">
        <f>CM840-CL840</f>
        <v>1</v>
      </c>
      <c r="CO840" s="368">
        <v>8.0000000000000004E-4</v>
      </c>
      <c r="CP840" s="346">
        <f>CN840*CO840</f>
        <v>8.0000000000000004E-4</v>
      </c>
      <c r="CQ840" s="365">
        <f>ROUND(SUM(CP836:CP840)/SUM(CN836:CN840),7)</f>
        <v>8.0000000000000004E-4</v>
      </c>
      <c r="CR840" s="337">
        <f>ROUND($CR$5*CQ840*CN840/365,4)</f>
        <v>182.65209999999999</v>
      </c>
      <c r="CS840" s="337">
        <f>(ROUND(SUM(CR835:CR840),3))</f>
        <v>5616.3220000000001</v>
      </c>
      <c r="CT840" s="337">
        <f>ROUND($CR$5*0.05495*DAYS360(CL835,CM840)/360,2)</f>
        <v>381604.85</v>
      </c>
      <c r="CU840" s="372">
        <f>ROUNDUP(CS840-CT840,5)</f>
        <v>-375988.52799999999</v>
      </c>
      <c r="CV840" s="337" t="e">
        <f>ROUND($CR$5*CO840*#REF!/365,1)</f>
        <v>#REF!</v>
      </c>
      <c r="CX840" s="363">
        <f>-SUM(CU815:CU840)/SUM(CN810:CN840)*365</f>
        <v>3709796.8031420764</v>
      </c>
    </row>
    <row r="841" spans="10:102" hidden="1" x14ac:dyDescent="0.25">
      <c r="J841" s="345"/>
      <c r="S841" s="317">
        <f t="shared" si="208"/>
        <v>0</v>
      </c>
      <c r="BR841" s="347"/>
      <c r="CH841" s="337">
        <f t="shared" si="207"/>
        <v>0</v>
      </c>
      <c r="CL841" s="361">
        <f>+CM840</f>
        <v>41579</v>
      </c>
      <c r="CM841" s="361">
        <v>41585</v>
      </c>
      <c r="CN841" s="317">
        <f t="shared" si="210"/>
        <v>6</v>
      </c>
      <c r="CO841" s="368">
        <v>8.0000000000000004E-4</v>
      </c>
      <c r="CP841" s="346">
        <f t="shared" si="211"/>
        <v>4.8000000000000004E-3</v>
      </c>
      <c r="CQ841" s="365">
        <f>+CQ842</f>
        <v>6.29E-4</v>
      </c>
      <c r="CR841" s="337">
        <f t="shared" si="209"/>
        <v>861.66110000000003</v>
      </c>
      <c r="CS841" s="356"/>
      <c r="CT841" s="356"/>
      <c r="CU841" s="372"/>
      <c r="CV841" s="337">
        <f>ROUND($CR$5*CO841*CN841/365,1)</f>
        <v>1095.9000000000001</v>
      </c>
    </row>
    <row r="842" spans="10:102" hidden="1" x14ac:dyDescent="0.25">
      <c r="J842" s="345"/>
      <c r="S842" s="317">
        <f t="shared" si="208"/>
        <v>0</v>
      </c>
      <c r="BR842" s="347"/>
      <c r="CH842" s="337">
        <f t="shared" si="207"/>
        <v>0</v>
      </c>
      <c r="CL842" s="361">
        <f>CM841</f>
        <v>41585</v>
      </c>
      <c r="CM842" s="361">
        <v>41592</v>
      </c>
      <c r="CN842" s="317">
        <f t="shared" si="210"/>
        <v>7</v>
      </c>
      <c r="CO842" s="368">
        <v>5.9999999999999995E-4</v>
      </c>
      <c r="CP842" s="346">
        <f t="shared" si="211"/>
        <v>4.1999999999999997E-3</v>
      </c>
      <c r="CQ842" s="365">
        <f>+CQ843</f>
        <v>6.29E-4</v>
      </c>
      <c r="CR842" s="337">
        <f t="shared" si="209"/>
        <v>1005.2712</v>
      </c>
      <c r="CV842" s="337">
        <f>ROUND($CR$5*CO842*CN842/365,1)</f>
        <v>958.9</v>
      </c>
    </row>
    <row r="843" spans="10:102" hidden="1" x14ac:dyDescent="0.25">
      <c r="J843" s="345"/>
      <c r="S843" s="317">
        <f t="shared" si="208"/>
        <v>0</v>
      </c>
      <c r="BR843" s="347"/>
      <c r="CH843" s="337">
        <f t="shared" si="207"/>
        <v>0</v>
      </c>
      <c r="CL843" s="361">
        <f>CM842</f>
        <v>41592</v>
      </c>
      <c r="CM843" s="361">
        <v>41599</v>
      </c>
      <c r="CN843" s="317">
        <f t="shared" si="210"/>
        <v>7</v>
      </c>
      <c r="CO843" s="368">
        <v>5.9999999999999995E-4</v>
      </c>
      <c r="CP843" s="346">
        <f t="shared" si="211"/>
        <v>4.1999999999999997E-3</v>
      </c>
      <c r="CQ843" s="365">
        <f>+CQ844</f>
        <v>6.29E-4</v>
      </c>
      <c r="CR843" s="337">
        <f t="shared" si="209"/>
        <v>1005.2712</v>
      </c>
      <c r="CV843" s="337">
        <f>ROUND($CR$5*CO843*CN843/365,1)</f>
        <v>958.9</v>
      </c>
    </row>
    <row r="844" spans="10:102" hidden="1" x14ac:dyDescent="0.25">
      <c r="J844" s="345"/>
      <c r="S844" s="317">
        <f t="shared" si="208"/>
        <v>0</v>
      </c>
      <c r="BR844" s="347"/>
      <c r="CH844" s="337">
        <f t="shared" si="207"/>
        <v>0</v>
      </c>
      <c r="CL844" s="361">
        <f>CM843</f>
        <v>41599</v>
      </c>
      <c r="CM844" s="361">
        <v>41607</v>
      </c>
      <c r="CN844" s="317">
        <f t="shared" si="210"/>
        <v>8</v>
      </c>
      <c r="CO844" s="368">
        <v>5.9999999999999995E-4</v>
      </c>
      <c r="CP844" s="346">
        <f t="shared" si="211"/>
        <v>4.7999999999999996E-3</v>
      </c>
      <c r="CQ844" s="365">
        <f>+CQ845</f>
        <v>6.29E-4</v>
      </c>
      <c r="CR844" s="337">
        <f t="shared" si="209"/>
        <v>1148.8814</v>
      </c>
      <c r="CV844" s="337">
        <f>ROUND($CR$5*CO844*CN844/365,1)</f>
        <v>1095.9000000000001</v>
      </c>
    </row>
    <row r="845" spans="10:102" hidden="1" x14ac:dyDescent="0.25">
      <c r="J845" s="345"/>
      <c r="S845" s="317">
        <f t="shared" si="208"/>
        <v>0</v>
      </c>
      <c r="BR845" s="347"/>
      <c r="CH845" s="337">
        <f t="shared" si="207"/>
        <v>0</v>
      </c>
      <c r="CL845" s="361">
        <f>CM844</f>
        <v>41607</v>
      </c>
      <c r="CM845" s="361">
        <v>41610</v>
      </c>
      <c r="CN845" s="317">
        <f t="shared" si="210"/>
        <v>3</v>
      </c>
      <c r="CO845" s="368">
        <v>5.0000000000000001E-4</v>
      </c>
      <c r="CP845" s="346">
        <f t="shared" si="211"/>
        <v>1.5E-3</v>
      </c>
      <c r="CQ845" s="365">
        <f>ROUND(SUM(CP841:CP845)/SUM(CN841:CN845),7)</f>
        <v>6.29E-4</v>
      </c>
      <c r="CR845" s="337">
        <f t="shared" si="209"/>
        <v>430.83049999999997</v>
      </c>
      <c r="CS845" s="337">
        <f>(ROUND(SUM(CR841:CR845),3))</f>
        <v>4451.915</v>
      </c>
      <c r="CT845" s="337">
        <f>ROUND($CR$5*0.05495*DAYS360(CL841,CM845)/360,2)</f>
        <v>394325.02</v>
      </c>
      <c r="CU845" s="372">
        <f>ROUNDUP(CS845-CT845,5)</f>
        <v>-389873.10499999998</v>
      </c>
      <c r="CV845" s="337" t="e">
        <f>ROUND($CR$5*CO845*#REF!/365,1)</f>
        <v>#REF!</v>
      </c>
      <c r="CX845" s="363">
        <f>-SUM(CU841:CU845)/SUM(CN841:CN845)*365</f>
        <v>4590441.397580645</v>
      </c>
    </row>
    <row r="846" spans="10:102" hidden="1" x14ac:dyDescent="0.25">
      <c r="J846" s="345"/>
      <c r="S846" s="317">
        <f t="shared" si="208"/>
        <v>0</v>
      </c>
      <c r="BR846" s="347"/>
      <c r="CH846" s="337">
        <f t="shared" si="207"/>
        <v>0</v>
      </c>
      <c r="CL846" s="361">
        <f>+CM845</f>
        <v>41610</v>
      </c>
      <c r="CM846" s="361">
        <v>41613</v>
      </c>
      <c r="CN846" s="317">
        <f t="shared" si="210"/>
        <v>3</v>
      </c>
      <c r="CO846" s="368">
        <v>5.0000000000000001E-4</v>
      </c>
      <c r="CP846" s="346">
        <f t="shared" si="211"/>
        <v>1.5E-3</v>
      </c>
      <c r="CQ846" s="365">
        <f>+CQ847</f>
        <v>5.6769999999999998E-4</v>
      </c>
      <c r="CR846" s="337">
        <f t="shared" si="209"/>
        <v>388.84339999999997</v>
      </c>
      <c r="CS846" s="356"/>
      <c r="CT846" s="356"/>
      <c r="CU846" s="372"/>
      <c r="CV846" s="337">
        <f>ROUND($CR$5*CO846*CN846/365,1)</f>
        <v>342.5</v>
      </c>
    </row>
    <row r="847" spans="10:102" hidden="1" x14ac:dyDescent="0.25">
      <c r="J847" s="345"/>
      <c r="S847" s="317">
        <f t="shared" si="208"/>
        <v>0</v>
      </c>
      <c r="BR847" s="347"/>
      <c r="CH847" s="337">
        <f t="shared" si="207"/>
        <v>0</v>
      </c>
      <c r="CL847" s="361">
        <f>CM846</f>
        <v>41613</v>
      </c>
      <c r="CM847" s="361">
        <v>41620</v>
      </c>
      <c r="CN847" s="317">
        <f t="shared" si="210"/>
        <v>7</v>
      </c>
      <c r="CO847" s="368">
        <v>5.0000000000000001E-4</v>
      </c>
      <c r="CP847" s="346">
        <f t="shared" si="211"/>
        <v>3.5000000000000001E-3</v>
      </c>
      <c r="CQ847" s="365">
        <f>+CQ848</f>
        <v>5.6769999999999998E-4</v>
      </c>
      <c r="CR847" s="337">
        <f t="shared" si="209"/>
        <v>907.30129999999997</v>
      </c>
      <c r="CV847" s="337">
        <f>ROUND($CR$5*CO847*CN847/365,1)</f>
        <v>799.1</v>
      </c>
    </row>
    <row r="848" spans="10:102" hidden="1" x14ac:dyDescent="0.25">
      <c r="J848" s="345"/>
      <c r="S848" s="317">
        <f t="shared" si="208"/>
        <v>0</v>
      </c>
      <c r="BR848" s="347"/>
      <c r="CH848" s="337">
        <f t="shared" si="207"/>
        <v>0</v>
      </c>
      <c r="CL848" s="361">
        <f>CM847</f>
        <v>41620</v>
      </c>
      <c r="CM848" s="361">
        <v>41627</v>
      </c>
      <c r="CN848" s="317">
        <f t="shared" si="210"/>
        <v>7</v>
      </c>
      <c r="CO848" s="368">
        <v>5.9999999999999995E-4</v>
      </c>
      <c r="CP848" s="346">
        <f t="shared" si="211"/>
        <v>4.1999999999999997E-3</v>
      </c>
      <c r="CQ848" s="365">
        <f>+CQ849</f>
        <v>5.6769999999999998E-4</v>
      </c>
      <c r="CR848" s="337">
        <f t="shared" si="209"/>
        <v>907.30129999999997</v>
      </c>
      <c r="CV848" s="337">
        <f>ROUND($CR$5*CO848*CN848/365,1)</f>
        <v>958.9</v>
      </c>
    </row>
    <row r="849" spans="10:102" hidden="1" x14ac:dyDescent="0.25">
      <c r="J849" s="345"/>
      <c r="S849" s="317">
        <f t="shared" si="208"/>
        <v>0</v>
      </c>
      <c r="BR849" s="347"/>
      <c r="CH849" s="337">
        <f t="shared" si="207"/>
        <v>0</v>
      </c>
      <c r="CL849" s="361">
        <f>CM848</f>
        <v>41627</v>
      </c>
      <c r="CM849" s="361">
        <v>41634</v>
      </c>
      <c r="CN849" s="317">
        <f t="shared" si="210"/>
        <v>7</v>
      </c>
      <c r="CO849" s="368">
        <v>5.9999999999999995E-4</v>
      </c>
      <c r="CP849" s="346">
        <f t="shared" si="211"/>
        <v>4.1999999999999997E-3</v>
      </c>
      <c r="CQ849" s="365">
        <f>+CQ850</f>
        <v>5.6769999999999998E-4</v>
      </c>
      <c r="CR849" s="337">
        <f t="shared" si="209"/>
        <v>907.30129999999997</v>
      </c>
      <c r="CV849" s="337">
        <f>ROUND($CR$5*CO849*CN849/365,1)</f>
        <v>958.9</v>
      </c>
    </row>
    <row r="850" spans="10:102" hidden="1" x14ac:dyDescent="0.25">
      <c r="J850" s="345"/>
      <c r="S850" s="317">
        <f t="shared" si="208"/>
        <v>0</v>
      </c>
      <c r="BR850" s="347"/>
      <c r="CH850" s="337">
        <f t="shared" si="207"/>
        <v>0</v>
      </c>
      <c r="CL850" s="361">
        <f>CM849</f>
        <v>41634</v>
      </c>
      <c r="CM850" s="361">
        <v>41641</v>
      </c>
      <c r="CN850" s="317">
        <f t="shared" si="210"/>
        <v>7</v>
      </c>
      <c r="CO850" s="368">
        <v>5.9999999999999995E-4</v>
      </c>
      <c r="CP850" s="346">
        <f t="shared" si="211"/>
        <v>4.1999999999999997E-3</v>
      </c>
      <c r="CQ850" s="365">
        <f>ROUND(SUM(CP846:CP850)/SUM(CN846:CN850),7)</f>
        <v>5.6769999999999998E-4</v>
      </c>
      <c r="CR850" s="337">
        <f t="shared" si="209"/>
        <v>907.30129999999997</v>
      </c>
      <c r="CS850" s="337">
        <f>(ROUND(SUM(CR846:CR850),3))</f>
        <v>4018.049</v>
      </c>
      <c r="CT850" s="337">
        <f>ROUND($CR$5*0.05495*DAYS360(CL846,CM850)/360,2)</f>
        <v>381604.85</v>
      </c>
      <c r="CU850" s="372">
        <f>ROUNDUP(CS850-CT850,5)</f>
        <v>-377586.80099999998</v>
      </c>
      <c r="CV850" s="337" t="e">
        <f>ROUND($CR$5*CO850*#REF!/365,1)</f>
        <v>#REF!</v>
      </c>
      <c r="CX850" s="363">
        <f>-SUM(CU846:CU850)/SUM(CN846:CN850)*365</f>
        <v>4445780.0762903225</v>
      </c>
    </row>
    <row r="851" spans="10:102" hidden="1" x14ac:dyDescent="0.25">
      <c r="J851" s="345"/>
      <c r="S851" s="317">
        <f t="shared" si="208"/>
        <v>0</v>
      </c>
      <c r="BR851" s="347"/>
      <c r="CH851" s="337">
        <f t="shared" si="207"/>
        <v>0</v>
      </c>
      <c r="CL851" s="361">
        <f>+CM850</f>
        <v>41641</v>
      </c>
      <c r="CM851" s="361">
        <v>41648</v>
      </c>
      <c r="CN851" s="317">
        <f t="shared" si="210"/>
        <v>7</v>
      </c>
      <c r="CO851" s="368">
        <v>4.0000000000000002E-4</v>
      </c>
      <c r="CP851" s="346">
        <f t="shared" si="211"/>
        <v>2.8E-3</v>
      </c>
      <c r="CQ851" s="365">
        <f>+CQ852</f>
        <v>3.7809999999999997E-4</v>
      </c>
      <c r="CR851" s="337">
        <f t="shared" si="209"/>
        <v>604.28150000000005</v>
      </c>
      <c r="CS851" s="356"/>
      <c r="CT851" s="356"/>
      <c r="CU851" s="372"/>
      <c r="CV851" s="337">
        <f>ROUND($CR$5*CO851*CN851/365,1)</f>
        <v>639.29999999999995</v>
      </c>
    </row>
    <row r="852" spans="10:102" hidden="1" x14ac:dyDescent="0.25">
      <c r="J852" s="345"/>
      <c r="S852" s="317">
        <f t="shared" si="208"/>
        <v>0</v>
      </c>
      <c r="BR852" s="347"/>
      <c r="CH852" s="337">
        <f t="shared" si="207"/>
        <v>0</v>
      </c>
      <c r="CL852" s="361">
        <f>CM851</f>
        <v>41648</v>
      </c>
      <c r="CM852" s="361">
        <v>41655</v>
      </c>
      <c r="CN852" s="317">
        <f t="shared" si="210"/>
        <v>7</v>
      </c>
      <c r="CO852" s="368">
        <v>2.9999999999999997E-4</v>
      </c>
      <c r="CP852" s="346">
        <f t="shared" si="211"/>
        <v>2.0999999999999999E-3</v>
      </c>
      <c r="CQ852" s="365">
        <f>+CQ853</f>
        <v>3.7809999999999997E-4</v>
      </c>
      <c r="CR852" s="337">
        <f t="shared" si="209"/>
        <v>604.28150000000005</v>
      </c>
      <c r="CV852" s="337">
        <f>ROUND($CR$5*CO852*CN852/365,1)</f>
        <v>479.5</v>
      </c>
    </row>
    <row r="853" spans="10:102" hidden="1" x14ac:dyDescent="0.25">
      <c r="J853" s="345"/>
      <c r="S853" s="317">
        <f t="shared" si="208"/>
        <v>0</v>
      </c>
      <c r="BR853" s="347"/>
      <c r="CH853" s="337">
        <f t="shared" si="207"/>
        <v>0</v>
      </c>
      <c r="CL853" s="361">
        <f>CM852</f>
        <v>41655</v>
      </c>
      <c r="CM853" s="361">
        <v>41662</v>
      </c>
      <c r="CN853" s="317">
        <f t="shared" si="210"/>
        <v>7</v>
      </c>
      <c r="CO853" s="368">
        <v>4.0000000000000002E-4</v>
      </c>
      <c r="CP853" s="346">
        <f t="shared" si="211"/>
        <v>2.8E-3</v>
      </c>
      <c r="CQ853" s="365">
        <f>+CQ854</f>
        <v>3.7809999999999997E-4</v>
      </c>
      <c r="CR853" s="337">
        <f t="shared" si="209"/>
        <v>604.28150000000005</v>
      </c>
      <c r="CV853" s="337">
        <f>ROUND($CR$5*CO853*CN853/365,1)</f>
        <v>639.29999999999995</v>
      </c>
    </row>
    <row r="854" spans="10:102" hidden="1" x14ac:dyDescent="0.25">
      <c r="J854" s="345"/>
      <c r="S854" s="317">
        <f t="shared" si="208"/>
        <v>0</v>
      </c>
      <c r="BR854" s="347"/>
      <c r="CH854" s="337">
        <f t="shared" si="207"/>
        <v>0</v>
      </c>
      <c r="CL854" s="361">
        <f>CM853</f>
        <v>41662</v>
      </c>
      <c r="CM854" s="361">
        <v>41669</v>
      </c>
      <c r="CN854" s="317">
        <f t="shared" si="210"/>
        <v>7</v>
      </c>
      <c r="CO854" s="368">
        <v>4.0000000000000002E-4</v>
      </c>
      <c r="CP854" s="346">
        <f t="shared" si="211"/>
        <v>2.8E-3</v>
      </c>
      <c r="CQ854" s="365">
        <f>+CQ855</f>
        <v>3.7809999999999997E-4</v>
      </c>
      <c r="CR854" s="337">
        <f t="shared" si="209"/>
        <v>604.28150000000005</v>
      </c>
      <c r="CV854" s="337">
        <f>ROUND($CR$5*CO854*CN854/365,1)</f>
        <v>639.29999999999995</v>
      </c>
    </row>
    <row r="855" spans="10:102" hidden="1" x14ac:dyDescent="0.25">
      <c r="J855" s="345"/>
      <c r="S855" s="317">
        <f t="shared" si="208"/>
        <v>0</v>
      </c>
      <c r="BR855" s="347"/>
      <c r="CH855" s="337">
        <f t="shared" si="207"/>
        <v>0</v>
      </c>
      <c r="CL855" s="361">
        <f>CM854</f>
        <v>41669</v>
      </c>
      <c r="CM855" s="361">
        <v>41673</v>
      </c>
      <c r="CN855" s="317">
        <f t="shared" si="210"/>
        <v>4</v>
      </c>
      <c r="CO855" s="368">
        <v>4.0000000000000002E-4</v>
      </c>
      <c r="CP855" s="346">
        <f t="shared" si="211"/>
        <v>1.6000000000000001E-3</v>
      </c>
      <c r="CQ855" s="365">
        <f>ROUND(SUM(CP851:CP855)/SUM(CN851:CN855),7)</f>
        <v>3.7809999999999997E-4</v>
      </c>
      <c r="CR855" s="337">
        <f t="shared" si="209"/>
        <v>345.30369999999999</v>
      </c>
      <c r="CS855" s="337">
        <f>(ROUND(SUM(CR851:CR855),3))</f>
        <v>2762.43</v>
      </c>
      <c r="CT855" s="337">
        <f>ROUND($CR$5*0.05495*DAYS360(CL851,CM855)/360,2)</f>
        <v>394325.02</v>
      </c>
      <c r="CU855" s="372">
        <f>ROUNDUP(CS855-CT855,5)</f>
        <v>-391562.59</v>
      </c>
      <c r="CV855" s="337" t="e">
        <f>ROUND($CR$5*CO855*#REF!/365,1)</f>
        <v>#REF!</v>
      </c>
      <c r="CX855" s="363">
        <f>-SUM(CU851:CU855)/SUM(CN851:CN855)*365</f>
        <v>4466260.7921875007</v>
      </c>
    </row>
    <row r="856" spans="10:102" x14ac:dyDescent="0.25">
      <c r="J856" s="345"/>
      <c r="S856" s="317">
        <f t="shared" si="208"/>
        <v>0</v>
      </c>
      <c r="BR856" s="347"/>
      <c r="CH856" s="337">
        <f t="shared" si="207"/>
        <v>0</v>
      </c>
      <c r="CM856" s="361"/>
      <c r="CV856" s="337">
        <f t="shared" ref="CV856:CV919" si="212">ROUND($CR$5*CO856*CN856/365,1)</f>
        <v>0</v>
      </c>
    </row>
    <row r="857" spans="10:102" x14ac:dyDescent="0.25">
      <c r="J857" s="345"/>
      <c r="S857" s="317">
        <f t="shared" si="208"/>
        <v>0</v>
      </c>
      <c r="BR857" s="347"/>
      <c r="CH857" s="337">
        <f t="shared" si="207"/>
        <v>0</v>
      </c>
      <c r="CM857" s="361"/>
      <c r="CV857" s="337">
        <f t="shared" si="212"/>
        <v>0</v>
      </c>
    </row>
    <row r="858" spans="10:102" x14ac:dyDescent="0.25">
      <c r="J858" s="345"/>
      <c r="S858" s="317">
        <f t="shared" si="208"/>
        <v>0</v>
      </c>
      <c r="BR858" s="347"/>
      <c r="CH858" s="337">
        <f t="shared" si="207"/>
        <v>0</v>
      </c>
      <c r="CM858" s="361"/>
      <c r="CV858" s="337">
        <f t="shared" si="212"/>
        <v>0</v>
      </c>
    </row>
    <row r="859" spans="10:102" x14ac:dyDescent="0.25">
      <c r="J859" s="345"/>
      <c r="S859" s="317">
        <f t="shared" si="208"/>
        <v>0</v>
      </c>
      <c r="BR859" s="347"/>
      <c r="CH859" s="337">
        <f t="shared" si="207"/>
        <v>0</v>
      </c>
      <c r="CM859" s="361"/>
      <c r="CV859" s="337">
        <f t="shared" si="212"/>
        <v>0</v>
      </c>
    </row>
    <row r="860" spans="10:102" x14ac:dyDescent="0.25">
      <c r="J860" s="345"/>
      <c r="S860" s="317">
        <f t="shared" si="208"/>
        <v>0</v>
      </c>
      <c r="BR860" s="347"/>
      <c r="CH860" s="337">
        <f t="shared" si="207"/>
        <v>0</v>
      </c>
      <c r="CM860" s="361"/>
      <c r="CV860" s="337">
        <f t="shared" si="212"/>
        <v>0</v>
      </c>
    </row>
    <row r="861" spans="10:102" x14ac:dyDescent="0.25">
      <c r="J861" s="345"/>
      <c r="S861" s="317">
        <f t="shared" si="208"/>
        <v>0</v>
      </c>
      <c r="BR861" s="347"/>
      <c r="CH861" s="337">
        <f t="shared" si="207"/>
        <v>0</v>
      </c>
      <c r="CM861" s="361"/>
      <c r="CV861" s="337">
        <f t="shared" si="212"/>
        <v>0</v>
      </c>
    </row>
    <row r="862" spans="10:102" x14ac:dyDescent="0.25">
      <c r="J862" s="345"/>
      <c r="S862" s="317">
        <f t="shared" si="208"/>
        <v>0</v>
      </c>
      <c r="BR862" s="347"/>
      <c r="CH862" s="337">
        <f t="shared" si="207"/>
        <v>0</v>
      </c>
      <c r="CM862" s="361"/>
      <c r="CV862" s="337">
        <f t="shared" si="212"/>
        <v>0</v>
      </c>
    </row>
    <row r="863" spans="10:102" x14ac:dyDescent="0.25">
      <c r="J863" s="345"/>
      <c r="S863" s="317">
        <f t="shared" si="208"/>
        <v>0</v>
      </c>
      <c r="BR863" s="347"/>
      <c r="CH863" s="337">
        <f t="shared" si="207"/>
        <v>0</v>
      </c>
      <c r="CM863" s="361"/>
      <c r="CV863" s="337">
        <f t="shared" si="212"/>
        <v>0</v>
      </c>
    </row>
    <row r="864" spans="10:102" x14ac:dyDescent="0.25">
      <c r="J864" s="345"/>
      <c r="S864" s="317">
        <f t="shared" si="208"/>
        <v>0</v>
      </c>
      <c r="BR864" s="347"/>
      <c r="CH864" s="337">
        <f t="shared" si="207"/>
        <v>0</v>
      </c>
      <c r="CM864" s="361"/>
      <c r="CV864" s="337">
        <f t="shared" si="212"/>
        <v>0</v>
      </c>
    </row>
    <row r="865" spans="10:100" x14ac:dyDescent="0.25">
      <c r="J865" s="345"/>
      <c r="S865" s="317">
        <f t="shared" si="208"/>
        <v>0</v>
      </c>
      <c r="BR865" s="347"/>
      <c r="CH865" s="337">
        <f t="shared" si="207"/>
        <v>0</v>
      </c>
      <c r="CM865" s="361"/>
      <c r="CV865" s="337">
        <f t="shared" si="212"/>
        <v>0</v>
      </c>
    </row>
    <row r="866" spans="10:100" x14ac:dyDescent="0.25">
      <c r="J866" s="345"/>
      <c r="S866" s="317">
        <f t="shared" si="208"/>
        <v>0</v>
      </c>
      <c r="BR866" s="347"/>
      <c r="CH866" s="337">
        <f t="shared" ref="CH866:CH929" si="213">ROUND($CA$5*CG866*CF866/365,6)</f>
        <v>0</v>
      </c>
      <c r="CM866" s="361"/>
      <c r="CV866" s="337">
        <f t="shared" si="212"/>
        <v>0</v>
      </c>
    </row>
    <row r="867" spans="10:100" x14ac:dyDescent="0.25">
      <c r="J867" s="345"/>
      <c r="S867" s="317">
        <f t="shared" si="208"/>
        <v>0</v>
      </c>
      <c r="BR867" s="347"/>
      <c r="CH867" s="337">
        <f t="shared" si="213"/>
        <v>0</v>
      </c>
      <c r="CM867" s="361"/>
      <c r="CV867" s="337">
        <f t="shared" si="212"/>
        <v>0</v>
      </c>
    </row>
    <row r="868" spans="10:100" x14ac:dyDescent="0.25">
      <c r="J868" s="345"/>
      <c r="S868" s="317">
        <f t="shared" si="208"/>
        <v>0</v>
      </c>
      <c r="BR868" s="347"/>
      <c r="CH868" s="337">
        <f t="shared" si="213"/>
        <v>0</v>
      </c>
      <c r="CM868" s="361"/>
      <c r="CV868" s="337">
        <f t="shared" si="212"/>
        <v>0</v>
      </c>
    </row>
    <row r="869" spans="10:100" x14ac:dyDescent="0.25">
      <c r="J869" s="345"/>
      <c r="S869" s="317">
        <f t="shared" si="208"/>
        <v>0</v>
      </c>
      <c r="BR869" s="347"/>
      <c r="CH869" s="337">
        <f t="shared" si="213"/>
        <v>0</v>
      </c>
      <c r="CM869" s="361"/>
      <c r="CV869" s="337">
        <f t="shared" si="212"/>
        <v>0</v>
      </c>
    </row>
    <row r="870" spans="10:100" x14ac:dyDescent="0.25">
      <c r="J870" s="345"/>
      <c r="S870" s="317">
        <f t="shared" si="208"/>
        <v>0</v>
      </c>
      <c r="BR870" s="347"/>
      <c r="CH870" s="337">
        <f t="shared" si="213"/>
        <v>0</v>
      </c>
      <c r="CM870" s="361"/>
      <c r="CV870" s="337">
        <f t="shared" si="212"/>
        <v>0</v>
      </c>
    </row>
    <row r="871" spans="10:100" x14ac:dyDescent="0.25">
      <c r="J871" s="345"/>
      <c r="S871" s="317">
        <f t="shared" si="208"/>
        <v>0</v>
      </c>
      <c r="BR871" s="347"/>
      <c r="CH871" s="337">
        <f t="shared" si="213"/>
        <v>0</v>
      </c>
      <c r="CM871" s="361"/>
      <c r="CV871" s="337">
        <f t="shared" si="212"/>
        <v>0</v>
      </c>
    </row>
    <row r="872" spans="10:100" x14ac:dyDescent="0.25">
      <c r="J872" s="345"/>
      <c r="S872" s="317">
        <f t="shared" si="208"/>
        <v>0</v>
      </c>
      <c r="BR872" s="347"/>
      <c r="CH872" s="337">
        <f t="shared" si="213"/>
        <v>0</v>
      </c>
      <c r="CM872" s="361"/>
      <c r="CV872" s="337">
        <f t="shared" si="212"/>
        <v>0</v>
      </c>
    </row>
    <row r="873" spans="10:100" x14ac:dyDescent="0.25">
      <c r="J873" s="345"/>
      <c r="S873" s="317">
        <f t="shared" si="208"/>
        <v>0</v>
      </c>
      <c r="BR873" s="347"/>
      <c r="CH873" s="337">
        <f t="shared" si="213"/>
        <v>0</v>
      </c>
      <c r="CM873" s="361"/>
      <c r="CV873" s="337">
        <f t="shared" si="212"/>
        <v>0</v>
      </c>
    </row>
    <row r="874" spans="10:100" x14ac:dyDescent="0.25">
      <c r="J874" s="345"/>
      <c r="S874" s="317">
        <f t="shared" si="208"/>
        <v>0</v>
      </c>
      <c r="BR874" s="347"/>
      <c r="CH874" s="337">
        <f t="shared" si="213"/>
        <v>0</v>
      </c>
      <c r="CM874" s="361"/>
      <c r="CV874" s="337">
        <f t="shared" si="212"/>
        <v>0</v>
      </c>
    </row>
    <row r="875" spans="10:100" x14ac:dyDescent="0.25">
      <c r="J875" s="345"/>
      <c r="S875" s="317">
        <f t="shared" si="208"/>
        <v>0</v>
      </c>
      <c r="BR875" s="347"/>
      <c r="CH875" s="337">
        <f t="shared" si="213"/>
        <v>0</v>
      </c>
      <c r="CM875" s="361"/>
      <c r="CV875" s="337">
        <f t="shared" si="212"/>
        <v>0</v>
      </c>
    </row>
    <row r="876" spans="10:100" x14ac:dyDescent="0.25">
      <c r="J876" s="345"/>
      <c r="S876" s="317">
        <f t="shared" si="208"/>
        <v>0</v>
      </c>
      <c r="BR876" s="347"/>
      <c r="CH876" s="337">
        <f t="shared" si="213"/>
        <v>0</v>
      </c>
      <c r="CM876" s="361"/>
      <c r="CV876" s="337">
        <f t="shared" si="212"/>
        <v>0</v>
      </c>
    </row>
    <row r="877" spans="10:100" x14ac:dyDescent="0.25">
      <c r="J877" s="345"/>
      <c r="S877" s="317">
        <f t="shared" si="208"/>
        <v>0</v>
      </c>
      <c r="BR877" s="347"/>
      <c r="CH877" s="337">
        <f t="shared" si="213"/>
        <v>0</v>
      </c>
      <c r="CM877" s="361"/>
      <c r="CV877" s="337">
        <f t="shared" si="212"/>
        <v>0</v>
      </c>
    </row>
    <row r="878" spans="10:100" x14ac:dyDescent="0.25">
      <c r="J878" s="345"/>
      <c r="S878" s="317">
        <f t="shared" si="208"/>
        <v>0</v>
      </c>
      <c r="BR878" s="347"/>
      <c r="CH878" s="337">
        <f t="shared" si="213"/>
        <v>0</v>
      </c>
      <c r="CM878" s="361"/>
      <c r="CV878" s="337">
        <f t="shared" si="212"/>
        <v>0</v>
      </c>
    </row>
    <row r="879" spans="10:100" x14ac:dyDescent="0.25">
      <c r="J879" s="345"/>
      <c r="S879" s="317">
        <f t="shared" ref="S879:S942" si="214">R879-Q879</f>
        <v>0</v>
      </c>
      <c r="BR879" s="347"/>
      <c r="CH879" s="337">
        <f t="shared" si="213"/>
        <v>0</v>
      </c>
      <c r="CM879" s="361"/>
      <c r="CV879" s="337">
        <f t="shared" si="212"/>
        <v>0</v>
      </c>
    </row>
    <row r="880" spans="10:100" x14ac:dyDescent="0.25">
      <c r="J880" s="345"/>
      <c r="S880" s="317">
        <f t="shared" si="214"/>
        <v>0</v>
      </c>
      <c r="BR880" s="347"/>
      <c r="CH880" s="337">
        <f t="shared" si="213"/>
        <v>0</v>
      </c>
      <c r="CM880" s="361"/>
      <c r="CV880" s="337">
        <f t="shared" si="212"/>
        <v>0</v>
      </c>
    </row>
    <row r="881" spans="10:100" x14ac:dyDescent="0.25">
      <c r="J881" s="345"/>
      <c r="S881" s="317">
        <f t="shared" si="214"/>
        <v>0</v>
      </c>
      <c r="BR881" s="347"/>
      <c r="CH881" s="337">
        <f t="shared" si="213"/>
        <v>0</v>
      </c>
      <c r="CM881" s="361"/>
      <c r="CV881" s="337">
        <f t="shared" si="212"/>
        <v>0</v>
      </c>
    </row>
    <row r="882" spans="10:100" x14ac:dyDescent="0.25">
      <c r="J882" s="345"/>
      <c r="S882" s="317">
        <f t="shared" si="214"/>
        <v>0</v>
      </c>
      <c r="BR882" s="347"/>
      <c r="CH882" s="337">
        <f t="shared" si="213"/>
        <v>0</v>
      </c>
      <c r="CM882" s="361"/>
      <c r="CV882" s="337">
        <f t="shared" si="212"/>
        <v>0</v>
      </c>
    </row>
    <row r="883" spans="10:100" x14ac:dyDescent="0.25">
      <c r="J883" s="345"/>
      <c r="S883" s="317">
        <f t="shared" si="214"/>
        <v>0</v>
      </c>
      <c r="BR883" s="347"/>
      <c r="CH883" s="337">
        <f t="shared" si="213"/>
        <v>0</v>
      </c>
      <c r="CM883" s="361"/>
      <c r="CV883" s="337">
        <f t="shared" si="212"/>
        <v>0</v>
      </c>
    </row>
    <row r="884" spans="10:100" x14ac:dyDescent="0.25">
      <c r="J884" s="345"/>
      <c r="S884" s="317">
        <f t="shared" si="214"/>
        <v>0</v>
      </c>
      <c r="BR884" s="347"/>
      <c r="CH884" s="337">
        <f t="shared" si="213"/>
        <v>0</v>
      </c>
      <c r="CM884" s="361"/>
      <c r="CV884" s="337">
        <f t="shared" si="212"/>
        <v>0</v>
      </c>
    </row>
    <row r="885" spans="10:100" x14ac:dyDescent="0.25">
      <c r="J885" s="345"/>
      <c r="S885" s="317">
        <f t="shared" si="214"/>
        <v>0</v>
      </c>
      <c r="BR885" s="347"/>
      <c r="CH885" s="337">
        <f t="shared" si="213"/>
        <v>0</v>
      </c>
      <c r="CM885" s="361"/>
      <c r="CV885" s="337">
        <f t="shared" si="212"/>
        <v>0</v>
      </c>
    </row>
    <row r="886" spans="10:100" x14ac:dyDescent="0.25">
      <c r="J886" s="345"/>
      <c r="S886" s="317">
        <f t="shared" si="214"/>
        <v>0</v>
      </c>
      <c r="BR886" s="347"/>
      <c r="CH886" s="337">
        <f t="shared" si="213"/>
        <v>0</v>
      </c>
      <c r="CM886" s="361"/>
      <c r="CV886" s="337">
        <f t="shared" si="212"/>
        <v>0</v>
      </c>
    </row>
    <row r="887" spans="10:100" x14ac:dyDescent="0.25">
      <c r="J887" s="345"/>
      <c r="S887" s="317">
        <f t="shared" si="214"/>
        <v>0</v>
      </c>
      <c r="BR887" s="347"/>
      <c r="CH887" s="337">
        <f t="shared" si="213"/>
        <v>0</v>
      </c>
      <c r="CM887" s="361"/>
      <c r="CV887" s="337">
        <f t="shared" si="212"/>
        <v>0</v>
      </c>
    </row>
    <row r="888" spans="10:100" x14ac:dyDescent="0.25">
      <c r="J888" s="345"/>
      <c r="S888" s="317">
        <f t="shared" si="214"/>
        <v>0</v>
      </c>
      <c r="BR888" s="347"/>
      <c r="CH888" s="337">
        <f t="shared" si="213"/>
        <v>0</v>
      </c>
      <c r="CM888" s="361"/>
      <c r="CV888" s="337">
        <f t="shared" si="212"/>
        <v>0</v>
      </c>
    </row>
    <row r="889" spans="10:100" x14ac:dyDescent="0.25">
      <c r="J889" s="345"/>
      <c r="S889" s="317">
        <f t="shared" si="214"/>
        <v>0</v>
      </c>
      <c r="BR889" s="347"/>
      <c r="CH889" s="337">
        <f t="shared" si="213"/>
        <v>0</v>
      </c>
      <c r="CM889" s="361"/>
      <c r="CV889" s="337">
        <f t="shared" si="212"/>
        <v>0</v>
      </c>
    </row>
    <row r="890" spans="10:100" x14ac:dyDescent="0.25">
      <c r="J890" s="345"/>
      <c r="S890" s="317">
        <f t="shared" si="214"/>
        <v>0</v>
      </c>
      <c r="BR890" s="347"/>
      <c r="CH890" s="337">
        <f t="shared" si="213"/>
        <v>0</v>
      </c>
      <c r="CM890" s="361"/>
      <c r="CV890" s="337">
        <f t="shared" si="212"/>
        <v>0</v>
      </c>
    </row>
    <row r="891" spans="10:100" x14ac:dyDescent="0.25">
      <c r="J891" s="345"/>
      <c r="S891" s="317">
        <f t="shared" si="214"/>
        <v>0</v>
      </c>
      <c r="BR891" s="347"/>
      <c r="CH891" s="337">
        <f t="shared" si="213"/>
        <v>0</v>
      </c>
      <c r="CM891" s="361"/>
      <c r="CV891" s="337">
        <f t="shared" si="212"/>
        <v>0</v>
      </c>
    </row>
    <row r="892" spans="10:100" x14ac:dyDescent="0.25">
      <c r="J892" s="345"/>
      <c r="S892" s="317">
        <f t="shared" si="214"/>
        <v>0</v>
      </c>
      <c r="BR892" s="347"/>
      <c r="CH892" s="337">
        <f t="shared" si="213"/>
        <v>0</v>
      </c>
      <c r="CM892" s="361"/>
      <c r="CV892" s="337">
        <f t="shared" si="212"/>
        <v>0</v>
      </c>
    </row>
    <row r="893" spans="10:100" x14ac:dyDescent="0.25">
      <c r="J893" s="345"/>
      <c r="S893" s="317">
        <f t="shared" si="214"/>
        <v>0</v>
      </c>
      <c r="BR893" s="347"/>
      <c r="CH893" s="337">
        <f t="shared" si="213"/>
        <v>0</v>
      </c>
      <c r="CM893" s="361"/>
      <c r="CV893" s="337">
        <f t="shared" si="212"/>
        <v>0</v>
      </c>
    </row>
    <row r="894" spans="10:100" x14ac:dyDescent="0.25">
      <c r="J894" s="345"/>
      <c r="S894" s="317">
        <f t="shared" si="214"/>
        <v>0</v>
      </c>
      <c r="BR894" s="347"/>
      <c r="CH894" s="337">
        <f t="shared" si="213"/>
        <v>0</v>
      </c>
      <c r="CM894" s="361"/>
      <c r="CV894" s="337">
        <f t="shared" si="212"/>
        <v>0</v>
      </c>
    </row>
    <row r="895" spans="10:100" x14ac:dyDescent="0.25">
      <c r="J895" s="345"/>
      <c r="S895" s="317">
        <f t="shared" si="214"/>
        <v>0</v>
      </c>
      <c r="BR895" s="347"/>
      <c r="CH895" s="337">
        <f t="shared" si="213"/>
        <v>0</v>
      </c>
      <c r="CM895" s="361"/>
      <c r="CV895" s="337">
        <f t="shared" si="212"/>
        <v>0</v>
      </c>
    </row>
    <row r="896" spans="10:100" x14ac:dyDescent="0.25">
      <c r="J896" s="345"/>
      <c r="S896" s="317">
        <f t="shared" si="214"/>
        <v>0</v>
      </c>
      <c r="BR896" s="347"/>
      <c r="CH896" s="337">
        <f t="shared" si="213"/>
        <v>0</v>
      </c>
      <c r="CM896" s="361"/>
      <c r="CV896" s="337">
        <f t="shared" si="212"/>
        <v>0</v>
      </c>
    </row>
    <row r="897" spans="10:100" x14ac:dyDescent="0.25">
      <c r="J897" s="345"/>
      <c r="S897" s="317">
        <f t="shared" si="214"/>
        <v>0</v>
      </c>
      <c r="BR897" s="347"/>
      <c r="CH897" s="337">
        <f t="shared" si="213"/>
        <v>0</v>
      </c>
      <c r="CM897" s="361"/>
      <c r="CV897" s="337">
        <f t="shared" si="212"/>
        <v>0</v>
      </c>
    </row>
    <row r="898" spans="10:100" x14ac:dyDescent="0.25">
      <c r="J898" s="345"/>
      <c r="S898" s="317">
        <f t="shared" si="214"/>
        <v>0</v>
      </c>
      <c r="BR898" s="347"/>
      <c r="CH898" s="337">
        <f t="shared" si="213"/>
        <v>0</v>
      </c>
      <c r="CM898" s="361"/>
      <c r="CV898" s="337">
        <f t="shared" si="212"/>
        <v>0</v>
      </c>
    </row>
    <row r="899" spans="10:100" x14ac:dyDescent="0.25">
      <c r="J899" s="345"/>
      <c r="S899" s="317">
        <f t="shared" si="214"/>
        <v>0</v>
      </c>
      <c r="BR899" s="347"/>
      <c r="CH899" s="337">
        <f t="shared" si="213"/>
        <v>0</v>
      </c>
      <c r="CM899" s="361"/>
      <c r="CV899" s="337">
        <f t="shared" si="212"/>
        <v>0</v>
      </c>
    </row>
    <row r="900" spans="10:100" x14ac:dyDescent="0.25">
      <c r="J900" s="345"/>
      <c r="S900" s="317">
        <f t="shared" si="214"/>
        <v>0</v>
      </c>
      <c r="BR900" s="347"/>
      <c r="CH900" s="337">
        <f t="shared" si="213"/>
        <v>0</v>
      </c>
      <c r="CM900" s="361"/>
      <c r="CV900" s="337">
        <f t="shared" si="212"/>
        <v>0</v>
      </c>
    </row>
    <row r="901" spans="10:100" x14ac:dyDescent="0.25">
      <c r="J901" s="345"/>
      <c r="S901" s="317">
        <f t="shared" si="214"/>
        <v>0</v>
      </c>
      <c r="BR901" s="347"/>
      <c r="CH901" s="337">
        <f t="shared" si="213"/>
        <v>0</v>
      </c>
      <c r="CM901" s="361"/>
      <c r="CV901" s="337">
        <f t="shared" si="212"/>
        <v>0</v>
      </c>
    </row>
    <row r="902" spans="10:100" x14ac:dyDescent="0.25">
      <c r="J902" s="345"/>
      <c r="S902" s="317">
        <f t="shared" si="214"/>
        <v>0</v>
      </c>
      <c r="BR902" s="347"/>
      <c r="CH902" s="337">
        <f t="shared" si="213"/>
        <v>0</v>
      </c>
      <c r="CM902" s="361"/>
      <c r="CV902" s="337">
        <f t="shared" si="212"/>
        <v>0</v>
      </c>
    </row>
    <row r="903" spans="10:100" x14ac:dyDescent="0.25">
      <c r="J903" s="345"/>
      <c r="S903" s="317">
        <f t="shared" si="214"/>
        <v>0</v>
      </c>
      <c r="BR903" s="347"/>
      <c r="CH903" s="337">
        <f t="shared" si="213"/>
        <v>0</v>
      </c>
      <c r="CM903" s="361"/>
      <c r="CV903" s="337">
        <f t="shared" si="212"/>
        <v>0</v>
      </c>
    </row>
    <row r="904" spans="10:100" x14ac:dyDescent="0.25">
      <c r="J904" s="345"/>
      <c r="S904" s="317">
        <f t="shared" si="214"/>
        <v>0</v>
      </c>
      <c r="BR904" s="347"/>
      <c r="CH904" s="337">
        <f t="shared" si="213"/>
        <v>0</v>
      </c>
      <c r="CM904" s="361"/>
      <c r="CV904" s="337">
        <f t="shared" si="212"/>
        <v>0</v>
      </c>
    </row>
    <row r="905" spans="10:100" x14ac:dyDescent="0.25">
      <c r="J905" s="345"/>
      <c r="S905" s="317">
        <f t="shared" si="214"/>
        <v>0</v>
      </c>
      <c r="BR905" s="347"/>
      <c r="CH905" s="337">
        <f t="shared" si="213"/>
        <v>0</v>
      </c>
      <c r="CM905" s="361"/>
      <c r="CV905" s="337">
        <f t="shared" si="212"/>
        <v>0</v>
      </c>
    </row>
    <row r="906" spans="10:100" x14ac:dyDescent="0.25">
      <c r="J906" s="345"/>
      <c r="S906" s="317">
        <f t="shared" si="214"/>
        <v>0</v>
      </c>
      <c r="BR906" s="347"/>
      <c r="CH906" s="337">
        <f t="shared" si="213"/>
        <v>0</v>
      </c>
      <c r="CM906" s="361"/>
      <c r="CV906" s="337">
        <f t="shared" si="212"/>
        <v>0</v>
      </c>
    </row>
    <row r="907" spans="10:100" x14ac:dyDescent="0.25">
      <c r="J907" s="345"/>
      <c r="S907" s="317">
        <f t="shared" si="214"/>
        <v>0</v>
      </c>
      <c r="BR907" s="347"/>
      <c r="CH907" s="337">
        <f t="shared" si="213"/>
        <v>0</v>
      </c>
      <c r="CM907" s="361"/>
      <c r="CV907" s="337">
        <f t="shared" si="212"/>
        <v>0</v>
      </c>
    </row>
    <row r="908" spans="10:100" x14ac:dyDescent="0.25">
      <c r="J908" s="345"/>
      <c r="S908" s="317">
        <f t="shared" si="214"/>
        <v>0</v>
      </c>
      <c r="BR908" s="347"/>
      <c r="CH908" s="337">
        <f t="shared" si="213"/>
        <v>0</v>
      </c>
      <c r="CM908" s="361"/>
      <c r="CV908" s="337">
        <f t="shared" si="212"/>
        <v>0</v>
      </c>
    </row>
    <row r="909" spans="10:100" x14ac:dyDescent="0.25">
      <c r="J909" s="345"/>
      <c r="S909" s="317">
        <f t="shared" si="214"/>
        <v>0</v>
      </c>
      <c r="BR909" s="347"/>
      <c r="CH909" s="337">
        <f t="shared" si="213"/>
        <v>0</v>
      </c>
      <c r="CM909" s="361"/>
      <c r="CV909" s="337">
        <f t="shared" si="212"/>
        <v>0</v>
      </c>
    </row>
    <row r="910" spans="10:100" x14ac:dyDescent="0.25">
      <c r="J910" s="345"/>
      <c r="S910" s="317">
        <f t="shared" si="214"/>
        <v>0</v>
      </c>
      <c r="BR910" s="347"/>
      <c r="CH910" s="337">
        <f t="shared" si="213"/>
        <v>0</v>
      </c>
      <c r="CM910" s="361"/>
      <c r="CV910" s="337">
        <f t="shared" si="212"/>
        <v>0</v>
      </c>
    </row>
    <row r="911" spans="10:100" x14ac:dyDescent="0.25">
      <c r="J911" s="345"/>
      <c r="S911" s="317">
        <f t="shared" si="214"/>
        <v>0</v>
      </c>
      <c r="BR911" s="347"/>
      <c r="CH911" s="337">
        <f t="shared" si="213"/>
        <v>0</v>
      </c>
      <c r="CM911" s="361"/>
      <c r="CV911" s="337">
        <f t="shared" si="212"/>
        <v>0</v>
      </c>
    </row>
    <row r="912" spans="10:100" x14ac:dyDescent="0.25">
      <c r="J912" s="345"/>
      <c r="S912" s="317">
        <f t="shared" si="214"/>
        <v>0</v>
      </c>
      <c r="BR912" s="347"/>
      <c r="CH912" s="337">
        <f t="shared" si="213"/>
        <v>0</v>
      </c>
      <c r="CM912" s="361"/>
      <c r="CV912" s="337">
        <f t="shared" si="212"/>
        <v>0</v>
      </c>
    </row>
    <row r="913" spans="10:100" x14ac:dyDescent="0.25">
      <c r="J913" s="345"/>
      <c r="S913" s="317">
        <f t="shared" si="214"/>
        <v>0</v>
      </c>
      <c r="BR913" s="347"/>
      <c r="CH913" s="337">
        <f t="shared" si="213"/>
        <v>0</v>
      </c>
      <c r="CM913" s="361"/>
      <c r="CV913" s="337">
        <f t="shared" si="212"/>
        <v>0</v>
      </c>
    </row>
    <row r="914" spans="10:100" x14ac:dyDescent="0.25">
      <c r="J914" s="345"/>
      <c r="S914" s="317">
        <f t="shared" si="214"/>
        <v>0</v>
      </c>
      <c r="BR914" s="347"/>
      <c r="CH914" s="337">
        <f t="shared" si="213"/>
        <v>0</v>
      </c>
      <c r="CM914" s="361"/>
      <c r="CV914" s="337">
        <f t="shared" si="212"/>
        <v>0</v>
      </c>
    </row>
    <row r="915" spans="10:100" x14ac:dyDescent="0.25">
      <c r="J915" s="345"/>
      <c r="S915" s="317">
        <f t="shared" si="214"/>
        <v>0</v>
      </c>
      <c r="BR915" s="347"/>
      <c r="CH915" s="337">
        <f t="shared" si="213"/>
        <v>0</v>
      </c>
      <c r="CM915" s="361"/>
      <c r="CV915" s="337">
        <f t="shared" si="212"/>
        <v>0</v>
      </c>
    </row>
    <row r="916" spans="10:100" x14ac:dyDescent="0.25">
      <c r="J916" s="345"/>
      <c r="S916" s="317">
        <f t="shared" si="214"/>
        <v>0</v>
      </c>
      <c r="BR916" s="347"/>
      <c r="CH916" s="337">
        <f t="shared" si="213"/>
        <v>0</v>
      </c>
      <c r="CM916" s="361"/>
      <c r="CV916" s="337">
        <f t="shared" si="212"/>
        <v>0</v>
      </c>
    </row>
    <row r="917" spans="10:100" x14ac:dyDescent="0.25">
      <c r="J917" s="345"/>
      <c r="S917" s="317">
        <f t="shared" si="214"/>
        <v>0</v>
      </c>
      <c r="BR917" s="347"/>
      <c r="CH917" s="337">
        <f t="shared" si="213"/>
        <v>0</v>
      </c>
      <c r="CM917" s="361"/>
      <c r="CV917" s="337">
        <f t="shared" si="212"/>
        <v>0</v>
      </c>
    </row>
    <row r="918" spans="10:100" x14ac:dyDescent="0.25">
      <c r="J918" s="345"/>
      <c r="S918" s="317">
        <f t="shared" si="214"/>
        <v>0</v>
      </c>
      <c r="BR918" s="347"/>
      <c r="CH918" s="337">
        <f t="shared" si="213"/>
        <v>0</v>
      </c>
      <c r="CM918" s="361"/>
      <c r="CV918" s="337">
        <f t="shared" si="212"/>
        <v>0</v>
      </c>
    </row>
    <row r="919" spans="10:100" x14ac:dyDescent="0.25">
      <c r="J919" s="345"/>
      <c r="S919" s="317">
        <f t="shared" si="214"/>
        <v>0</v>
      </c>
      <c r="BR919" s="347"/>
      <c r="CH919" s="337">
        <f t="shared" si="213"/>
        <v>0</v>
      </c>
      <c r="CM919" s="361"/>
      <c r="CV919" s="337">
        <f t="shared" si="212"/>
        <v>0</v>
      </c>
    </row>
    <row r="920" spans="10:100" x14ac:dyDescent="0.25">
      <c r="J920" s="345"/>
      <c r="S920" s="317">
        <f t="shared" si="214"/>
        <v>0</v>
      </c>
      <c r="BR920" s="347"/>
      <c r="CH920" s="337">
        <f t="shared" si="213"/>
        <v>0</v>
      </c>
      <c r="CM920" s="361"/>
      <c r="CV920" s="337">
        <f t="shared" ref="CV920:CV983" si="215">ROUND($CR$5*CO920*CN920/365,1)</f>
        <v>0</v>
      </c>
    </row>
    <row r="921" spans="10:100" x14ac:dyDescent="0.25">
      <c r="J921" s="345"/>
      <c r="S921" s="317">
        <f t="shared" si="214"/>
        <v>0</v>
      </c>
      <c r="BR921" s="347"/>
      <c r="CH921" s="337">
        <f t="shared" si="213"/>
        <v>0</v>
      </c>
      <c r="CM921" s="361"/>
      <c r="CV921" s="337">
        <f t="shared" si="215"/>
        <v>0</v>
      </c>
    </row>
    <row r="922" spans="10:100" x14ac:dyDescent="0.25">
      <c r="J922" s="345"/>
      <c r="S922" s="317">
        <f t="shared" si="214"/>
        <v>0</v>
      </c>
      <c r="BR922" s="347"/>
      <c r="CH922" s="337">
        <f t="shared" si="213"/>
        <v>0</v>
      </c>
      <c r="CM922" s="361"/>
      <c r="CV922" s="337">
        <f t="shared" si="215"/>
        <v>0</v>
      </c>
    </row>
    <row r="923" spans="10:100" x14ac:dyDescent="0.25">
      <c r="J923" s="345"/>
      <c r="S923" s="317">
        <f t="shared" si="214"/>
        <v>0</v>
      </c>
      <c r="BR923" s="347"/>
      <c r="CH923" s="337">
        <f t="shared" si="213"/>
        <v>0</v>
      </c>
      <c r="CM923" s="361"/>
      <c r="CV923" s="337">
        <f t="shared" si="215"/>
        <v>0</v>
      </c>
    </row>
    <row r="924" spans="10:100" x14ac:dyDescent="0.25">
      <c r="J924" s="345"/>
      <c r="S924" s="317">
        <f t="shared" si="214"/>
        <v>0</v>
      </c>
      <c r="BR924" s="347"/>
      <c r="CH924" s="337">
        <f t="shared" si="213"/>
        <v>0</v>
      </c>
      <c r="CM924" s="361"/>
      <c r="CV924" s="337">
        <f t="shared" si="215"/>
        <v>0</v>
      </c>
    </row>
    <row r="925" spans="10:100" x14ac:dyDescent="0.25">
      <c r="J925" s="345"/>
      <c r="S925" s="317">
        <f t="shared" si="214"/>
        <v>0</v>
      </c>
      <c r="BR925" s="347"/>
      <c r="CH925" s="337">
        <f t="shared" si="213"/>
        <v>0</v>
      </c>
      <c r="CM925" s="361"/>
      <c r="CV925" s="337">
        <f t="shared" si="215"/>
        <v>0</v>
      </c>
    </row>
    <row r="926" spans="10:100" x14ac:dyDescent="0.25">
      <c r="J926" s="345"/>
      <c r="S926" s="317">
        <f t="shared" si="214"/>
        <v>0</v>
      </c>
      <c r="BR926" s="347"/>
      <c r="CH926" s="337">
        <f t="shared" si="213"/>
        <v>0</v>
      </c>
      <c r="CM926" s="361"/>
      <c r="CV926" s="337">
        <f t="shared" si="215"/>
        <v>0</v>
      </c>
    </row>
    <row r="927" spans="10:100" x14ac:dyDescent="0.25">
      <c r="J927" s="345"/>
      <c r="S927" s="317">
        <f t="shared" si="214"/>
        <v>0</v>
      </c>
      <c r="BR927" s="347"/>
      <c r="CH927" s="337">
        <f t="shared" si="213"/>
        <v>0</v>
      </c>
      <c r="CM927" s="361"/>
      <c r="CV927" s="337">
        <f t="shared" si="215"/>
        <v>0</v>
      </c>
    </row>
    <row r="928" spans="10:100" x14ac:dyDescent="0.25">
      <c r="J928" s="345"/>
      <c r="S928" s="317">
        <f t="shared" si="214"/>
        <v>0</v>
      </c>
      <c r="BR928" s="347"/>
      <c r="CH928" s="337">
        <f t="shared" si="213"/>
        <v>0</v>
      </c>
      <c r="CM928" s="361"/>
      <c r="CV928" s="337">
        <f t="shared" si="215"/>
        <v>0</v>
      </c>
    </row>
    <row r="929" spans="10:100" x14ac:dyDescent="0.25">
      <c r="J929" s="345"/>
      <c r="S929" s="317">
        <f t="shared" si="214"/>
        <v>0</v>
      </c>
      <c r="BR929" s="347"/>
      <c r="CH929" s="337">
        <f t="shared" si="213"/>
        <v>0</v>
      </c>
      <c r="CM929" s="361"/>
      <c r="CV929" s="337">
        <f t="shared" si="215"/>
        <v>0</v>
      </c>
    </row>
    <row r="930" spans="10:100" x14ac:dyDescent="0.25">
      <c r="J930" s="345"/>
      <c r="S930" s="317">
        <f t="shared" si="214"/>
        <v>0</v>
      </c>
      <c r="BR930" s="347"/>
      <c r="CH930" s="337">
        <f t="shared" ref="CH930:CH993" si="216">ROUND($CA$5*CG930*CF930/365,6)</f>
        <v>0</v>
      </c>
      <c r="CM930" s="361"/>
      <c r="CV930" s="337">
        <f t="shared" si="215"/>
        <v>0</v>
      </c>
    </row>
    <row r="931" spans="10:100" x14ac:dyDescent="0.25">
      <c r="J931" s="345"/>
      <c r="S931" s="317">
        <f t="shared" si="214"/>
        <v>0</v>
      </c>
      <c r="BR931" s="347"/>
      <c r="CH931" s="337">
        <f t="shared" si="216"/>
        <v>0</v>
      </c>
      <c r="CM931" s="361"/>
      <c r="CV931" s="337">
        <f t="shared" si="215"/>
        <v>0</v>
      </c>
    </row>
    <row r="932" spans="10:100" x14ac:dyDescent="0.25">
      <c r="J932" s="345"/>
      <c r="S932" s="317">
        <f t="shared" si="214"/>
        <v>0</v>
      </c>
      <c r="BR932" s="347"/>
      <c r="CH932" s="337">
        <f t="shared" si="216"/>
        <v>0</v>
      </c>
      <c r="CM932" s="361"/>
      <c r="CV932" s="337">
        <f t="shared" si="215"/>
        <v>0</v>
      </c>
    </row>
    <row r="933" spans="10:100" x14ac:dyDescent="0.25">
      <c r="J933" s="345"/>
      <c r="S933" s="317">
        <f t="shared" si="214"/>
        <v>0</v>
      </c>
      <c r="BR933" s="347"/>
      <c r="CH933" s="337">
        <f t="shared" si="216"/>
        <v>0</v>
      </c>
      <c r="CM933" s="361"/>
      <c r="CV933" s="337">
        <f t="shared" si="215"/>
        <v>0</v>
      </c>
    </row>
    <row r="934" spans="10:100" x14ac:dyDescent="0.25">
      <c r="J934" s="345"/>
      <c r="S934" s="317">
        <f t="shared" si="214"/>
        <v>0</v>
      </c>
      <c r="BR934" s="347"/>
      <c r="CH934" s="337">
        <f t="shared" si="216"/>
        <v>0</v>
      </c>
      <c r="CM934" s="361"/>
      <c r="CV934" s="337">
        <f t="shared" si="215"/>
        <v>0</v>
      </c>
    </row>
    <row r="935" spans="10:100" x14ac:dyDescent="0.25">
      <c r="J935" s="345"/>
      <c r="S935" s="317">
        <f t="shared" si="214"/>
        <v>0</v>
      </c>
      <c r="BR935" s="347"/>
      <c r="CH935" s="337">
        <f t="shared" si="216"/>
        <v>0</v>
      </c>
      <c r="CM935" s="361"/>
      <c r="CV935" s="337">
        <f t="shared" si="215"/>
        <v>0</v>
      </c>
    </row>
    <row r="936" spans="10:100" x14ac:dyDescent="0.25">
      <c r="J936" s="345"/>
      <c r="S936" s="317">
        <f t="shared" si="214"/>
        <v>0</v>
      </c>
      <c r="BR936" s="347"/>
      <c r="CH936" s="337">
        <f t="shared" si="216"/>
        <v>0</v>
      </c>
      <c r="CM936" s="361"/>
      <c r="CV936" s="337">
        <f t="shared" si="215"/>
        <v>0</v>
      </c>
    </row>
    <row r="937" spans="10:100" x14ac:dyDescent="0.25">
      <c r="J937" s="345"/>
      <c r="S937" s="317">
        <f t="shared" si="214"/>
        <v>0</v>
      </c>
      <c r="BR937" s="347"/>
      <c r="CH937" s="337">
        <f t="shared" si="216"/>
        <v>0</v>
      </c>
      <c r="CM937" s="361"/>
      <c r="CV937" s="337">
        <f t="shared" si="215"/>
        <v>0</v>
      </c>
    </row>
    <row r="938" spans="10:100" x14ac:dyDescent="0.25">
      <c r="J938" s="345"/>
      <c r="S938" s="317">
        <f t="shared" si="214"/>
        <v>0</v>
      </c>
      <c r="BR938" s="347"/>
      <c r="CH938" s="337">
        <f t="shared" si="216"/>
        <v>0</v>
      </c>
      <c r="CM938" s="361"/>
      <c r="CV938" s="337">
        <f t="shared" si="215"/>
        <v>0</v>
      </c>
    </row>
    <row r="939" spans="10:100" x14ac:dyDescent="0.25">
      <c r="J939" s="345"/>
      <c r="S939" s="317">
        <f t="shared" si="214"/>
        <v>0</v>
      </c>
      <c r="BR939" s="347"/>
      <c r="CH939" s="337">
        <f t="shared" si="216"/>
        <v>0</v>
      </c>
      <c r="CM939" s="361"/>
      <c r="CV939" s="337">
        <f t="shared" si="215"/>
        <v>0</v>
      </c>
    </row>
    <row r="940" spans="10:100" x14ac:dyDescent="0.25">
      <c r="J940" s="345"/>
      <c r="S940" s="317">
        <f t="shared" si="214"/>
        <v>0</v>
      </c>
      <c r="BR940" s="347"/>
      <c r="CH940" s="337">
        <f t="shared" si="216"/>
        <v>0</v>
      </c>
      <c r="CM940" s="361"/>
      <c r="CV940" s="337">
        <f t="shared" si="215"/>
        <v>0</v>
      </c>
    </row>
    <row r="941" spans="10:100" x14ac:dyDescent="0.25">
      <c r="J941" s="345"/>
      <c r="S941" s="317">
        <f t="shared" si="214"/>
        <v>0</v>
      </c>
      <c r="BR941" s="347"/>
      <c r="CH941" s="337">
        <f t="shared" si="216"/>
        <v>0</v>
      </c>
      <c r="CM941" s="361"/>
      <c r="CV941" s="337">
        <f t="shared" si="215"/>
        <v>0</v>
      </c>
    </row>
    <row r="942" spans="10:100" x14ac:dyDescent="0.25">
      <c r="J942" s="345"/>
      <c r="S942" s="317">
        <f t="shared" si="214"/>
        <v>0</v>
      </c>
      <c r="BR942" s="347"/>
      <c r="CH942" s="337">
        <f t="shared" si="216"/>
        <v>0</v>
      </c>
      <c r="CM942" s="361"/>
      <c r="CV942" s="337">
        <f t="shared" si="215"/>
        <v>0</v>
      </c>
    </row>
    <row r="943" spans="10:100" x14ac:dyDescent="0.25">
      <c r="J943" s="345"/>
      <c r="S943" s="317">
        <f t="shared" ref="S943:S1006" si="217">R943-Q943</f>
        <v>0</v>
      </c>
      <c r="BR943" s="347"/>
      <c r="CH943" s="337">
        <f t="shared" si="216"/>
        <v>0</v>
      </c>
      <c r="CM943" s="361"/>
      <c r="CV943" s="337">
        <f t="shared" si="215"/>
        <v>0</v>
      </c>
    </row>
    <row r="944" spans="10:100" x14ac:dyDescent="0.25">
      <c r="J944" s="345"/>
      <c r="S944" s="317">
        <f t="shared" si="217"/>
        <v>0</v>
      </c>
      <c r="BR944" s="347"/>
      <c r="CH944" s="337">
        <f t="shared" si="216"/>
        <v>0</v>
      </c>
      <c r="CM944" s="361"/>
      <c r="CV944" s="337">
        <f t="shared" si="215"/>
        <v>0</v>
      </c>
    </row>
    <row r="945" spans="10:100" x14ac:dyDescent="0.25">
      <c r="J945" s="345"/>
      <c r="S945" s="317">
        <f t="shared" si="217"/>
        <v>0</v>
      </c>
      <c r="BR945" s="347"/>
      <c r="CH945" s="337">
        <f t="shared" si="216"/>
        <v>0</v>
      </c>
      <c r="CM945" s="361"/>
      <c r="CV945" s="337">
        <f t="shared" si="215"/>
        <v>0</v>
      </c>
    </row>
    <row r="946" spans="10:100" x14ac:dyDescent="0.25">
      <c r="J946" s="345"/>
      <c r="S946" s="317">
        <f t="shared" si="217"/>
        <v>0</v>
      </c>
      <c r="BR946" s="347"/>
      <c r="CH946" s="337">
        <f t="shared" si="216"/>
        <v>0</v>
      </c>
      <c r="CM946" s="361"/>
      <c r="CV946" s="337">
        <f t="shared" si="215"/>
        <v>0</v>
      </c>
    </row>
    <row r="947" spans="10:100" x14ac:dyDescent="0.25">
      <c r="J947" s="345"/>
      <c r="S947" s="317">
        <f t="shared" si="217"/>
        <v>0</v>
      </c>
      <c r="BR947" s="347"/>
      <c r="CH947" s="337">
        <f t="shared" si="216"/>
        <v>0</v>
      </c>
      <c r="CM947" s="361"/>
      <c r="CV947" s="337">
        <f t="shared" si="215"/>
        <v>0</v>
      </c>
    </row>
    <row r="948" spans="10:100" x14ac:dyDescent="0.25">
      <c r="J948" s="345"/>
      <c r="S948" s="317">
        <f t="shared" si="217"/>
        <v>0</v>
      </c>
      <c r="BR948" s="347"/>
      <c r="CH948" s="337">
        <f t="shared" si="216"/>
        <v>0</v>
      </c>
      <c r="CM948" s="361"/>
      <c r="CV948" s="337">
        <f t="shared" si="215"/>
        <v>0</v>
      </c>
    </row>
    <row r="949" spans="10:100" x14ac:dyDescent="0.25">
      <c r="J949" s="345"/>
      <c r="S949" s="317">
        <f t="shared" si="217"/>
        <v>0</v>
      </c>
      <c r="BR949" s="347"/>
      <c r="CH949" s="337">
        <f t="shared" si="216"/>
        <v>0</v>
      </c>
      <c r="CM949" s="361"/>
      <c r="CV949" s="337">
        <f t="shared" si="215"/>
        <v>0</v>
      </c>
    </row>
    <row r="950" spans="10:100" x14ac:dyDescent="0.25">
      <c r="J950" s="345"/>
      <c r="S950" s="317">
        <f t="shared" si="217"/>
        <v>0</v>
      </c>
      <c r="BR950" s="347"/>
      <c r="CH950" s="337">
        <f t="shared" si="216"/>
        <v>0</v>
      </c>
      <c r="CM950" s="361"/>
      <c r="CV950" s="337">
        <f t="shared" si="215"/>
        <v>0</v>
      </c>
    </row>
    <row r="951" spans="10:100" x14ac:dyDescent="0.25">
      <c r="J951" s="345"/>
      <c r="S951" s="317">
        <f t="shared" si="217"/>
        <v>0</v>
      </c>
      <c r="BR951" s="347"/>
      <c r="CH951" s="337">
        <f t="shared" si="216"/>
        <v>0</v>
      </c>
      <c r="CM951" s="361"/>
      <c r="CV951" s="337">
        <f t="shared" si="215"/>
        <v>0</v>
      </c>
    </row>
    <row r="952" spans="10:100" x14ac:dyDescent="0.25">
      <c r="J952" s="345"/>
      <c r="S952" s="317">
        <f t="shared" si="217"/>
        <v>0</v>
      </c>
      <c r="BR952" s="347"/>
      <c r="CH952" s="337">
        <f t="shared" si="216"/>
        <v>0</v>
      </c>
      <c r="CM952" s="361"/>
      <c r="CV952" s="337">
        <f t="shared" si="215"/>
        <v>0</v>
      </c>
    </row>
    <row r="953" spans="10:100" x14ac:dyDescent="0.25">
      <c r="J953" s="345"/>
      <c r="S953" s="317">
        <f t="shared" si="217"/>
        <v>0</v>
      </c>
      <c r="BR953" s="347"/>
      <c r="CH953" s="337">
        <f t="shared" si="216"/>
        <v>0</v>
      </c>
      <c r="CM953" s="361"/>
      <c r="CV953" s="337">
        <f t="shared" si="215"/>
        <v>0</v>
      </c>
    </row>
    <row r="954" spans="10:100" x14ac:dyDescent="0.25">
      <c r="J954" s="345"/>
      <c r="S954" s="317">
        <f t="shared" si="217"/>
        <v>0</v>
      </c>
      <c r="BR954" s="347"/>
      <c r="CH954" s="337">
        <f t="shared" si="216"/>
        <v>0</v>
      </c>
      <c r="CM954" s="361"/>
      <c r="CV954" s="337">
        <f t="shared" si="215"/>
        <v>0</v>
      </c>
    </row>
    <row r="955" spans="10:100" x14ac:dyDescent="0.25">
      <c r="J955" s="345"/>
      <c r="S955" s="317">
        <f t="shared" si="217"/>
        <v>0</v>
      </c>
      <c r="BR955" s="347"/>
      <c r="CH955" s="337">
        <f t="shared" si="216"/>
        <v>0</v>
      </c>
      <c r="CM955" s="361"/>
      <c r="CV955" s="337">
        <f t="shared" si="215"/>
        <v>0</v>
      </c>
    </row>
    <row r="956" spans="10:100" x14ac:dyDescent="0.25">
      <c r="J956" s="345"/>
      <c r="S956" s="317">
        <f t="shared" si="217"/>
        <v>0</v>
      </c>
      <c r="BR956" s="347"/>
      <c r="CH956" s="337">
        <f t="shared" si="216"/>
        <v>0</v>
      </c>
      <c r="CM956" s="361"/>
      <c r="CV956" s="337">
        <f t="shared" si="215"/>
        <v>0</v>
      </c>
    </row>
    <row r="957" spans="10:100" x14ac:dyDescent="0.25">
      <c r="J957" s="345"/>
      <c r="S957" s="317">
        <f t="shared" si="217"/>
        <v>0</v>
      </c>
      <c r="BR957" s="347"/>
      <c r="CH957" s="337">
        <f t="shared" si="216"/>
        <v>0</v>
      </c>
      <c r="CM957" s="361"/>
      <c r="CV957" s="337">
        <f t="shared" si="215"/>
        <v>0</v>
      </c>
    </row>
    <row r="958" spans="10:100" x14ac:dyDescent="0.25">
      <c r="J958" s="345"/>
      <c r="S958" s="317">
        <f t="shared" si="217"/>
        <v>0</v>
      </c>
      <c r="BR958" s="347"/>
      <c r="CH958" s="337">
        <f t="shared" si="216"/>
        <v>0</v>
      </c>
      <c r="CM958" s="361"/>
      <c r="CV958" s="337">
        <f t="shared" si="215"/>
        <v>0</v>
      </c>
    </row>
    <row r="959" spans="10:100" x14ac:dyDescent="0.25">
      <c r="J959" s="345"/>
      <c r="S959" s="317">
        <f t="shared" si="217"/>
        <v>0</v>
      </c>
      <c r="BR959" s="347"/>
      <c r="CH959" s="337">
        <f t="shared" si="216"/>
        <v>0</v>
      </c>
      <c r="CM959" s="361"/>
      <c r="CV959" s="337">
        <f t="shared" si="215"/>
        <v>0</v>
      </c>
    </row>
    <row r="960" spans="10:100" x14ac:dyDescent="0.25">
      <c r="J960" s="345"/>
      <c r="S960" s="317">
        <f t="shared" si="217"/>
        <v>0</v>
      </c>
      <c r="BR960" s="347"/>
      <c r="CH960" s="337">
        <f t="shared" si="216"/>
        <v>0</v>
      </c>
      <c r="CM960" s="361"/>
      <c r="CV960" s="337">
        <f t="shared" si="215"/>
        <v>0</v>
      </c>
    </row>
    <row r="961" spans="10:100" x14ac:dyDescent="0.25">
      <c r="J961" s="345"/>
      <c r="S961" s="317">
        <f t="shared" si="217"/>
        <v>0</v>
      </c>
      <c r="BR961" s="347"/>
      <c r="CH961" s="337">
        <f t="shared" si="216"/>
        <v>0</v>
      </c>
      <c r="CM961" s="361"/>
      <c r="CV961" s="337">
        <f t="shared" si="215"/>
        <v>0</v>
      </c>
    </row>
    <row r="962" spans="10:100" x14ac:dyDescent="0.25">
      <c r="J962" s="345"/>
      <c r="S962" s="317">
        <f t="shared" si="217"/>
        <v>0</v>
      </c>
      <c r="BR962" s="347"/>
      <c r="CH962" s="337">
        <f t="shared" si="216"/>
        <v>0</v>
      </c>
      <c r="CM962" s="361"/>
      <c r="CV962" s="337">
        <f t="shared" si="215"/>
        <v>0</v>
      </c>
    </row>
    <row r="963" spans="10:100" x14ac:dyDescent="0.25">
      <c r="J963" s="345"/>
      <c r="S963" s="317">
        <f t="shared" si="217"/>
        <v>0</v>
      </c>
      <c r="BR963" s="347"/>
      <c r="CH963" s="337">
        <f t="shared" si="216"/>
        <v>0</v>
      </c>
      <c r="CM963" s="361"/>
      <c r="CV963" s="337">
        <f t="shared" si="215"/>
        <v>0</v>
      </c>
    </row>
    <row r="964" spans="10:100" x14ac:dyDescent="0.25">
      <c r="S964" s="317">
        <f t="shared" si="217"/>
        <v>0</v>
      </c>
      <c r="BR964" s="347"/>
      <c r="CH964" s="337">
        <f t="shared" si="216"/>
        <v>0</v>
      </c>
      <c r="CM964" s="361"/>
      <c r="CV964" s="337">
        <f t="shared" si="215"/>
        <v>0</v>
      </c>
    </row>
    <row r="965" spans="10:100" x14ac:dyDescent="0.25">
      <c r="S965" s="317">
        <f t="shared" si="217"/>
        <v>0</v>
      </c>
      <c r="BR965" s="347"/>
      <c r="CH965" s="337">
        <f t="shared" si="216"/>
        <v>0</v>
      </c>
      <c r="CM965" s="361"/>
      <c r="CV965" s="337">
        <f t="shared" si="215"/>
        <v>0</v>
      </c>
    </row>
    <row r="966" spans="10:100" x14ac:dyDescent="0.25">
      <c r="S966" s="317">
        <f t="shared" si="217"/>
        <v>0</v>
      </c>
      <c r="BR966" s="347"/>
      <c r="CH966" s="337">
        <f t="shared" si="216"/>
        <v>0</v>
      </c>
      <c r="CM966" s="361"/>
      <c r="CV966" s="337">
        <f t="shared" si="215"/>
        <v>0</v>
      </c>
    </row>
    <row r="967" spans="10:100" x14ac:dyDescent="0.25">
      <c r="S967" s="317">
        <f t="shared" si="217"/>
        <v>0</v>
      </c>
      <c r="BR967" s="347"/>
      <c r="CH967" s="337">
        <f t="shared" si="216"/>
        <v>0</v>
      </c>
      <c r="CM967" s="361"/>
      <c r="CV967" s="337">
        <f t="shared" si="215"/>
        <v>0</v>
      </c>
    </row>
    <row r="968" spans="10:100" x14ac:dyDescent="0.25">
      <c r="S968" s="317">
        <f t="shared" si="217"/>
        <v>0</v>
      </c>
      <c r="BR968" s="347"/>
      <c r="CH968" s="337">
        <f t="shared" si="216"/>
        <v>0</v>
      </c>
      <c r="CM968" s="361"/>
      <c r="CV968" s="337">
        <f t="shared" si="215"/>
        <v>0</v>
      </c>
    </row>
    <row r="969" spans="10:100" x14ac:dyDescent="0.25">
      <c r="S969" s="317">
        <f t="shared" si="217"/>
        <v>0</v>
      </c>
      <c r="BR969" s="347"/>
      <c r="CH969" s="337">
        <f t="shared" si="216"/>
        <v>0</v>
      </c>
      <c r="CM969" s="361"/>
      <c r="CV969" s="337">
        <f t="shared" si="215"/>
        <v>0</v>
      </c>
    </row>
    <row r="970" spans="10:100" x14ac:dyDescent="0.25">
      <c r="S970" s="317">
        <f t="shared" si="217"/>
        <v>0</v>
      </c>
      <c r="BR970" s="347"/>
      <c r="CH970" s="337">
        <f t="shared" si="216"/>
        <v>0</v>
      </c>
      <c r="CM970" s="361"/>
      <c r="CV970" s="337">
        <f t="shared" si="215"/>
        <v>0</v>
      </c>
    </row>
    <row r="971" spans="10:100" x14ac:dyDescent="0.25">
      <c r="S971" s="317">
        <f t="shared" si="217"/>
        <v>0</v>
      </c>
      <c r="BR971" s="347"/>
      <c r="CH971" s="337">
        <f t="shared" si="216"/>
        <v>0</v>
      </c>
      <c r="CM971" s="361"/>
      <c r="CV971" s="337">
        <f t="shared" si="215"/>
        <v>0</v>
      </c>
    </row>
    <row r="972" spans="10:100" x14ac:dyDescent="0.25">
      <c r="S972" s="317">
        <f t="shared" si="217"/>
        <v>0</v>
      </c>
      <c r="BR972" s="347"/>
      <c r="CH972" s="337">
        <f t="shared" si="216"/>
        <v>0</v>
      </c>
      <c r="CM972" s="361"/>
      <c r="CV972" s="337">
        <f t="shared" si="215"/>
        <v>0</v>
      </c>
    </row>
    <row r="973" spans="10:100" x14ac:dyDescent="0.25">
      <c r="S973" s="317">
        <f t="shared" si="217"/>
        <v>0</v>
      </c>
      <c r="BR973" s="347"/>
      <c r="CH973" s="337">
        <f t="shared" si="216"/>
        <v>0</v>
      </c>
      <c r="CM973" s="361"/>
      <c r="CV973" s="337">
        <f t="shared" si="215"/>
        <v>0</v>
      </c>
    </row>
    <row r="974" spans="10:100" x14ac:dyDescent="0.25">
      <c r="S974" s="317">
        <f t="shared" si="217"/>
        <v>0</v>
      </c>
      <c r="BR974" s="347"/>
      <c r="CH974" s="337">
        <f t="shared" si="216"/>
        <v>0</v>
      </c>
      <c r="CM974" s="361"/>
      <c r="CV974" s="337">
        <f t="shared" si="215"/>
        <v>0</v>
      </c>
    </row>
    <row r="975" spans="10:100" x14ac:dyDescent="0.25">
      <c r="S975" s="317">
        <f t="shared" si="217"/>
        <v>0</v>
      </c>
      <c r="BR975" s="347"/>
      <c r="CH975" s="337">
        <f t="shared" si="216"/>
        <v>0</v>
      </c>
      <c r="CM975" s="361"/>
      <c r="CV975" s="337">
        <f t="shared" si="215"/>
        <v>0</v>
      </c>
    </row>
    <row r="976" spans="10:100" x14ac:dyDescent="0.25">
      <c r="S976" s="317">
        <f t="shared" si="217"/>
        <v>0</v>
      </c>
      <c r="BR976" s="347"/>
      <c r="CH976" s="337">
        <f t="shared" si="216"/>
        <v>0</v>
      </c>
      <c r="CM976" s="361"/>
      <c r="CV976" s="337">
        <f t="shared" si="215"/>
        <v>0</v>
      </c>
    </row>
    <row r="977" spans="19:100" x14ac:dyDescent="0.25">
      <c r="S977" s="317">
        <f t="shared" si="217"/>
        <v>0</v>
      </c>
      <c r="BR977" s="347"/>
      <c r="CH977" s="337">
        <f t="shared" si="216"/>
        <v>0</v>
      </c>
      <c r="CM977" s="361"/>
      <c r="CV977" s="337">
        <f t="shared" si="215"/>
        <v>0</v>
      </c>
    </row>
    <row r="978" spans="19:100" x14ac:dyDescent="0.25">
      <c r="S978" s="317">
        <f t="shared" si="217"/>
        <v>0</v>
      </c>
      <c r="BR978" s="347"/>
      <c r="CH978" s="337">
        <f t="shared" si="216"/>
        <v>0</v>
      </c>
      <c r="CM978" s="361"/>
      <c r="CV978" s="337">
        <f t="shared" si="215"/>
        <v>0</v>
      </c>
    </row>
    <row r="979" spans="19:100" x14ac:dyDescent="0.25">
      <c r="S979" s="317">
        <f t="shared" si="217"/>
        <v>0</v>
      </c>
      <c r="BR979" s="347"/>
      <c r="CH979" s="337">
        <f t="shared" si="216"/>
        <v>0</v>
      </c>
      <c r="CM979" s="361"/>
      <c r="CV979" s="337">
        <f t="shared" si="215"/>
        <v>0</v>
      </c>
    </row>
    <row r="980" spans="19:100" x14ac:dyDescent="0.25">
      <c r="S980" s="317">
        <f t="shared" si="217"/>
        <v>0</v>
      </c>
      <c r="BR980" s="347"/>
      <c r="CH980" s="337">
        <f t="shared" si="216"/>
        <v>0</v>
      </c>
      <c r="CM980" s="361"/>
      <c r="CV980" s="337">
        <f t="shared" si="215"/>
        <v>0</v>
      </c>
    </row>
    <row r="981" spans="19:100" x14ac:dyDescent="0.25">
      <c r="S981" s="317">
        <f t="shared" si="217"/>
        <v>0</v>
      </c>
      <c r="BR981" s="347"/>
      <c r="CH981" s="337">
        <f t="shared" si="216"/>
        <v>0</v>
      </c>
      <c r="CM981" s="361"/>
      <c r="CV981" s="337">
        <f t="shared" si="215"/>
        <v>0</v>
      </c>
    </row>
    <row r="982" spans="19:100" x14ac:dyDescent="0.25">
      <c r="S982" s="317">
        <f t="shared" si="217"/>
        <v>0</v>
      </c>
      <c r="BR982" s="347"/>
      <c r="CH982" s="337">
        <f t="shared" si="216"/>
        <v>0</v>
      </c>
      <c r="CM982" s="361"/>
      <c r="CV982" s="337">
        <f t="shared" si="215"/>
        <v>0</v>
      </c>
    </row>
    <row r="983" spans="19:100" x14ac:dyDescent="0.25">
      <c r="S983" s="317">
        <f t="shared" si="217"/>
        <v>0</v>
      </c>
      <c r="BR983" s="347"/>
      <c r="CH983" s="337">
        <f t="shared" si="216"/>
        <v>0</v>
      </c>
      <c r="CM983" s="361"/>
      <c r="CV983" s="337">
        <f t="shared" si="215"/>
        <v>0</v>
      </c>
    </row>
    <row r="984" spans="19:100" x14ac:dyDescent="0.25">
      <c r="S984" s="317">
        <f t="shared" si="217"/>
        <v>0</v>
      </c>
      <c r="BR984" s="347"/>
      <c r="CH984" s="337">
        <f t="shared" si="216"/>
        <v>0</v>
      </c>
      <c r="CM984" s="361"/>
      <c r="CV984" s="337">
        <f t="shared" ref="CV984:CV1047" si="218">ROUND($CR$5*CO984*CN984/365,1)</f>
        <v>0</v>
      </c>
    </row>
    <row r="985" spans="19:100" x14ac:dyDescent="0.25">
      <c r="S985" s="317">
        <f t="shared" si="217"/>
        <v>0</v>
      </c>
      <c r="BR985" s="347"/>
      <c r="CH985" s="337">
        <f t="shared" si="216"/>
        <v>0</v>
      </c>
      <c r="CM985" s="361"/>
      <c r="CV985" s="337">
        <f t="shared" si="218"/>
        <v>0</v>
      </c>
    </row>
    <row r="986" spans="19:100" x14ac:dyDescent="0.25">
      <c r="S986" s="317">
        <f t="shared" si="217"/>
        <v>0</v>
      </c>
      <c r="BR986" s="347"/>
      <c r="CH986" s="337">
        <f t="shared" si="216"/>
        <v>0</v>
      </c>
      <c r="CM986" s="361"/>
      <c r="CV986" s="337">
        <f t="shared" si="218"/>
        <v>0</v>
      </c>
    </row>
    <row r="987" spans="19:100" x14ac:dyDescent="0.25">
      <c r="S987" s="317">
        <f t="shared" si="217"/>
        <v>0</v>
      </c>
      <c r="BR987" s="347"/>
      <c r="CH987" s="337">
        <f t="shared" si="216"/>
        <v>0</v>
      </c>
      <c r="CM987" s="361"/>
      <c r="CV987" s="337">
        <f t="shared" si="218"/>
        <v>0</v>
      </c>
    </row>
    <row r="988" spans="19:100" x14ac:dyDescent="0.25">
      <c r="S988" s="317">
        <f t="shared" si="217"/>
        <v>0</v>
      </c>
      <c r="BR988" s="347"/>
      <c r="CH988" s="337">
        <f t="shared" si="216"/>
        <v>0</v>
      </c>
      <c r="CM988" s="361"/>
      <c r="CV988" s="337">
        <f t="shared" si="218"/>
        <v>0</v>
      </c>
    </row>
    <row r="989" spans="19:100" x14ac:dyDescent="0.25">
      <c r="S989" s="317">
        <f t="shared" si="217"/>
        <v>0</v>
      </c>
      <c r="BR989" s="347"/>
      <c r="CH989" s="337">
        <f t="shared" si="216"/>
        <v>0</v>
      </c>
      <c r="CM989" s="361"/>
      <c r="CV989" s="337">
        <f t="shared" si="218"/>
        <v>0</v>
      </c>
    </row>
    <row r="990" spans="19:100" x14ac:dyDescent="0.25">
      <c r="S990" s="317">
        <f t="shared" si="217"/>
        <v>0</v>
      </c>
      <c r="BR990" s="347"/>
      <c r="CH990" s="337">
        <f t="shared" si="216"/>
        <v>0</v>
      </c>
      <c r="CM990" s="361"/>
      <c r="CV990" s="337">
        <f t="shared" si="218"/>
        <v>0</v>
      </c>
    </row>
    <row r="991" spans="19:100" x14ac:dyDescent="0.25">
      <c r="S991" s="317">
        <f t="shared" si="217"/>
        <v>0</v>
      </c>
      <c r="BR991" s="347"/>
      <c r="CH991" s="337">
        <f t="shared" si="216"/>
        <v>0</v>
      </c>
      <c r="CM991" s="361"/>
      <c r="CV991" s="337">
        <f t="shared" si="218"/>
        <v>0</v>
      </c>
    </row>
    <row r="992" spans="19:100" x14ac:dyDescent="0.25">
      <c r="S992" s="317">
        <f t="shared" si="217"/>
        <v>0</v>
      </c>
      <c r="BR992" s="347"/>
      <c r="CH992" s="337">
        <f t="shared" si="216"/>
        <v>0</v>
      </c>
      <c r="CM992" s="361"/>
      <c r="CV992" s="337">
        <f t="shared" si="218"/>
        <v>0</v>
      </c>
    </row>
    <row r="993" spans="19:100" x14ac:dyDescent="0.25">
      <c r="S993" s="317">
        <f t="shared" si="217"/>
        <v>0</v>
      </c>
      <c r="BR993" s="347"/>
      <c r="CH993" s="337">
        <f t="shared" si="216"/>
        <v>0</v>
      </c>
      <c r="CM993" s="361"/>
      <c r="CV993" s="337">
        <f t="shared" si="218"/>
        <v>0</v>
      </c>
    </row>
    <row r="994" spans="19:100" x14ac:dyDescent="0.25">
      <c r="S994" s="317">
        <f t="shared" si="217"/>
        <v>0</v>
      </c>
      <c r="BR994" s="347"/>
      <c r="CH994" s="337">
        <f t="shared" ref="CH994:CH1034" si="219">ROUND($CA$5*CG994*CF994/365,6)</f>
        <v>0</v>
      </c>
      <c r="CM994" s="361"/>
      <c r="CV994" s="337">
        <f t="shared" si="218"/>
        <v>0</v>
      </c>
    </row>
    <row r="995" spans="19:100" x14ac:dyDescent="0.25">
      <c r="S995" s="317">
        <f t="shared" si="217"/>
        <v>0</v>
      </c>
      <c r="BR995" s="347"/>
      <c r="CH995" s="337">
        <f t="shared" si="219"/>
        <v>0</v>
      </c>
      <c r="CM995" s="361"/>
      <c r="CV995" s="337">
        <f t="shared" si="218"/>
        <v>0</v>
      </c>
    </row>
    <row r="996" spans="19:100" x14ac:dyDescent="0.25">
      <c r="S996" s="317">
        <f t="shared" si="217"/>
        <v>0</v>
      </c>
      <c r="BR996" s="347"/>
      <c r="CH996" s="337">
        <f t="shared" si="219"/>
        <v>0</v>
      </c>
      <c r="CM996" s="361"/>
      <c r="CV996" s="337">
        <f t="shared" si="218"/>
        <v>0</v>
      </c>
    </row>
    <row r="997" spans="19:100" x14ac:dyDescent="0.25">
      <c r="S997" s="317">
        <f t="shared" si="217"/>
        <v>0</v>
      </c>
      <c r="BR997" s="347"/>
      <c r="CH997" s="337">
        <f t="shared" si="219"/>
        <v>0</v>
      </c>
      <c r="CM997" s="361"/>
      <c r="CV997" s="337">
        <f t="shared" si="218"/>
        <v>0</v>
      </c>
    </row>
    <row r="998" spans="19:100" x14ac:dyDescent="0.25">
      <c r="S998" s="317">
        <f t="shared" si="217"/>
        <v>0</v>
      </c>
      <c r="BR998" s="347"/>
      <c r="CH998" s="337">
        <f t="shared" si="219"/>
        <v>0</v>
      </c>
      <c r="CM998" s="361"/>
      <c r="CV998" s="337">
        <f t="shared" si="218"/>
        <v>0</v>
      </c>
    </row>
    <row r="999" spans="19:100" x14ac:dyDescent="0.25">
      <c r="S999" s="317">
        <f t="shared" si="217"/>
        <v>0</v>
      </c>
      <c r="BR999" s="347"/>
      <c r="CH999" s="337">
        <f t="shared" si="219"/>
        <v>0</v>
      </c>
      <c r="CM999" s="361"/>
      <c r="CV999" s="337">
        <f t="shared" si="218"/>
        <v>0</v>
      </c>
    </row>
    <row r="1000" spans="19:100" x14ac:dyDescent="0.25">
      <c r="S1000" s="317">
        <f t="shared" si="217"/>
        <v>0</v>
      </c>
      <c r="BR1000" s="347"/>
      <c r="CH1000" s="337">
        <f t="shared" si="219"/>
        <v>0</v>
      </c>
      <c r="CM1000" s="361"/>
      <c r="CV1000" s="337">
        <f t="shared" si="218"/>
        <v>0</v>
      </c>
    </row>
    <row r="1001" spans="19:100" x14ac:dyDescent="0.25">
      <c r="S1001" s="317">
        <f t="shared" si="217"/>
        <v>0</v>
      </c>
      <c r="BR1001" s="347"/>
      <c r="CH1001" s="337">
        <f t="shared" si="219"/>
        <v>0</v>
      </c>
      <c r="CM1001" s="361"/>
      <c r="CV1001" s="337">
        <f t="shared" si="218"/>
        <v>0</v>
      </c>
    </row>
    <row r="1002" spans="19:100" x14ac:dyDescent="0.25">
      <c r="S1002" s="317">
        <f t="shared" si="217"/>
        <v>0</v>
      </c>
      <c r="BR1002" s="347"/>
      <c r="CH1002" s="337">
        <f t="shared" si="219"/>
        <v>0</v>
      </c>
      <c r="CM1002" s="361"/>
      <c r="CV1002" s="337">
        <f t="shared" si="218"/>
        <v>0</v>
      </c>
    </row>
    <row r="1003" spans="19:100" x14ac:dyDescent="0.25">
      <c r="S1003" s="317">
        <f t="shared" si="217"/>
        <v>0</v>
      </c>
      <c r="BR1003" s="347"/>
      <c r="CH1003" s="337">
        <f t="shared" si="219"/>
        <v>0</v>
      </c>
      <c r="CM1003" s="361"/>
      <c r="CV1003" s="337">
        <f t="shared" si="218"/>
        <v>0</v>
      </c>
    </row>
    <row r="1004" spans="19:100" x14ac:dyDescent="0.25">
      <c r="S1004" s="317">
        <f t="shared" si="217"/>
        <v>0</v>
      </c>
      <c r="BR1004" s="347"/>
      <c r="CH1004" s="337">
        <f t="shared" si="219"/>
        <v>0</v>
      </c>
      <c r="CM1004" s="361"/>
      <c r="CV1004" s="337">
        <f t="shared" si="218"/>
        <v>0</v>
      </c>
    </row>
    <row r="1005" spans="19:100" x14ac:dyDescent="0.25">
      <c r="S1005" s="317">
        <f t="shared" si="217"/>
        <v>0</v>
      </c>
      <c r="BR1005" s="347"/>
      <c r="CH1005" s="337">
        <f t="shared" si="219"/>
        <v>0</v>
      </c>
      <c r="CM1005" s="361"/>
      <c r="CV1005" s="337">
        <f t="shared" si="218"/>
        <v>0</v>
      </c>
    </row>
    <row r="1006" spans="19:100" x14ac:dyDescent="0.25">
      <c r="S1006" s="317">
        <f t="shared" si="217"/>
        <v>0</v>
      </c>
      <c r="BR1006" s="347"/>
      <c r="CH1006" s="337">
        <f t="shared" si="219"/>
        <v>0</v>
      </c>
      <c r="CM1006" s="361"/>
      <c r="CV1006" s="337">
        <f t="shared" si="218"/>
        <v>0</v>
      </c>
    </row>
    <row r="1007" spans="19:100" x14ac:dyDescent="0.25">
      <c r="S1007" s="317">
        <f t="shared" ref="S1007:S1067" si="220">R1007-Q1007</f>
        <v>0</v>
      </c>
      <c r="BR1007" s="347"/>
      <c r="CH1007" s="337">
        <f t="shared" si="219"/>
        <v>0</v>
      </c>
      <c r="CM1007" s="361"/>
      <c r="CV1007" s="337">
        <f t="shared" si="218"/>
        <v>0</v>
      </c>
    </row>
    <row r="1008" spans="19:100" x14ac:dyDescent="0.25">
      <c r="S1008" s="317">
        <f t="shared" si="220"/>
        <v>0</v>
      </c>
      <c r="BR1008" s="347"/>
      <c r="CH1008" s="337">
        <f t="shared" si="219"/>
        <v>0</v>
      </c>
      <c r="CM1008" s="361"/>
      <c r="CV1008" s="337">
        <f t="shared" si="218"/>
        <v>0</v>
      </c>
    </row>
    <row r="1009" spans="19:100" x14ac:dyDescent="0.25">
      <c r="S1009" s="317">
        <f t="shared" si="220"/>
        <v>0</v>
      </c>
      <c r="BR1009" s="347"/>
      <c r="CH1009" s="337">
        <f t="shared" si="219"/>
        <v>0</v>
      </c>
      <c r="CM1009" s="361"/>
      <c r="CV1009" s="337">
        <f t="shared" si="218"/>
        <v>0</v>
      </c>
    </row>
    <row r="1010" spans="19:100" x14ac:dyDescent="0.25">
      <c r="S1010" s="317">
        <f t="shared" si="220"/>
        <v>0</v>
      </c>
      <c r="BR1010" s="347"/>
      <c r="CH1010" s="337">
        <f t="shared" si="219"/>
        <v>0</v>
      </c>
      <c r="CM1010" s="361"/>
      <c r="CV1010" s="337">
        <f t="shared" si="218"/>
        <v>0</v>
      </c>
    </row>
    <row r="1011" spans="19:100" x14ac:dyDescent="0.25">
      <c r="S1011" s="317">
        <f t="shared" si="220"/>
        <v>0</v>
      </c>
      <c r="BR1011" s="347"/>
      <c r="CH1011" s="337">
        <f t="shared" si="219"/>
        <v>0</v>
      </c>
      <c r="CM1011" s="361"/>
      <c r="CV1011" s="337">
        <f t="shared" si="218"/>
        <v>0</v>
      </c>
    </row>
    <row r="1012" spans="19:100" x14ac:dyDescent="0.25">
      <c r="S1012" s="317">
        <f t="shared" si="220"/>
        <v>0</v>
      </c>
      <c r="BR1012" s="347"/>
      <c r="CH1012" s="337">
        <f t="shared" si="219"/>
        <v>0</v>
      </c>
      <c r="CM1012" s="361"/>
      <c r="CV1012" s="337">
        <f t="shared" si="218"/>
        <v>0</v>
      </c>
    </row>
    <row r="1013" spans="19:100" x14ac:dyDescent="0.25">
      <c r="S1013" s="317">
        <f t="shared" si="220"/>
        <v>0</v>
      </c>
      <c r="BR1013" s="347"/>
      <c r="CH1013" s="337">
        <f t="shared" si="219"/>
        <v>0</v>
      </c>
      <c r="CM1013" s="361"/>
      <c r="CV1013" s="337">
        <f t="shared" si="218"/>
        <v>0</v>
      </c>
    </row>
    <row r="1014" spans="19:100" x14ac:dyDescent="0.25">
      <c r="S1014" s="317">
        <f t="shared" si="220"/>
        <v>0</v>
      </c>
      <c r="BR1014" s="347"/>
      <c r="CH1014" s="337">
        <f t="shared" si="219"/>
        <v>0</v>
      </c>
      <c r="CM1014" s="361"/>
      <c r="CV1014" s="337">
        <f t="shared" si="218"/>
        <v>0</v>
      </c>
    </row>
    <row r="1015" spans="19:100" x14ac:dyDescent="0.25">
      <c r="S1015" s="317">
        <f t="shared" si="220"/>
        <v>0</v>
      </c>
      <c r="BR1015" s="347"/>
      <c r="CH1015" s="337">
        <f t="shared" si="219"/>
        <v>0</v>
      </c>
      <c r="CM1015" s="361"/>
      <c r="CV1015" s="337">
        <f t="shared" si="218"/>
        <v>0</v>
      </c>
    </row>
    <row r="1016" spans="19:100" x14ac:dyDescent="0.25">
      <c r="S1016" s="317">
        <f t="shared" si="220"/>
        <v>0</v>
      </c>
      <c r="BR1016" s="347"/>
      <c r="CH1016" s="337">
        <f t="shared" si="219"/>
        <v>0</v>
      </c>
      <c r="CM1016" s="361"/>
      <c r="CV1016" s="337">
        <f t="shared" si="218"/>
        <v>0</v>
      </c>
    </row>
    <row r="1017" spans="19:100" x14ac:dyDescent="0.25">
      <c r="S1017" s="317">
        <f t="shared" si="220"/>
        <v>0</v>
      </c>
      <c r="BR1017" s="347"/>
      <c r="CH1017" s="337">
        <f t="shared" si="219"/>
        <v>0</v>
      </c>
      <c r="CM1017" s="361"/>
      <c r="CV1017" s="337">
        <f t="shared" si="218"/>
        <v>0</v>
      </c>
    </row>
    <row r="1018" spans="19:100" x14ac:dyDescent="0.25">
      <c r="S1018" s="317">
        <f t="shared" si="220"/>
        <v>0</v>
      </c>
      <c r="BR1018" s="347"/>
      <c r="CH1018" s="337">
        <f t="shared" si="219"/>
        <v>0</v>
      </c>
      <c r="CM1018" s="361"/>
      <c r="CV1018" s="337">
        <f t="shared" si="218"/>
        <v>0</v>
      </c>
    </row>
    <row r="1019" spans="19:100" x14ac:dyDescent="0.25">
      <c r="S1019" s="317">
        <f t="shared" si="220"/>
        <v>0</v>
      </c>
      <c r="BR1019" s="347"/>
      <c r="CH1019" s="337">
        <f t="shared" si="219"/>
        <v>0</v>
      </c>
      <c r="CM1019" s="361"/>
      <c r="CV1019" s="337">
        <f t="shared" si="218"/>
        <v>0</v>
      </c>
    </row>
    <row r="1020" spans="19:100" x14ac:dyDescent="0.25">
      <c r="S1020" s="317">
        <f t="shared" si="220"/>
        <v>0</v>
      </c>
      <c r="BR1020" s="347"/>
      <c r="CH1020" s="337">
        <f t="shared" si="219"/>
        <v>0</v>
      </c>
      <c r="CM1020" s="361"/>
      <c r="CV1020" s="337">
        <f t="shared" si="218"/>
        <v>0</v>
      </c>
    </row>
    <row r="1021" spans="19:100" x14ac:dyDescent="0.25">
      <c r="S1021" s="317">
        <f t="shared" si="220"/>
        <v>0</v>
      </c>
      <c r="BR1021" s="347"/>
      <c r="CH1021" s="337">
        <f t="shared" si="219"/>
        <v>0</v>
      </c>
      <c r="CM1021" s="361"/>
      <c r="CV1021" s="337">
        <f t="shared" si="218"/>
        <v>0</v>
      </c>
    </row>
    <row r="1022" spans="19:100" x14ac:dyDescent="0.25">
      <c r="S1022" s="317">
        <f t="shared" si="220"/>
        <v>0</v>
      </c>
      <c r="BR1022" s="347"/>
      <c r="CH1022" s="337">
        <f t="shared" si="219"/>
        <v>0</v>
      </c>
      <c r="CM1022" s="361"/>
      <c r="CV1022" s="337">
        <f t="shared" si="218"/>
        <v>0</v>
      </c>
    </row>
    <row r="1023" spans="19:100" x14ac:dyDescent="0.25">
      <c r="S1023" s="317">
        <f t="shared" si="220"/>
        <v>0</v>
      </c>
      <c r="BR1023" s="347"/>
      <c r="CH1023" s="337">
        <f t="shared" si="219"/>
        <v>0</v>
      </c>
      <c r="CM1023" s="361"/>
      <c r="CV1023" s="337">
        <f t="shared" si="218"/>
        <v>0</v>
      </c>
    </row>
    <row r="1024" spans="19:100" x14ac:dyDescent="0.25">
      <c r="S1024" s="317">
        <f t="shared" si="220"/>
        <v>0</v>
      </c>
      <c r="BR1024" s="347"/>
      <c r="CH1024" s="337">
        <f t="shared" si="219"/>
        <v>0</v>
      </c>
      <c r="CM1024" s="361"/>
      <c r="CV1024" s="337">
        <f t="shared" si="218"/>
        <v>0</v>
      </c>
    </row>
    <row r="1025" spans="19:100" x14ac:dyDescent="0.25">
      <c r="S1025" s="317">
        <f t="shared" si="220"/>
        <v>0</v>
      </c>
      <c r="BR1025" s="347"/>
      <c r="CH1025" s="337">
        <f t="shared" si="219"/>
        <v>0</v>
      </c>
      <c r="CM1025" s="361"/>
      <c r="CV1025" s="337">
        <f t="shared" si="218"/>
        <v>0</v>
      </c>
    </row>
    <row r="1026" spans="19:100" x14ac:dyDescent="0.25">
      <c r="S1026" s="317">
        <f t="shared" si="220"/>
        <v>0</v>
      </c>
      <c r="BR1026" s="347"/>
      <c r="CH1026" s="337">
        <f t="shared" si="219"/>
        <v>0</v>
      </c>
      <c r="CM1026" s="361"/>
      <c r="CV1026" s="337">
        <f t="shared" si="218"/>
        <v>0</v>
      </c>
    </row>
    <row r="1027" spans="19:100" x14ac:dyDescent="0.25">
      <c r="S1027" s="317">
        <f t="shared" si="220"/>
        <v>0</v>
      </c>
      <c r="BR1027" s="347"/>
      <c r="CH1027" s="337">
        <f t="shared" si="219"/>
        <v>0</v>
      </c>
      <c r="CM1027" s="361"/>
      <c r="CV1027" s="337">
        <f t="shared" si="218"/>
        <v>0</v>
      </c>
    </row>
    <row r="1028" spans="19:100" x14ac:dyDescent="0.25">
      <c r="S1028" s="317">
        <f t="shared" si="220"/>
        <v>0</v>
      </c>
      <c r="BR1028" s="347"/>
      <c r="CH1028" s="337">
        <f t="shared" si="219"/>
        <v>0</v>
      </c>
      <c r="CM1028" s="361"/>
      <c r="CV1028" s="337">
        <f t="shared" si="218"/>
        <v>0</v>
      </c>
    </row>
    <row r="1029" spans="19:100" x14ac:dyDescent="0.25">
      <c r="S1029" s="317">
        <f t="shared" si="220"/>
        <v>0</v>
      </c>
      <c r="BR1029" s="347"/>
      <c r="CH1029" s="337">
        <f t="shared" si="219"/>
        <v>0</v>
      </c>
      <c r="CM1029" s="361"/>
      <c r="CV1029" s="337">
        <f t="shared" si="218"/>
        <v>0</v>
      </c>
    </row>
    <row r="1030" spans="19:100" x14ac:dyDescent="0.25">
      <c r="S1030" s="317">
        <f t="shared" si="220"/>
        <v>0</v>
      </c>
      <c r="BR1030" s="347"/>
      <c r="CH1030" s="337">
        <f t="shared" si="219"/>
        <v>0</v>
      </c>
      <c r="CM1030" s="361"/>
      <c r="CV1030" s="337">
        <f t="shared" si="218"/>
        <v>0</v>
      </c>
    </row>
    <row r="1031" spans="19:100" x14ac:dyDescent="0.25">
      <c r="S1031" s="317">
        <f t="shared" si="220"/>
        <v>0</v>
      </c>
      <c r="BR1031" s="347"/>
      <c r="CH1031" s="337">
        <f t="shared" si="219"/>
        <v>0</v>
      </c>
      <c r="CM1031" s="361"/>
      <c r="CV1031" s="337">
        <f t="shared" si="218"/>
        <v>0</v>
      </c>
    </row>
    <row r="1032" spans="19:100" x14ac:dyDescent="0.25">
      <c r="S1032" s="317">
        <f t="shared" si="220"/>
        <v>0</v>
      </c>
      <c r="BR1032" s="347"/>
      <c r="CH1032" s="337">
        <f t="shared" si="219"/>
        <v>0</v>
      </c>
      <c r="CM1032" s="361"/>
      <c r="CV1032" s="337">
        <f t="shared" si="218"/>
        <v>0</v>
      </c>
    </row>
    <row r="1033" spans="19:100" x14ac:dyDescent="0.25">
      <c r="S1033" s="317">
        <f t="shared" si="220"/>
        <v>0</v>
      </c>
      <c r="BR1033" s="347"/>
      <c r="CH1033" s="337">
        <f t="shared" si="219"/>
        <v>0</v>
      </c>
      <c r="CM1033" s="361"/>
      <c r="CV1033" s="337">
        <f t="shared" si="218"/>
        <v>0</v>
      </c>
    </row>
    <row r="1034" spans="19:100" x14ac:dyDescent="0.25">
      <c r="S1034" s="317">
        <f t="shared" si="220"/>
        <v>0</v>
      </c>
      <c r="BR1034" s="347"/>
      <c r="CH1034" s="337">
        <f t="shared" si="219"/>
        <v>0</v>
      </c>
      <c r="CM1034" s="361"/>
      <c r="CV1034" s="337">
        <f t="shared" si="218"/>
        <v>0</v>
      </c>
    </row>
    <row r="1035" spans="19:100" x14ac:dyDescent="0.25">
      <c r="S1035" s="317">
        <f t="shared" si="220"/>
        <v>0</v>
      </c>
      <c r="BR1035" s="347"/>
      <c r="CM1035" s="361"/>
      <c r="CV1035" s="337">
        <f t="shared" si="218"/>
        <v>0</v>
      </c>
    </row>
    <row r="1036" spans="19:100" x14ac:dyDescent="0.25">
      <c r="S1036" s="317">
        <f t="shared" si="220"/>
        <v>0</v>
      </c>
      <c r="BR1036" s="347"/>
      <c r="CM1036" s="361"/>
      <c r="CV1036" s="337">
        <f t="shared" si="218"/>
        <v>0</v>
      </c>
    </row>
    <row r="1037" spans="19:100" x14ac:dyDescent="0.25">
      <c r="S1037" s="317">
        <f t="shared" si="220"/>
        <v>0</v>
      </c>
      <c r="BR1037" s="347"/>
      <c r="CM1037" s="361"/>
      <c r="CV1037" s="337">
        <f t="shared" si="218"/>
        <v>0</v>
      </c>
    </row>
    <row r="1038" spans="19:100" x14ac:dyDescent="0.25">
      <c r="S1038" s="317">
        <f t="shared" si="220"/>
        <v>0</v>
      </c>
      <c r="BR1038" s="347"/>
      <c r="CM1038" s="361"/>
      <c r="CV1038" s="337">
        <f t="shared" si="218"/>
        <v>0</v>
      </c>
    </row>
    <row r="1039" spans="19:100" x14ac:dyDescent="0.25">
      <c r="S1039" s="317">
        <f t="shared" si="220"/>
        <v>0</v>
      </c>
      <c r="BR1039" s="347"/>
      <c r="CM1039" s="361"/>
      <c r="CV1039" s="337">
        <f t="shared" si="218"/>
        <v>0</v>
      </c>
    </row>
    <row r="1040" spans="19:100" x14ac:dyDescent="0.25">
      <c r="S1040" s="317">
        <f t="shared" si="220"/>
        <v>0</v>
      </c>
      <c r="BR1040" s="347"/>
      <c r="CM1040" s="361"/>
      <c r="CV1040" s="337">
        <f t="shared" si="218"/>
        <v>0</v>
      </c>
    </row>
    <row r="1041" spans="19:100" x14ac:dyDescent="0.25">
      <c r="S1041" s="317">
        <f t="shared" si="220"/>
        <v>0</v>
      </c>
      <c r="BR1041" s="347"/>
      <c r="CM1041" s="361"/>
      <c r="CV1041" s="337">
        <f t="shared" si="218"/>
        <v>0</v>
      </c>
    </row>
    <row r="1042" spans="19:100" x14ac:dyDescent="0.25">
      <c r="S1042" s="317">
        <f t="shared" si="220"/>
        <v>0</v>
      </c>
      <c r="BR1042" s="347"/>
      <c r="CM1042" s="361"/>
      <c r="CV1042" s="337">
        <f t="shared" si="218"/>
        <v>0</v>
      </c>
    </row>
    <row r="1043" spans="19:100" x14ac:dyDescent="0.25">
      <c r="S1043" s="317">
        <f t="shared" si="220"/>
        <v>0</v>
      </c>
      <c r="BR1043" s="347"/>
      <c r="CM1043" s="361"/>
      <c r="CV1043" s="337">
        <f t="shared" si="218"/>
        <v>0</v>
      </c>
    </row>
    <row r="1044" spans="19:100" x14ac:dyDescent="0.25">
      <c r="S1044" s="317">
        <f t="shared" si="220"/>
        <v>0</v>
      </c>
      <c r="BR1044" s="347"/>
      <c r="CM1044" s="361"/>
      <c r="CV1044" s="337">
        <f t="shared" si="218"/>
        <v>0</v>
      </c>
    </row>
    <row r="1045" spans="19:100" x14ac:dyDescent="0.25">
      <c r="S1045" s="317">
        <f t="shared" si="220"/>
        <v>0</v>
      </c>
      <c r="BR1045" s="347"/>
      <c r="CM1045" s="361"/>
      <c r="CV1045" s="337">
        <f t="shared" si="218"/>
        <v>0</v>
      </c>
    </row>
    <row r="1046" spans="19:100" x14ac:dyDescent="0.25">
      <c r="S1046" s="317">
        <f t="shared" si="220"/>
        <v>0</v>
      </c>
      <c r="BR1046" s="347"/>
      <c r="CM1046" s="361"/>
      <c r="CV1046" s="337">
        <f t="shared" si="218"/>
        <v>0</v>
      </c>
    </row>
    <row r="1047" spans="19:100" x14ac:dyDescent="0.25">
      <c r="S1047" s="317">
        <f t="shared" si="220"/>
        <v>0</v>
      </c>
      <c r="BR1047" s="347"/>
      <c r="CM1047" s="361"/>
      <c r="CV1047" s="337">
        <f t="shared" si="218"/>
        <v>0</v>
      </c>
    </row>
    <row r="1048" spans="19:100" x14ac:dyDescent="0.25">
      <c r="S1048" s="317">
        <f t="shared" si="220"/>
        <v>0</v>
      </c>
      <c r="BR1048" s="347"/>
      <c r="CM1048" s="361"/>
      <c r="CV1048" s="337">
        <f t="shared" ref="CV1048:CV1111" si="221">ROUND($CR$5*CO1048*CN1048/365,1)</f>
        <v>0</v>
      </c>
    </row>
    <row r="1049" spans="19:100" x14ac:dyDescent="0.25">
      <c r="S1049" s="317">
        <f t="shared" si="220"/>
        <v>0</v>
      </c>
      <c r="BR1049" s="347"/>
      <c r="CM1049" s="361"/>
      <c r="CV1049" s="337">
        <f t="shared" si="221"/>
        <v>0</v>
      </c>
    </row>
    <row r="1050" spans="19:100" x14ac:dyDescent="0.25">
      <c r="S1050" s="317">
        <f t="shared" si="220"/>
        <v>0</v>
      </c>
      <c r="BR1050" s="347"/>
      <c r="CM1050" s="361"/>
      <c r="CV1050" s="337">
        <f t="shared" si="221"/>
        <v>0</v>
      </c>
    </row>
    <row r="1051" spans="19:100" x14ac:dyDescent="0.25">
      <c r="S1051" s="317">
        <f t="shared" si="220"/>
        <v>0</v>
      </c>
      <c r="BR1051" s="347"/>
      <c r="CM1051" s="361"/>
      <c r="CV1051" s="337">
        <f t="shared" si="221"/>
        <v>0</v>
      </c>
    </row>
    <row r="1052" spans="19:100" x14ac:dyDescent="0.25">
      <c r="S1052" s="317">
        <f t="shared" si="220"/>
        <v>0</v>
      </c>
      <c r="BR1052" s="347"/>
      <c r="CM1052" s="361"/>
      <c r="CV1052" s="337">
        <f t="shared" si="221"/>
        <v>0</v>
      </c>
    </row>
    <row r="1053" spans="19:100" x14ac:dyDescent="0.25">
      <c r="S1053" s="317">
        <f t="shared" si="220"/>
        <v>0</v>
      </c>
      <c r="BR1053" s="347"/>
      <c r="CM1053" s="361"/>
      <c r="CV1053" s="337">
        <f t="shared" si="221"/>
        <v>0</v>
      </c>
    </row>
    <row r="1054" spans="19:100" x14ac:dyDescent="0.25">
      <c r="S1054" s="317">
        <f t="shared" si="220"/>
        <v>0</v>
      </c>
      <c r="BR1054" s="347"/>
      <c r="CM1054" s="361"/>
      <c r="CV1054" s="337">
        <f t="shared" si="221"/>
        <v>0</v>
      </c>
    </row>
    <row r="1055" spans="19:100" x14ac:dyDescent="0.25">
      <c r="S1055" s="317">
        <f t="shared" si="220"/>
        <v>0</v>
      </c>
      <c r="BR1055" s="347"/>
      <c r="CM1055" s="361"/>
      <c r="CV1055" s="337">
        <f t="shared" si="221"/>
        <v>0</v>
      </c>
    </row>
    <row r="1056" spans="19:100" x14ac:dyDescent="0.25">
      <c r="S1056" s="317">
        <f t="shared" si="220"/>
        <v>0</v>
      </c>
      <c r="BR1056" s="347"/>
      <c r="CM1056" s="361"/>
      <c r="CV1056" s="337">
        <f t="shared" si="221"/>
        <v>0</v>
      </c>
    </row>
    <row r="1057" spans="19:100" x14ac:dyDescent="0.25">
      <c r="S1057" s="317">
        <f t="shared" si="220"/>
        <v>0</v>
      </c>
      <c r="BR1057" s="347"/>
      <c r="CM1057" s="361"/>
      <c r="CV1057" s="337">
        <f t="shared" si="221"/>
        <v>0</v>
      </c>
    </row>
    <row r="1058" spans="19:100" x14ac:dyDescent="0.25">
      <c r="S1058" s="317">
        <f t="shared" si="220"/>
        <v>0</v>
      </c>
      <c r="BR1058" s="347"/>
      <c r="CM1058" s="361"/>
      <c r="CV1058" s="337">
        <f t="shared" si="221"/>
        <v>0</v>
      </c>
    </row>
    <row r="1059" spans="19:100" x14ac:dyDescent="0.25">
      <c r="S1059" s="317">
        <f t="shared" si="220"/>
        <v>0</v>
      </c>
      <c r="BR1059" s="347"/>
      <c r="CM1059" s="361"/>
      <c r="CV1059" s="337">
        <f t="shared" si="221"/>
        <v>0</v>
      </c>
    </row>
    <row r="1060" spans="19:100" x14ac:dyDescent="0.25">
      <c r="S1060" s="317">
        <f t="shared" si="220"/>
        <v>0</v>
      </c>
      <c r="BR1060" s="347"/>
      <c r="CM1060" s="361"/>
      <c r="CV1060" s="337">
        <f t="shared" si="221"/>
        <v>0</v>
      </c>
    </row>
    <row r="1061" spans="19:100" x14ac:dyDescent="0.25">
      <c r="S1061" s="317">
        <f t="shared" si="220"/>
        <v>0</v>
      </c>
      <c r="BR1061" s="347"/>
      <c r="CM1061" s="361"/>
      <c r="CV1061" s="337">
        <f t="shared" si="221"/>
        <v>0</v>
      </c>
    </row>
    <row r="1062" spans="19:100" x14ac:dyDescent="0.25">
      <c r="S1062" s="317">
        <f t="shared" si="220"/>
        <v>0</v>
      </c>
      <c r="BR1062" s="347"/>
      <c r="CM1062" s="361"/>
      <c r="CV1062" s="337">
        <f t="shared" si="221"/>
        <v>0</v>
      </c>
    </row>
    <row r="1063" spans="19:100" x14ac:dyDescent="0.25">
      <c r="S1063" s="317">
        <f t="shared" si="220"/>
        <v>0</v>
      </c>
      <c r="BR1063" s="347"/>
      <c r="CM1063" s="361"/>
      <c r="CV1063" s="337">
        <f t="shared" si="221"/>
        <v>0</v>
      </c>
    </row>
    <row r="1064" spans="19:100" x14ac:dyDescent="0.25">
      <c r="S1064" s="317">
        <f t="shared" si="220"/>
        <v>0</v>
      </c>
      <c r="BR1064" s="347"/>
      <c r="CM1064" s="361"/>
      <c r="CV1064" s="337">
        <f t="shared" si="221"/>
        <v>0</v>
      </c>
    </row>
    <row r="1065" spans="19:100" x14ac:dyDescent="0.25">
      <c r="S1065" s="317">
        <f t="shared" si="220"/>
        <v>0</v>
      </c>
      <c r="BR1065" s="347"/>
      <c r="CM1065" s="361"/>
      <c r="CV1065" s="337">
        <f t="shared" si="221"/>
        <v>0</v>
      </c>
    </row>
    <row r="1066" spans="19:100" x14ac:dyDescent="0.25">
      <c r="S1066" s="317">
        <f t="shared" si="220"/>
        <v>0</v>
      </c>
      <c r="BR1066" s="347"/>
      <c r="CM1066" s="361"/>
      <c r="CV1066" s="337">
        <f t="shared" si="221"/>
        <v>0</v>
      </c>
    </row>
    <row r="1067" spans="19:100" x14ac:dyDescent="0.25">
      <c r="S1067" s="317">
        <f t="shared" si="220"/>
        <v>0</v>
      </c>
      <c r="BR1067" s="347"/>
      <c r="CM1067" s="361"/>
      <c r="CV1067" s="337">
        <f t="shared" si="221"/>
        <v>0</v>
      </c>
    </row>
    <row r="1068" spans="19:100" x14ac:dyDescent="0.25">
      <c r="BR1068" s="347"/>
      <c r="CM1068" s="361"/>
      <c r="CV1068" s="337">
        <f t="shared" si="221"/>
        <v>0</v>
      </c>
    </row>
    <row r="1069" spans="19:100" x14ac:dyDescent="0.25">
      <c r="BR1069" s="347"/>
      <c r="CM1069" s="361"/>
      <c r="CV1069" s="337">
        <f t="shared" si="221"/>
        <v>0</v>
      </c>
    </row>
    <row r="1070" spans="19:100" x14ac:dyDescent="0.25">
      <c r="BR1070" s="347"/>
      <c r="CM1070" s="361"/>
      <c r="CV1070" s="337">
        <f t="shared" si="221"/>
        <v>0</v>
      </c>
    </row>
    <row r="1071" spans="19:100" x14ac:dyDescent="0.25">
      <c r="BR1071" s="347"/>
      <c r="CM1071" s="361"/>
      <c r="CV1071" s="337">
        <f t="shared" si="221"/>
        <v>0</v>
      </c>
    </row>
    <row r="1072" spans="19:100" x14ac:dyDescent="0.25">
      <c r="BR1072" s="347"/>
      <c r="CM1072" s="361"/>
      <c r="CV1072" s="337">
        <f t="shared" si="221"/>
        <v>0</v>
      </c>
    </row>
    <row r="1073" spans="70:100" x14ac:dyDescent="0.25">
      <c r="BR1073" s="347"/>
      <c r="CM1073" s="361"/>
      <c r="CV1073" s="337">
        <f t="shared" si="221"/>
        <v>0</v>
      </c>
    </row>
    <row r="1074" spans="70:100" x14ac:dyDescent="0.25">
      <c r="BR1074" s="347"/>
      <c r="CM1074" s="361"/>
      <c r="CV1074" s="337">
        <f t="shared" si="221"/>
        <v>0</v>
      </c>
    </row>
    <row r="1075" spans="70:100" x14ac:dyDescent="0.25">
      <c r="BR1075" s="347"/>
      <c r="CM1075" s="361"/>
      <c r="CV1075" s="337">
        <f t="shared" si="221"/>
        <v>0</v>
      </c>
    </row>
    <row r="1076" spans="70:100" x14ac:dyDescent="0.25">
      <c r="BR1076" s="347"/>
      <c r="CM1076" s="361"/>
      <c r="CV1076" s="337">
        <f t="shared" si="221"/>
        <v>0</v>
      </c>
    </row>
    <row r="1077" spans="70:100" x14ac:dyDescent="0.25">
      <c r="BR1077" s="347"/>
      <c r="CM1077" s="361"/>
      <c r="CV1077" s="337">
        <f t="shared" si="221"/>
        <v>0</v>
      </c>
    </row>
    <row r="1078" spans="70:100" x14ac:dyDescent="0.25">
      <c r="BR1078" s="347"/>
      <c r="CM1078" s="361"/>
      <c r="CV1078" s="337">
        <f t="shared" si="221"/>
        <v>0</v>
      </c>
    </row>
    <row r="1079" spans="70:100" x14ac:dyDescent="0.25">
      <c r="BR1079" s="347"/>
      <c r="CM1079" s="361"/>
      <c r="CV1079" s="337">
        <f t="shared" si="221"/>
        <v>0</v>
      </c>
    </row>
    <row r="1080" spans="70:100" x14ac:dyDescent="0.25">
      <c r="BR1080" s="347"/>
      <c r="CM1080" s="361"/>
      <c r="CV1080" s="337">
        <f t="shared" si="221"/>
        <v>0</v>
      </c>
    </row>
    <row r="1081" spans="70:100" x14ac:dyDescent="0.25">
      <c r="BR1081" s="347"/>
      <c r="CM1081" s="361"/>
      <c r="CV1081" s="337">
        <f t="shared" si="221"/>
        <v>0</v>
      </c>
    </row>
    <row r="1082" spans="70:100" x14ac:dyDescent="0.25">
      <c r="BR1082" s="347"/>
      <c r="CM1082" s="361"/>
      <c r="CV1082" s="337">
        <f t="shared" si="221"/>
        <v>0</v>
      </c>
    </row>
    <row r="1083" spans="70:100" x14ac:dyDescent="0.25">
      <c r="BR1083" s="347"/>
      <c r="CM1083" s="361"/>
      <c r="CV1083" s="337">
        <f t="shared" si="221"/>
        <v>0</v>
      </c>
    </row>
    <row r="1084" spans="70:100" x14ac:dyDescent="0.25">
      <c r="BR1084" s="347"/>
      <c r="CM1084" s="361"/>
      <c r="CV1084" s="337">
        <f t="shared" si="221"/>
        <v>0</v>
      </c>
    </row>
    <row r="1085" spans="70:100" x14ac:dyDescent="0.25">
      <c r="BR1085" s="347"/>
      <c r="CM1085" s="361"/>
      <c r="CV1085" s="337">
        <f t="shared" si="221"/>
        <v>0</v>
      </c>
    </row>
    <row r="1086" spans="70:100" x14ac:dyDescent="0.25">
      <c r="BR1086" s="347"/>
      <c r="CM1086" s="361"/>
      <c r="CV1086" s="337">
        <f t="shared" si="221"/>
        <v>0</v>
      </c>
    </row>
    <row r="1087" spans="70:100" x14ac:dyDescent="0.25">
      <c r="BR1087" s="347"/>
      <c r="CM1087" s="361"/>
      <c r="CV1087" s="337">
        <f t="shared" si="221"/>
        <v>0</v>
      </c>
    </row>
    <row r="1088" spans="70:100" x14ac:dyDescent="0.25">
      <c r="BR1088" s="347"/>
      <c r="CM1088" s="361"/>
      <c r="CV1088" s="337">
        <f t="shared" si="221"/>
        <v>0</v>
      </c>
    </row>
    <row r="1089" spans="70:100" x14ac:dyDescent="0.25">
      <c r="BR1089" s="347"/>
      <c r="CM1089" s="361"/>
      <c r="CV1089" s="337">
        <f t="shared" si="221"/>
        <v>0</v>
      </c>
    </row>
    <row r="1090" spans="70:100" x14ac:dyDescent="0.25">
      <c r="BR1090" s="347"/>
      <c r="CM1090" s="361"/>
      <c r="CV1090" s="337">
        <f t="shared" si="221"/>
        <v>0</v>
      </c>
    </row>
    <row r="1091" spans="70:100" x14ac:dyDescent="0.25">
      <c r="BR1091" s="347"/>
      <c r="CM1091" s="361"/>
      <c r="CV1091" s="337">
        <f t="shared" si="221"/>
        <v>0</v>
      </c>
    </row>
    <row r="1092" spans="70:100" x14ac:dyDescent="0.25">
      <c r="BR1092" s="347"/>
      <c r="CM1092" s="361"/>
      <c r="CV1092" s="337">
        <f t="shared" si="221"/>
        <v>0</v>
      </c>
    </row>
    <row r="1093" spans="70:100" x14ac:dyDescent="0.25">
      <c r="BR1093" s="347"/>
      <c r="CM1093" s="361"/>
      <c r="CV1093" s="337">
        <f t="shared" si="221"/>
        <v>0</v>
      </c>
    </row>
    <row r="1094" spans="70:100" x14ac:dyDescent="0.25">
      <c r="BR1094" s="347"/>
      <c r="CM1094" s="361"/>
      <c r="CV1094" s="337">
        <f t="shared" si="221"/>
        <v>0</v>
      </c>
    </row>
    <row r="1095" spans="70:100" x14ac:dyDescent="0.25">
      <c r="BR1095" s="347"/>
      <c r="CM1095" s="361"/>
      <c r="CV1095" s="337">
        <f t="shared" si="221"/>
        <v>0</v>
      </c>
    </row>
    <row r="1096" spans="70:100" x14ac:dyDescent="0.25">
      <c r="BR1096" s="347"/>
      <c r="CM1096" s="361"/>
      <c r="CV1096" s="337">
        <f t="shared" si="221"/>
        <v>0</v>
      </c>
    </row>
    <row r="1097" spans="70:100" x14ac:dyDescent="0.25">
      <c r="BR1097" s="347"/>
      <c r="CM1097" s="361"/>
      <c r="CV1097" s="337">
        <f t="shared" si="221"/>
        <v>0</v>
      </c>
    </row>
    <row r="1098" spans="70:100" x14ac:dyDescent="0.25">
      <c r="BR1098" s="347"/>
      <c r="CM1098" s="361"/>
      <c r="CV1098" s="337">
        <f t="shared" si="221"/>
        <v>0</v>
      </c>
    </row>
    <row r="1099" spans="70:100" x14ac:dyDescent="0.25">
      <c r="BR1099" s="347"/>
      <c r="CM1099" s="361"/>
      <c r="CV1099" s="337">
        <f t="shared" si="221"/>
        <v>0</v>
      </c>
    </row>
    <row r="1100" spans="70:100" x14ac:dyDescent="0.25">
      <c r="BR1100" s="347"/>
      <c r="CM1100" s="361"/>
      <c r="CV1100" s="337">
        <f t="shared" si="221"/>
        <v>0</v>
      </c>
    </row>
    <row r="1101" spans="70:100" x14ac:dyDescent="0.25">
      <c r="BR1101" s="347"/>
      <c r="CM1101" s="361"/>
      <c r="CV1101" s="337">
        <f t="shared" si="221"/>
        <v>0</v>
      </c>
    </row>
    <row r="1102" spans="70:100" x14ac:dyDescent="0.25">
      <c r="BR1102" s="347"/>
      <c r="CM1102" s="361"/>
      <c r="CV1102" s="337">
        <f t="shared" si="221"/>
        <v>0</v>
      </c>
    </row>
    <row r="1103" spans="70:100" x14ac:dyDescent="0.25">
      <c r="BR1103" s="347"/>
      <c r="CM1103" s="361"/>
      <c r="CV1103" s="337">
        <f t="shared" si="221"/>
        <v>0</v>
      </c>
    </row>
    <row r="1104" spans="70:100" x14ac:dyDescent="0.25">
      <c r="BR1104" s="347"/>
      <c r="CM1104" s="361"/>
      <c r="CV1104" s="337">
        <f t="shared" si="221"/>
        <v>0</v>
      </c>
    </row>
    <row r="1105" spans="70:100" x14ac:dyDescent="0.25">
      <c r="BR1105" s="347"/>
      <c r="CM1105" s="361"/>
      <c r="CV1105" s="337">
        <f t="shared" si="221"/>
        <v>0</v>
      </c>
    </row>
    <row r="1106" spans="70:100" x14ac:dyDescent="0.25">
      <c r="BR1106" s="347"/>
      <c r="CM1106" s="361"/>
      <c r="CV1106" s="337">
        <f t="shared" si="221"/>
        <v>0</v>
      </c>
    </row>
    <row r="1107" spans="70:100" x14ac:dyDescent="0.25">
      <c r="BR1107" s="347"/>
      <c r="CM1107" s="361"/>
      <c r="CV1107" s="337">
        <f t="shared" si="221"/>
        <v>0</v>
      </c>
    </row>
    <row r="1108" spans="70:100" x14ac:dyDescent="0.25">
      <c r="BR1108" s="347"/>
      <c r="CM1108" s="361"/>
      <c r="CV1108" s="337">
        <f t="shared" si="221"/>
        <v>0</v>
      </c>
    </row>
    <row r="1109" spans="70:100" x14ac:dyDescent="0.25">
      <c r="BR1109" s="347"/>
      <c r="CM1109" s="361"/>
      <c r="CV1109" s="337">
        <f t="shared" si="221"/>
        <v>0</v>
      </c>
    </row>
    <row r="1110" spans="70:100" x14ac:dyDescent="0.25">
      <c r="BR1110" s="347"/>
      <c r="CM1110" s="361"/>
      <c r="CV1110" s="337">
        <f t="shared" si="221"/>
        <v>0</v>
      </c>
    </row>
    <row r="1111" spans="70:100" x14ac:dyDescent="0.25">
      <c r="BR1111" s="347"/>
      <c r="CM1111" s="361"/>
      <c r="CV1111" s="337">
        <f t="shared" si="221"/>
        <v>0</v>
      </c>
    </row>
    <row r="1112" spans="70:100" x14ac:dyDescent="0.25">
      <c r="BR1112" s="347"/>
      <c r="CM1112" s="361"/>
      <c r="CV1112" s="337">
        <f t="shared" ref="CV1112:CV1175" si="222">ROUND($CR$5*CO1112*CN1112/365,1)</f>
        <v>0</v>
      </c>
    </row>
    <row r="1113" spans="70:100" x14ac:dyDescent="0.25">
      <c r="BR1113" s="347"/>
      <c r="CM1113" s="361"/>
      <c r="CV1113" s="337">
        <f t="shared" si="222"/>
        <v>0</v>
      </c>
    </row>
    <row r="1114" spans="70:100" x14ac:dyDescent="0.25">
      <c r="BR1114" s="347"/>
      <c r="CM1114" s="361"/>
      <c r="CV1114" s="337">
        <f t="shared" si="222"/>
        <v>0</v>
      </c>
    </row>
    <row r="1115" spans="70:100" x14ac:dyDescent="0.25">
      <c r="BR1115" s="347"/>
      <c r="CM1115" s="361"/>
      <c r="CV1115" s="337">
        <f t="shared" si="222"/>
        <v>0</v>
      </c>
    </row>
    <row r="1116" spans="70:100" x14ac:dyDescent="0.25">
      <c r="BR1116" s="347"/>
      <c r="CM1116" s="361"/>
      <c r="CV1116" s="337">
        <f t="shared" si="222"/>
        <v>0</v>
      </c>
    </row>
    <row r="1117" spans="70:100" x14ac:dyDescent="0.25">
      <c r="BR1117" s="347"/>
      <c r="CM1117" s="361"/>
      <c r="CV1117" s="337">
        <f t="shared" si="222"/>
        <v>0</v>
      </c>
    </row>
    <row r="1118" spans="70:100" x14ac:dyDescent="0.25">
      <c r="BR1118" s="347"/>
      <c r="CM1118" s="361"/>
      <c r="CV1118" s="337">
        <f t="shared" si="222"/>
        <v>0</v>
      </c>
    </row>
    <row r="1119" spans="70:100" x14ac:dyDescent="0.25">
      <c r="BR1119" s="347"/>
      <c r="CM1119" s="361"/>
      <c r="CV1119" s="337">
        <f t="shared" si="222"/>
        <v>0</v>
      </c>
    </row>
    <row r="1120" spans="70:100" x14ac:dyDescent="0.25">
      <c r="BR1120" s="347"/>
      <c r="CM1120" s="361"/>
      <c r="CV1120" s="337">
        <f t="shared" si="222"/>
        <v>0</v>
      </c>
    </row>
    <row r="1121" spans="70:100" x14ac:dyDescent="0.25">
      <c r="BR1121" s="347"/>
      <c r="CM1121" s="361"/>
      <c r="CV1121" s="337">
        <f t="shared" si="222"/>
        <v>0</v>
      </c>
    </row>
    <row r="1122" spans="70:100" x14ac:dyDescent="0.25">
      <c r="BR1122" s="347"/>
      <c r="CM1122" s="361"/>
      <c r="CV1122" s="337">
        <f t="shared" si="222"/>
        <v>0</v>
      </c>
    </row>
    <row r="1123" spans="70:100" x14ac:dyDescent="0.25">
      <c r="BR1123" s="347"/>
      <c r="CM1123" s="361"/>
      <c r="CV1123" s="337">
        <f t="shared" si="222"/>
        <v>0</v>
      </c>
    </row>
    <row r="1124" spans="70:100" x14ac:dyDescent="0.25">
      <c r="BR1124" s="347"/>
      <c r="CM1124" s="361"/>
      <c r="CV1124" s="337">
        <f t="shared" si="222"/>
        <v>0</v>
      </c>
    </row>
    <row r="1125" spans="70:100" x14ac:dyDescent="0.25">
      <c r="BR1125" s="347"/>
      <c r="CM1125" s="361"/>
      <c r="CV1125" s="337">
        <f t="shared" si="222"/>
        <v>0</v>
      </c>
    </row>
    <row r="1126" spans="70:100" x14ac:dyDescent="0.25">
      <c r="BR1126" s="347"/>
      <c r="CM1126" s="361"/>
      <c r="CV1126" s="337">
        <f t="shared" si="222"/>
        <v>0</v>
      </c>
    </row>
    <row r="1127" spans="70:100" x14ac:dyDescent="0.25">
      <c r="BR1127" s="347"/>
      <c r="CM1127" s="361"/>
      <c r="CV1127" s="337">
        <f t="shared" si="222"/>
        <v>0</v>
      </c>
    </row>
    <row r="1128" spans="70:100" x14ac:dyDescent="0.25">
      <c r="BR1128" s="347"/>
      <c r="CM1128" s="361"/>
      <c r="CV1128" s="337">
        <f t="shared" si="222"/>
        <v>0</v>
      </c>
    </row>
    <row r="1129" spans="70:100" x14ac:dyDescent="0.25">
      <c r="BR1129" s="347"/>
      <c r="CM1129" s="361"/>
      <c r="CV1129" s="337">
        <f t="shared" si="222"/>
        <v>0</v>
      </c>
    </row>
    <row r="1130" spans="70:100" x14ac:dyDescent="0.25">
      <c r="BR1130" s="347"/>
      <c r="CM1130" s="361"/>
      <c r="CV1130" s="337">
        <f t="shared" si="222"/>
        <v>0</v>
      </c>
    </row>
    <row r="1131" spans="70:100" x14ac:dyDescent="0.25">
      <c r="BR1131" s="347"/>
      <c r="CM1131" s="361"/>
      <c r="CV1131" s="337">
        <f t="shared" si="222"/>
        <v>0</v>
      </c>
    </row>
    <row r="1132" spans="70:100" x14ac:dyDescent="0.25">
      <c r="BR1132" s="347"/>
      <c r="CM1132" s="361"/>
      <c r="CV1132" s="337">
        <f t="shared" si="222"/>
        <v>0</v>
      </c>
    </row>
    <row r="1133" spans="70:100" x14ac:dyDescent="0.25">
      <c r="BR1133" s="347"/>
      <c r="CM1133" s="361"/>
      <c r="CV1133" s="337">
        <f t="shared" si="222"/>
        <v>0</v>
      </c>
    </row>
    <row r="1134" spans="70:100" x14ac:dyDescent="0.25">
      <c r="BR1134" s="347"/>
      <c r="CM1134" s="361"/>
      <c r="CV1134" s="337">
        <f t="shared" si="222"/>
        <v>0</v>
      </c>
    </row>
    <row r="1135" spans="70:100" x14ac:dyDescent="0.25">
      <c r="BR1135" s="347"/>
      <c r="CM1135" s="361"/>
      <c r="CV1135" s="337">
        <f t="shared" si="222"/>
        <v>0</v>
      </c>
    </row>
    <row r="1136" spans="70:100" x14ac:dyDescent="0.25">
      <c r="BR1136" s="347"/>
      <c r="CM1136" s="361"/>
      <c r="CV1136" s="337">
        <f t="shared" si="222"/>
        <v>0</v>
      </c>
    </row>
    <row r="1137" spans="70:100" x14ac:dyDescent="0.25">
      <c r="BR1137" s="347"/>
      <c r="CM1137" s="361"/>
      <c r="CV1137" s="337">
        <f t="shared" si="222"/>
        <v>0</v>
      </c>
    </row>
    <row r="1138" spans="70:100" x14ac:dyDescent="0.25">
      <c r="BR1138" s="347"/>
      <c r="CM1138" s="361"/>
      <c r="CV1138" s="337">
        <f t="shared" si="222"/>
        <v>0</v>
      </c>
    </row>
    <row r="1139" spans="70:100" x14ac:dyDescent="0.25">
      <c r="BR1139" s="347"/>
      <c r="CM1139" s="361"/>
      <c r="CV1139" s="337">
        <f t="shared" si="222"/>
        <v>0</v>
      </c>
    </row>
    <row r="1140" spans="70:100" x14ac:dyDescent="0.25">
      <c r="BR1140" s="347"/>
      <c r="CM1140" s="361"/>
      <c r="CV1140" s="337">
        <f t="shared" si="222"/>
        <v>0</v>
      </c>
    </row>
    <row r="1141" spans="70:100" x14ac:dyDescent="0.25">
      <c r="BR1141" s="347"/>
      <c r="CM1141" s="361"/>
      <c r="CV1141" s="337">
        <f t="shared" si="222"/>
        <v>0</v>
      </c>
    </row>
    <row r="1142" spans="70:100" x14ac:dyDescent="0.25">
      <c r="BR1142" s="347"/>
      <c r="CM1142" s="361"/>
      <c r="CV1142" s="337">
        <f t="shared" si="222"/>
        <v>0</v>
      </c>
    </row>
    <row r="1143" spans="70:100" x14ac:dyDescent="0.25">
      <c r="BR1143" s="347"/>
      <c r="CM1143" s="361"/>
      <c r="CV1143" s="337">
        <f t="shared" si="222"/>
        <v>0</v>
      </c>
    </row>
    <row r="1144" spans="70:100" x14ac:dyDescent="0.25">
      <c r="BR1144" s="347"/>
      <c r="CM1144" s="361"/>
      <c r="CV1144" s="337">
        <f t="shared" si="222"/>
        <v>0</v>
      </c>
    </row>
    <row r="1145" spans="70:100" x14ac:dyDescent="0.25">
      <c r="BR1145" s="347"/>
      <c r="CM1145" s="361"/>
      <c r="CV1145" s="337">
        <f t="shared" si="222"/>
        <v>0</v>
      </c>
    </row>
    <row r="1146" spans="70:100" x14ac:dyDescent="0.25">
      <c r="BR1146" s="347"/>
      <c r="CM1146" s="361"/>
      <c r="CV1146" s="337">
        <f t="shared" si="222"/>
        <v>0</v>
      </c>
    </row>
    <row r="1147" spans="70:100" x14ac:dyDescent="0.25">
      <c r="BR1147" s="347"/>
      <c r="CM1147" s="361"/>
      <c r="CV1147" s="337">
        <f t="shared" si="222"/>
        <v>0</v>
      </c>
    </row>
    <row r="1148" spans="70:100" x14ac:dyDescent="0.25">
      <c r="BR1148" s="347"/>
      <c r="CM1148" s="361"/>
      <c r="CV1148" s="337">
        <f t="shared" si="222"/>
        <v>0</v>
      </c>
    </row>
    <row r="1149" spans="70:100" x14ac:dyDescent="0.25">
      <c r="BR1149" s="347"/>
      <c r="CM1149" s="361"/>
      <c r="CV1149" s="337">
        <f t="shared" si="222"/>
        <v>0</v>
      </c>
    </row>
    <row r="1150" spans="70:100" x14ac:dyDescent="0.25">
      <c r="BR1150" s="347"/>
      <c r="CM1150" s="361"/>
      <c r="CV1150" s="337">
        <f t="shared" si="222"/>
        <v>0</v>
      </c>
    </row>
    <row r="1151" spans="70:100" x14ac:dyDescent="0.25">
      <c r="BR1151" s="347"/>
      <c r="CM1151" s="361"/>
      <c r="CV1151" s="337">
        <f t="shared" si="222"/>
        <v>0</v>
      </c>
    </row>
    <row r="1152" spans="70:100" x14ac:dyDescent="0.25">
      <c r="BR1152" s="347"/>
      <c r="CM1152" s="361"/>
      <c r="CV1152" s="337">
        <f t="shared" si="222"/>
        <v>0</v>
      </c>
    </row>
    <row r="1153" spans="70:100" x14ac:dyDescent="0.25">
      <c r="BR1153" s="347"/>
      <c r="CM1153" s="361"/>
      <c r="CV1153" s="337">
        <f t="shared" si="222"/>
        <v>0</v>
      </c>
    </row>
    <row r="1154" spans="70:100" x14ac:dyDescent="0.25">
      <c r="CM1154" s="361"/>
      <c r="CV1154" s="337">
        <f t="shared" si="222"/>
        <v>0</v>
      </c>
    </row>
    <row r="1155" spans="70:100" x14ac:dyDescent="0.25">
      <c r="CM1155" s="361"/>
      <c r="CV1155" s="337">
        <f t="shared" si="222"/>
        <v>0</v>
      </c>
    </row>
    <row r="1156" spans="70:100" x14ac:dyDescent="0.25">
      <c r="CM1156" s="361"/>
      <c r="CV1156" s="337">
        <f t="shared" si="222"/>
        <v>0</v>
      </c>
    </row>
    <row r="1157" spans="70:100" x14ac:dyDescent="0.25">
      <c r="CM1157" s="361"/>
      <c r="CV1157" s="337">
        <f t="shared" si="222"/>
        <v>0</v>
      </c>
    </row>
    <row r="1158" spans="70:100" x14ac:dyDescent="0.25">
      <c r="CM1158" s="361"/>
      <c r="CV1158" s="337">
        <f t="shared" si="222"/>
        <v>0</v>
      </c>
    </row>
    <row r="1159" spans="70:100" x14ac:dyDescent="0.25">
      <c r="CM1159" s="361"/>
      <c r="CV1159" s="337">
        <f t="shared" si="222"/>
        <v>0</v>
      </c>
    </row>
    <row r="1160" spans="70:100" x14ac:dyDescent="0.25">
      <c r="CM1160" s="361"/>
      <c r="CV1160" s="337">
        <f t="shared" si="222"/>
        <v>0</v>
      </c>
    </row>
    <row r="1161" spans="70:100" x14ac:dyDescent="0.25">
      <c r="CM1161" s="361"/>
      <c r="CV1161" s="337">
        <f t="shared" si="222"/>
        <v>0</v>
      </c>
    </row>
    <row r="1162" spans="70:100" x14ac:dyDescent="0.25">
      <c r="CM1162" s="361"/>
      <c r="CV1162" s="337">
        <f t="shared" si="222"/>
        <v>0</v>
      </c>
    </row>
    <row r="1163" spans="70:100" x14ac:dyDescent="0.25">
      <c r="CM1163" s="361"/>
      <c r="CV1163" s="337">
        <f t="shared" si="222"/>
        <v>0</v>
      </c>
    </row>
    <row r="1164" spans="70:100" x14ac:dyDescent="0.25">
      <c r="CM1164" s="361"/>
      <c r="CV1164" s="337">
        <f t="shared" si="222"/>
        <v>0</v>
      </c>
    </row>
    <row r="1165" spans="70:100" x14ac:dyDescent="0.25">
      <c r="CM1165" s="361"/>
      <c r="CV1165" s="337">
        <f t="shared" si="222"/>
        <v>0</v>
      </c>
    </row>
    <row r="1166" spans="70:100" x14ac:dyDescent="0.25">
      <c r="CM1166" s="361"/>
      <c r="CV1166" s="337">
        <f t="shared" si="222"/>
        <v>0</v>
      </c>
    </row>
    <row r="1167" spans="70:100" x14ac:dyDescent="0.25">
      <c r="CM1167" s="361"/>
      <c r="CV1167" s="337">
        <f t="shared" si="222"/>
        <v>0</v>
      </c>
    </row>
    <row r="1168" spans="70:100" x14ac:dyDescent="0.25">
      <c r="CM1168" s="361"/>
      <c r="CV1168" s="337">
        <f t="shared" si="222"/>
        <v>0</v>
      </c>
    </row>
    <row r="1169" spans="91:100" x14ac:dyDescent="0.25">
      <c r="CM1169" s="361"/>
      <c r="CV1169" s="337">
        <f t="shared" si="222"/>
        <v>0</v>
      </c>
    </row>
    <row r="1170" spans="91:100" x14ac:dyDescent="0.25">
      <c r="CM1170" s="361"/>
      <c r="CV1170" s="337">
        <f t="shared" si="222"/>
        <v>0</v>
      </c>
    </row>
    <row r="1171" spans="91:100" x14ac:dyDescent="0.25">
      <c r="CM1171" s="361"/>
      <c r="CV1171" s="337">
        <f t="shared" si="222"/>
        <v>0</v>
      </c>
    </row>
    <row r="1172" spans="91:100" x14ac:dyDescent="0.25">
      <c r="CM1172" s="361"/>
      <c r="CV1172" s="337">
        <f t="shared" si="222"/>
        <v>0</v>
      </c>
    </row>
    <row r="1173" spans="91:100" x14ac:dyDescent="0.25">
      <c r="CM1173" s="361"/>
      <c r="CV1173" s="337">
        <f t="shared" si="222"/>
        <v>0</v>
      </c>
    </row>
    <row r="1174" spans="91:100" x14ac:dyDescent="0.25">
      <c r="CM1174" s="361"/>
      <c r="CV1174" s="337">
        <f t="shared" si="222"/>
        <v>0</v>
      </c>
    </row>
    <row r="1175" spans="91:100" x14ac:dyDescent="0.25">
      <c r="CM1175" s="361"/>
      <c r="CV1175" s="337">
        <f t="shared" si="222"/>
        <v>0</v>
      </c>
    </row>
    <row r="1176" spans="91:100" x14ac:dyDescent="0.25">
      <c r="CM1176" s="361"/>
      <c r="CV1176" s="337">
        <f t="shared" ref="CV1176:CV1239" si="223">ROUND($CR$5*CO1176*CN1176/365,1)</f>
        <v>0</v>
      </c>
    </row>
    <row r="1177" spans="91:100" x14ac:dyDescent="0.25">
      <c r="CM1177" s="361"/>
      <c r="CV1177" s="337">
        <f t="shared" si="223"/>
        <v>0</v>
      </c>
    </row>
    <row r="1178" spans="91:100" x14ac:dyDescent="0.25">
      <c r="CM1178" s="361"/>
      <c r="CV1178" s="337">
        <f t="shared" si="223"/>
        <v>0</v>
      </c>
    </row>
    <row r="1179" spans="91:100" x14ac:dyDescent="0.25">
      <c r="CM1179" s="361"/>
      <c r="CV1179" s="337">
        <f t="shared" si="223"/>
        <v>0</v>
      </c>
    </row>
    <row r="1180" spans="91:100" x14ac:dyDescent="0.25">
      <c r="CM1180" s="361"/>
      <c r="CV1180" s="337">
        <f t="shared" si="223"/>
        <v>0</v>
      </c>
    </row>
    <row r="1181" spans="91:100" x14ac:dyDescent="0.25">
      <c r="CM1181" s="361"/>
      <c r="CV1181" s="337">
        <f t="shared" si="223"/>
        <v>0</v>
      </c>
    </row>
    <row r="1182" spans="91:100" x14ac:dyDescent="0.25">
      <c r="CM1182" s="361"/>
      <c r="CV1182" s="337">
        <f t="shared" si="223"/>
        <v>0</v>
      </c>
    </row>
    <row r="1183" spans="91:100" x14ac:dyDescent="0.25">
      <c r="CM1183" s="361"/>
      <c r="CV1183" s="337">
        <f t="shared" si="223"/>
        <v>0</v>
      </c>
    </row>
    <row r="1184" spans="91:100" x14ac:dyDescent="0.25">
      <c r="CM1184" s="361"/>
      <c r="CV1184" s="337">
        <f t="shared" si="223"/>
        <v>0</v>
      </c>
    </row>
    <row r="1185" spans="91:100" x14ac:dyDescent="0.25">
      <c r="CM1185" s="361"/>
      <c r="CV1185" s="337">
        <f t="shared" si="223"/>
        <v>0</v>
      </c>
    </row>
    <row r="1186" spans="91:100" x14ac:dyDescent="0.25">
      <c r="CM1186" s="361"/>
      <c r="CV1186" s="337">
        <f t="shared" si="223"/>
        <v>0</v>
      </c>
    </row>
    <row r="1187" spans="91:100" x14ac:dyDescent="0.25">
      <c r="CM1187" s="361"/>
      <c r="CV1187" s="337">
        <f t="shared" si="223"/>
        <v>0</v>
      </c>
    </row>
    <row r="1188" spans="91:100" x14ac:dyDescent="0.25">
      <c r="CM1188" s="361"/>
      <c r="CV1188" s="337">
        <f t="shared" si="223"/>
        <v>0</v>
      </c>
    </row>
    <row r="1189" spans="91:100" x14ac:dyDescent="0.25">
      <c r="CM1189" s="361"/>
      <c r="CV1189" s="337">
        <f t="shared" si="223"/>
        <v>0</v>
      </c>
    </row>
    <row r="1190" spans="91:100" x14ac:dyDescent="0.25">
      <c r="CM1190" s="361"/>
      <c r="CV1190" s="337">
        <f t="shared" si="223"/>
        <v>0</v>
      </c>
    </row>
    <row r="1191" spans="91:100" x14ac:dyDescent="0.25">
      <c r="CM1191" s="361"/>
      <c r="CV1191" s="337">
        <f t="shared" si="223"/>
        <v>0</v>
      </c>
    </row>
    <row r="1192" spans="91:100" x14ac:dyDescent="0.25">
      <c r="CM1192" s="361"/>
      <c r="CV1192" s="337">
        <f t="shared" si="223"/>
        <v>0</v>
      </c>
    </row>
    <row r="1193" spans="91:100" x14ac:dyDescent="0.25">
      <c r="CM1193" s="361"/>
      <c r="CV1193" s="337">
        <f t="shared" si="223"/>
        <v>0</v>
      </c>
    </row>
    <row r="1194" spans="91:100" x14ac:dyDescent="0.25">
      <c r="CM1194" s="361"/>
      <c r="CV1194" s="337">
        <f t="shared" si="223"/>
        <v>0</v>
      </c>
    </row>
    <row r="1195" spans="91:100" x14ac:dyDescent="0.25">
      <c r="CM1195" s="361"/>
      <c r="CV1195" s="337">
        <f t="shared" si="223"/>
        <v>0</v>
      </c>
    </row>
    <row r="1196" spans="91:100" x14ac:dyDescent="0.25">
      <c r="CM1196" s="361"/>
      <c r="CV1196" s="337">
        <f t="shared" si="223"/>
        <v>0</v>
      </c>
    </row>
    <row r="1197" spans="91:100" x14ac:dyDescent="0.25">
      <c r="CM1197" s="361"/>
      <c r="CV1197" s="337">
        <f t="shared" si="223"/>
        <v>0</v>
      </c>
    </row>
    <row r="1198" spans="91:100" x14ac:dyDescent="0.25">
      <c r="CM1198" s="361"/>
      <c r="CV1198" s="337">
        <f t="shared" si="223"/>
        <v>0</v>
      </c>
    </row>
    <row r="1199" spans="91:100" x14ac:dyDescent="0.25">
      <c r="CM1199" s="361"/>
      <c r="CV1199" s="337">
        <f t="shared" si="223"/>
        <v>0</v>
      </c>
    </row>
    <row r="1200" spans="91:100" x14ac:dyDescent="0.25">
      <c r="CM1200" s="361"/>
      <c r="CV1200" s="337">
        <f t="shared" si="223"/>
        <v>0</v>
      </c>
    </row>
    <row r="1201" spans="91:100" x14ac:dyDescent="0.25">
      <c r="CM1201" s="361"/>
      <c r="CV1201" s="337">
        <f t="shared" si="223"/>
        <v>0</v>
      </c>
    </row>
    <row r="1202" spans="91:100" x14ac:dyDescent="0.25">
      <c r="CM1202" s="361"/>
      <c r="CV1202" s="337">
        <f t="shared" si="223"/>
        <v>0</v>
      </c>
    </row>
    <row r="1203" spans="91:100" x14ac:dyDescent="0.25">
      <c r="CM1203" s="361"/>
      <c r="CV1203" s="337">
        <f t="shared" si="223"/>
        <v>0</v>
      </c>
    </row>
    <row r="1204" spans="91:100" x14ac:dyDescent="0.25">
      <c r="CM1204" s="361"/>
      <c r="CV1204" s="337">
        <f t="shared" si="223"/>
        <v>0</v>
      </c>
    </row>
    <row r="1205" spans="91:100" x14ac:dyDescent="0.25">
      <c r="CM1205" s="361"/>
      <c r="CV1205" s="337">
        <f t="shared" si="223"/>
        <v>0</v>
      </c>
    </row>
    <row r="1206" spans="91:100" x14ac:dyDescent="0.25">
      <c r="CM1206" s="361"/>
      <c r="CV1206" s="337">
        <f t="shared" si="223"/>
        <v>0</v>
      </c>
    </row>
    <row r="1207" spans="91:100" x14ac:dyDescent="0.25">
      <c r="CM1207" s="361"/>
      <c r="CV1207" s="337">
        <f t="shared" si="223"/>
        <v>0</v>
      </c>
    </row>
    <row r="1208" spans="91:100" x14ac:dyDescent="0.25">
      <c r="CM1208" s="361"/>
      <c r="CV1208" s="337">
        <f t="shared" si="223"/>
        <v>0</v>
      </c>
    </row>
    <row r="1209" spans="91:100" x14ac:dyDescent="0.25">
      <c r="CM1209" s="361"/>
      <c r="CV1209" s="337">
        <f t="shared" si="223"/>
        <v>0</v>
      </c>
    </row>
    <row r="1210" spans="91:100" x14ac:dyDescent="0.25">
      <c r="CM1210" s="361"/>
      <c r="CV1210" s="337">
        <f t="shared" si="223"/>
        <v>0</v>
      </c>
    </row>
    <row r="1211" spans="91:100" x14ac:dyDescent="0.25">
      <c r="CM1211" s="361"/>
      <c r="CV1211" s="337">
        <f t="shared" si="223"/>
        <v>0</v>
      </c>
    </row>
    <row r="1212" spans="91:100" x14ac:dyDescent="0.25">
      <c r="CM1212" s="361"/>
      <c r="CV1212" s="337">
        <f t="shared" si="223"/>
        <v>0</v>
      </c>
    </row>
    <row r="1213" spans="91:100" x14ac:dyDescent="0.25">
      <c r="CM1213" s="361"/>
      <c r="CV1213" s="337">
        <f t="shared" si="223"/>
        <v>0</v>
      </c>
    </row>
    <row r="1214" spans="91:100" x14ac:dyDescent="0.25">
      <c r="CM1214" s="361"/>
      <c r="CV1214" s="337">
        <f t="shared" si="223"/>
        <v>0</v>
      </c>
    </row>
    <row r="1215" spans="91:100" x14ac:dyDescent="0.25">
      <c r="CM1215" s="361"/>
      <c r="CV1215" s="337">
        <f t="shared" si="223"/>
        <v>0</v>
      </c>
    </row>
    <row r="1216" spans="91:100" x14ac:dyDescent="0.25">
      <c r="CM1216" s="361"/>
      <c r="CV1216" s="337">
        <f t="shared" si="223"/>
        <v>0</v>
      </c>
    </row>
    <row r="1217" spans="91:100" x14ac:dyDescent="0.25">
      <c r="CM1217" s="361"/>
      <c r="CV1217" s="337">
        <f t="shared" si="223"/>
        <v>0</v>
      </c>
    </row>
    <row r="1218" spans="91:100" x14ac:dyDescent="0.25">
      <c r="CM1218" s="361"/>
      <c r="CV1218" s="337">
        <f t="shared" si="223"/>
        <v>0</v>
      </c>
    </row>
    <row r="1219" spans="91:100" x14ac:dyDescent="0.25">
      <c r="CM1219" s="361"/>
      <c r="CV1219" s="337">
        <f t="shared" si="223"/>
        <v>0</v>
      </c>
    </row>
    <row r="1220" spans="91:100" x14ac:dyDescent="0.25">
      <c r="CM1220" s="361"/>
      <c r="CV1220" s="337">
        <f t="shared" si="223"/>
        <v>0</v>
      </c>
    </row>
    <row r="1221" spans="91:100" x14ac:dyDescent="0.25">
      <c r="CM1221" s="361"/>
      <c r="CV1221" s="337">
        <f t="shared" si="223"/>
        <v>0</v>
      </c>
    </row>
    <row r="1222" spans="91:100" x14ac:dyDescent="0.25">
      <c r="CM1222" s="361"/>
      <c r="CV1222" s="337">
        <f t="shared" si="223"/>
        <v>0</v>
      </c>
    </row>
    <row r="1223" spans="91:100" x14ac:dyDescent="0.25">
      <c r="CM1223" s="361"/>
      <c r="CV1223" s="337">
        <f t="shared" si="223"/>
        <v>0</v>
      </c>
    </row>
    <row r="1224" spans="91:100" x14ac:dyDescent="0.25">
      <c r="CM1224" s="361"/>
      <c r="CV1224" s="337">
        <f t="shared" si="223"/>
        <v>0</v>
      </c>
    </row>
    <row r="1225" spans="91:100" x14ac:dyDescent="0.25">
      <c r="CM1225" s="361"/>
      <c r="CV1225" s="337">
        <f t="shared" si="223"/>
        <v>0</v>
      </c>
    </row>
    <row r="1226" spans="91:100" x14ac:dyDescent="0.25">
      <c r="CM1226" s="361"/>
      <c r="CV1226" s="337">
        <f t="shared" si="223"/>
        <v>0</v>
      </c>
    </row>
    <row r="1227" spans="91:100" x14ac:dyDescent="0.25">
      <c r="CM1227" s="361"/>
      <c r="CV1227" s="337">
        <f t="shared" si="223"/>
        <v>0</v>
      </c>
    </row>
    <row r="1228" spans="91:100" x14ac:dyDescent="0.25">
      <c r="CM1228" s="361"/>
      <c r="CV1228" s="337">
        <f t="shared" si="223"/>
        <v>0</v>
      </c>
    </row>
    <row r="1229" spans="91:100" x14ac:dyDescent="0.25">
      <c r="CM1229" s="361"/>
      <c r="CV1229" s="337">
        <f t="shared" si="223"/>
        <v>0</v>
      </c>
    </row>
    <row r="1230" spans="91:100" x14ac:dyDescent="0.25">
      <c r="CM1230" s="361"/>
      <c r="CV1230" s="337">
        <f t="shared" si="223"/>
        <v>0</v>
      </c>
    </row>
    <row r="1231" spans="91:100" x14ac:dyDescent="0.25">
      <c r="CM1231" s="361"/>
      <c r="CV1231" s="337">
        <f t="shared" si="223"/>
        <v>0</v>
      </c>
    </row>
    <row r="1232" spans="91:100" x14ac:dyDescent="0.25">
      <c r="CM1232" s="361"/>
      <c r="CV1232" s="337">
        <f t="shared" si="223"/>
        <v>0</v>
      </c>
    </row>
    <row r="1233" spans="91:100" x14ac:dyDescent="0.25">
      <c r="CM1233" s="361"/>
      <c r="CV1233" s="337">
        <f t="shared" si="223"/>
        <v>0</v>
      </c>
    </row>
    <row r="1234" spans="91:100" x14ac:dyDescent="0.25">
      <c r="CM1234" s="361"/>
      <c r="CV1234" s="337">
        <f t="shared" si="223"/>
        <v>0</v>
      </c>
    </row>
    <row r="1235" spans="91:100" x14ac:dyDescent="0.25">
      <c r="CM1235" s="361"/>
      <c r="CV1235" s="337">
        <f t="shared" si="223"/>
        <v>0</v>
      </c>
    </row>
    <row r="1236" spans="91:100" x14ac:dyDescent="0.25">
      <c r="CM1236" s="361"/>
      <c r="CV1236" s="337">
        <f t="shared" si="223"/>
        <v>0</v>
      </c>
    </row>
    <row r="1237" spans="91:100" x14ac:dyDescent="0.25">
      <c r="CM1237" s="361"/>
      <c r="CV1237" s="337">
        <f t="shared" si="223"/>
        <v>0</v>
      </c>
    </row>
    <row r="1238" spans="91:100" x14ac:dyDescent="0.25">
      <c r="CM1238" s="361"/>
      <c r="CV1238" s="337">
        <f t="shared" si="223"/>
        <v>0</v>
      </c>
    </row>
    <row r="1239" spans="91:100" x14ac:dyDescent="0.25">
      <c r="CM1239" s="361"/>
      <c r="CV1239" s="337">
        <f t="shared" si="223"/>
        <v>0</v>
      </c>
    </row>
    <row r="1240" spans="91:100" x14ac:dyDescent="0.25">
      <c r="CM1240" s="361"/>
      <c r="CV1240" s="337">
        <f t="shared" ref="CV1240:CV1303" si="224">ROUND($CR$5*CO1240*CN1240/365,1)</f>
        <v>0</v>
      </c>
    </row>
    <row r="1241" spans="91:100" x14ac:dyDescent="0.25">
      <c r="CM1241" s="361"/>
      <c r="CV1241" s="337">
        <f t="shared" si="224"/>
        <v>0</v>
      </c>
    </row>
    <row r="1242" spans="91:100" x14ac:dyDescent="0.25">
      <c r="CM1242" s="361"/>
      <c r="CV1242" s="337">
        <f t="shared" si="224"/>
        <v>0</v>
      </c>
    </row>
    <row r="1243" spans="91:100" x14ac:dyDescent="0.25">
      <c r="CM1243" s="361"/>
      <c r="CV1243" s="337">
        <f t="shared" si="224"/>
        <v>0</v>
      </c>
    </row>
    <row r="1244" spans="91:100" x14ac:dyDescent="0.25">
      <c r="CM1244" s="361"/>
      <c r="CV1244" s="337">
        <f t="shared" si="224"/>
        <v>0</v>
      </c>
    </row>
    <row r="1245" spans="91:100" x14ac:dyDescent="0.25">
      <c r="CM1245" s="361"/>
      <c r="CV1245" s="337">
        <f t="shared" si="224"/>
        <v>0</v>
      </c>
    </row>
    <row r="1246" spans="91:100" x14ac:dyDescent="0.25">
      <c r="CM1246" s="361"/>
      <c r="CV1246" s="337">
        <f t="shared" si="224"/>
        <v>0</v>
      </c>
    </row>
    <row r="1247" spans="91:100" x14ac:dyDescent="0.25">
      <c r="CM1247" s="361"/>
      <c r="CV1247" s="337">
        <f t="shared" si="224"/>
        <v>0</v>
      </c>
    </row>
    <row r="1248" spans="91:100" x14ac:dyDescent="0.25">
      <c r="CM1248" s="361"/>
      <c r="CV1248" s="337">
        <f t="shared" si="224"/>
        <v>0</v>
      </c>
    </row>
    <row r="1249" spans="91:100" x14ac:dyDescent="0.25">
      <c r="CM1249" s="361"/>
      <c r="CV1249" s="337">
        <f t="shared" si="224"/>
        <v>0</v>
      </c>
    </row>
    <row r="1250" spans="91:100" x14ac:dyDescent="0.25">
      <c r="CM1250" s="361"/>
      <c r="CV1250" s="337">
        <f t="shared" si="224"/>
        <v>0</v>
      </c>
    </row>
    <row r="1251" spans="91:100" x14ac:dyDescent="0.25">
      <c r="CM1251" s="361"/>
      <c r="CV1251" s="337">
        <f t="shared" si="224"/>
        <v>0</v>
      </c>
    </row>
    <row r="1252" spans="91:100" x14ac:dyDescent="0.25">
      <c r="CM1252" s="361"/>
      <c r="CV1252" s="337">
        <f t="shared" si="224"/>
        <v>0</v>
      </c>
    </row>
    <row r="1253" spans="91:100" x14ac:dyDescent="0.25">
      <c r="CM1253" s="361"/>
      <c r="CV1253" s="337">
        <f t="shared" si="224"/>
        <v>0</v>
      </c>
    </row>
    <row r="1254" spans="91:100" x14ac:dyDescent="0.25">
      <c r="CM1254" s="361"/>
      <c r="CV1254" s="337">
        <f t="shared" si="224"/>
        <v>0</v>
      </c>
    </row>
    <row r="1255" spans="91:100" x14ac:dyDescent="0.25">
      <c r="CM1255" s="361"/>
      <c r="CV1255" s="337">
        <f t="shared" si="224"/>
        <v>0</v>
      </c>
    </row>
    <row r="1256" spans="91:100" x14ac:dyDescent="0.25">
      <c r="CM1256" s="361"/>
      <c r="CV1256" s="337">
        <f t="shared" si="224"/>
        <v>0</v>
      </c>
    </row>
    <row r="1257" spans="91:100" x14ac:dyDescent="0.25">
      <c r="CM1257" s="361"/>
      <c r="CV1257" s="337">
        <f t="shared" si="224"/>
        <v>0</v>
      </c>
    </row>
    <row r="1258" spans="91:100" x14ac:dyDescent="0.25">
      <c r="CM1258" s="361"/>
      <c r="CV1258" s="337">
        <f t="shared" si="224"/>
        <v>0</v>
      </c>
    </row>
    <row r="1259" spans="91:100" x14ac:dyDescent="0.25">
      <c r="CM1259" s="361"/>
      <c r="CV1259" s="337">
        <f t="shared" si="224"/>
        <v>0</v>
      </c>
    </row>
    <row r="1260" spans="91:100" x14ac:dyDescent="0.25">
      <c r="CM1260" s="361"/>
      <c r="CV1260" s="337">
        <f t="shared" si="224"/>
        <v>0</v>
      </c>
    </row>
    <row r="1261" spans="91:100" x14ac:dyDescent="0.25">
      <c r="CM1261" s="361"/>
      <c r="CV1261" s="337">
        <f t="shared" si="224"/>
        <v>0</v>
      </c>
    </row>
    <row r="1262" spans="91:100" x14ac:dyDescent="0.25">
      <c r="CM1262" s="361"/>
      <c r="CV1262" s="337">
        <f t="shared" si="224"/>
        <v>0</v>
      </c>
    </row>
    <row r="1263" spans="91:100" x14ac:dyDescent="0.25">
      <c r="CM1263" s="361"/>
      <c r="CV1263" s="337">
        <f t="shared" si="224"/>
        <v>0</v>
      </c>
    </row>
    <row r="1264" spans="91:100" x14ac:dyDescent="0.25">
      <c r="CM1264" s="361"/>
      <c r="CV1264" s="337">
        <f t="shared" si="224"/>
        <v>0</v>
      </c>
    </row>
    <row r="1265" spans="91:100" x14ac:dyDescent="0.25">
      <c r="CM1265" s="361"/>
      <c r="CV1265" s="337">
        <f t="shared" si="224"/>
        <v>0</v>
      </c>
    </row>
    <row r="1266" spans="91:100" x14ac:dyDescent="0.25">
      <c r="CM1266" s="361"/>
      <c r="CV1266" s="337">
        <f t="shared" si="224"/>
        <v>0</v>
      </c>
    </row>
    <row r="1267" spans="91:100" x14ac:dyDescent="0.25">
      <c r="CM1267" s="361"/>
      <c r="CV1267" s="337">
        <f t="shared" si="224"/>
        <v>0</v>
      </c>
    </row>
    <row r="1268" spans="91:100" x14ac:dyDescent="0.25">
      <c r="CM1268" s="361"/>
      <c r="CV1268" s="337">
        <f t="shared" si="224"/>
        <v>0</v>
      </c>
    </row>
    <row r="1269" spans="91:100" x14ac:dyDescent="0.25">
      <c r="CM1269" s="361"/>
      <c r="CV1269" s="337">
        <f t="shared" si="224"/>
        <v>0</v>
      </c>
    </row>
    <row r="1270" spans="91:100" x14ac:dyDescent="0.25">
      <c r="CM1270" s="361"/>
      <c r="CV1270" s="337">
        <f t="shared" si="224"/>
        <v>0</v>
      </c>
    </row>
    <row r="1271" spans="91:100" x14ac:dyDescent="0.25">
      <c r="CM1271" s="361"/>
      <c r="CV1271" s="337">
        <f t="shared" si="224"/>
        <v>0</v>
      </c>
    </row>
    <row r="1272" spans="91:100" x14ac:dyDescent="0.25">
      <c r="CM1272" s="361"/>
      <c r="CV1272" s="337">
        <f t="shared" si="224"/>
        <v>0</v>
      </c>
    </row>
    <row r="1273" spans="91:100" x14ac:dyDescent="0.25">
      <c r="CM1273" s="361"/>
      <c r="CV1273" s="337">
        <f t="shared" si="224"/>
        <v>0</v>
      </c>
    </row>
    <row r="1274" spans="91:100" x14ac:dyDescent="0.25">
      <c r="CM1274" s="361"/>
      <c r="CV1274" s="337">
        <f t="shared" si="224"/>
        <v>0</v>
      </c>
    </row>
    <row r="1275" spans="91:100" x14ac:dyDescent="0.25">
      <c r="CM1275" s="361"/>
      <c r="CV1275" s="337">
        <f t="shared" si="224"/>
        <v>0</v>
      </c>
    </row>
    <row r="1276" spans="91:100" x14ac:dyDescent="0.25">
      <c r="CM1276" s="361"/>
      <c r="CV1276" s="337">
        <f t="shared" si="224"/>
        <v>0</v>
      </c>
    </row>
    <row r="1277" spans="91:100" x14ac:dyDescent="0.25">
      <c r="CM1277" s="361"/>
      <c r="CV1277" s="337">
        <f t="shared" si="224"/>
        <v>0</v>
      </c>
    </row>
    <row r="1278" spans="91:100" x14ac:dyDescent="0.25">
      <c r="CM1278" s="361"/>
      <c r="CV1278" s="337">
        <f t="shared" si="224"/>
        <v>0</v>
      </c>
    </row>
    <row r="1279" spans="91:100" x14ac:dyDescent="0.25">
      <c r="CM1279" s="361"/>
      <c r="CV1279" s="337">
        <f t="shared" si="224"/>
        <v>0</v>
      </c>
    </row>
    <row r="1280" spans="91:100" x14ac:dyDescent="0.25">
      <c r="CM1280" s="361"/>
      <c r="CV1280" s="337">
        <f t="shared" si="224"/>
        <v>0</v>
      </c>
    </row>
    <row r="1281" spans="91:100" x14ac:dyDescent="0.25">
      <c r="CM1281" s="361"/>
      <c r="CV1281" s="337">
        <f t="shared" si="224"/>
        <v>0</v>
      </c>
    </row>
    <row r="1282" spans="91:100" x14ac:dyDescent="0.25">
      <c r="CM1282" s="361"/>
      <c r="CV1282" s="337">
        <f t="shared" si="224"/>
        <v>0</v>
      </c>
    </row>
    <row r="1283" spans="91:100" x14ac:dyDescent="0.25">
      <c r="CM1283" s="361"/>
      <c r="CV1283" s="337">
        <f t="shared" si="224"/>
        <v>0</v>
      </c>
    </row>
    <row r="1284" spans="91:100" x14ac:dyDescent="0.25">
      <c r="CM1284" s="361"/>
      <c r="CV1284" s="337">
        <f t="shared" si="224"/>
        <v>0</v>
      </c>
    </row>
    <row r="1285" spans="91:100" x14ac:dyDescent="0.25">
      <c r="CM1285" s="361"/>
      <c r="CV1285" s="337">
        <f t="shared" si="224"/>
        <v>0</v>
      </c>
    </row>
    <row r="1286" spans="91:100" x14ac:dyDescent="0.25">
      <c r="CM1286" s="361"/>
      <c r="CV1286" s="337">
        <f t="shared" si="224"/>
        <v>0</v>
      </c>
    </row>
    <row r="1287" spans="91:100" x14ac:dyDescent="0.25">
      <c r="CM1287" s="361"/>
      <c r="CV1287" s="337">
        <f t="shared" si="224"/>
        <v>0</v>
      </c>
    </row>
    <row r="1288" spans="91:100" x14ac:dyDescent="0.25">
      <c r="CM1288" s="361"/>
      <c r="CV1288" s="337">
        <f t="shared" si="224"/>
        <v>0</v>
      </c>
    </row>
    <row r="1289" spans="91:100" x14ac:dyDescent="0.25">
      <c r="CM1289" s="361"/>
      <c r="CV1289" s="337">
        <f t="shared" si="224"/>
        <v>0</v>
      </c>
    </row>
    <row r="1290" spans="91:100" x14ac:dyDescent="0.25">
      <c r="CM1290" s="361"/>
      <c r="CV1290" s="337">
        <f t="shared" si="224"/>
        <v>0</v>
      </c>
    </row>
    <row r="1291" spans="91:100" x14ac:dyDescent="0.25">
      <c r="CM1291" s="361"/>
      <c r="CV1291" s="337">
        <f t="shared" si="224"/>
        <v>0</v>
      </c>
    </row>
    <row r="1292" spans="91:100" x14ac:dyDescent="0.25">
      <c r="CM1292" s="361"/>
      <c r="CV1292" s="337">
        <f t="shared" si="224"/>
        <v>0</v>
      </c>
    </row>
    <row r="1293" spans="91:100" x14ac:dyDescent="0.25">
      <c r="CM1293" s="361"/>
      <c r="CV1293" s="337">
        <f t="shared" si="224"/>
        <v>0</v>
      </c>
    </row>
    <row r="1294" spans="91:100" x14ac:dyDescent="0.25">
      <c r="CM1294" s="361"/>
      <c r="CV1294" s="337">
        <f t="shared" si="224"/>
        <v>0</v>
      </c>
    </row>
    <row r="1295" spans="91:100" x14ac:dyDescent="0.25">
      <c r="CM1295" s="361"/>
      <c r="CV1295" s="337">
        <f t="shared" si="224"/>
        <v>0</v>
      </c>
    </row>
    <row r="1296" spans="91:100" x14ac:dyDescent="0.25">
      <c r="CM1296" s="361"/>
      <c r="CV1296" s="337">
        <f t="shared" si="224"/>
        <v>0</v>
      </c>
    </row>
    <row r="1297" spans="91:100" x14ac:dyDescent="0.25">
      <c r="CM1297" s="361"/>
      <c r="CV1297" s="337">
        <f t="shared" si="224"/>
        <v>0</v>
      </c>
    </row>
    <row r="1298" spans="91:100" x14ac:dyDescent="0.25">
      <c r="CM1298" s="361"/>
      <c r="CV1298" s="337">
        <f t="shared" si="224"/>
        <v>0</v>
      </c>
    </row>
    <row r="1299" spans="91:100" x14ac:dyDescent="0.25">
      <c r="CM1299" s="361"/>
      <c r="CV1299" s="337">
        <f t="shared" si="224"/>
        <v>0</v>
      </c>
    </row>
    <row r="1300" spans="91:100" x14ac:dyDescent="0.25">
      <c r="CM1300" s="361"/>
      <c r="CV1300" s="337">
        <f t="shared" si="224"/>
        <v>0</v>
      </c>
    </row>
    <row r="1301" spans="91:100" x14ac:dyDescent="0.25">
      <c r="CM1301" s="361"/>
      <c r="CV1301" s="337">
        <f t="shared" si="224"/>
        <v>0</v>
      </c>
    </row>
    <row r="1302" spans="91:100" x14ac:dyDescent="0.25">
      <c r="CM1302" s="361"/>
      <c r="CV1302" s="337">
        <f t="shared" si="224"/>
        <v>0</v>
      </c>
    </row>
    <row r="1303" spans="91:100" x14ac:dyDescent="0.25">
      <c r="CM1303" s="361"/>
      <c r="CV1303" s="337">
        <f t="shared" si="224"/>
        <v>0</v>
      </c>
    </row>
    <row r="1304" spans="91:100" x14ac:dyDescent="0.25">
      <c r="CM1304" s="361"/>
      <c r="CV1304" s="337">
        <f t="shared" ref="CV1304:CV1367" si="225">ROUND($CR$5*CO1304*CN1304/365,1)</f>
        <v>0</v>
      </c>
    </row>
    <row r="1305" spans="91:100" x14ac:dyDescent="0.25">
      <c r="CM1305" s="361"/>
      <c r="CV1305" s="337">
        <f t="shared" si="225"/>
        <v>0</v>
      </c>
    </row>
    <row r="1306" spans="91:100" x14ac:dyDescent="0.25">
      <c r="CM1306" s="361"/>
      <c r="CV1306" s="337">
        <f t="shared" si="225"/>
        <v>0</v>
      </c>
    </row>
    <row r="1307" spans="91:100" x14ac:dyDescent="0.25">
      <c r="CM1307" s="361"/>
      <c r="CV1307" s="337">
        <f t="shared" si="225"/>
        <v>0</v>
      </c>
    </row>
    <row r="1308" spans="91:100" x14ac:dyDescent="0.25">
      <c r="CM1308" s="361"/>
      <c r="CV1308" s="337">
        <f t="shared" si="225"/>
        <v>0</v>
      </c>
    </row>
    <row r="1309" spans="91:100" x14ac:dyDescent="0.25">
      <c r="CM1309" s="361"/>
      <c r="CV1309" s="337">
        <f t="shared" si="225"/>
        <v>0</v>
      </c>
    </row>
    <row r="1310" spans="91:100" x14ac:dyDescent="0.25">
      <c r="CM1310" s="361"/>
      <c r="CV1310" s="337">
        <f t="shared" si="225"/>
        <v>0</v>
      </c>
    </row>
    <row r="1311" spans="91:100" x14ac:dyDescent="0.25">
      <c r="CM1311" s="361"/>
      <c r="CV1311" s="337">
        <f t="shared" si="225"/>
        <v>0</v>
      </c>
    </row>
    <row r="1312" spans="91:100" x14ac:dyDescent="0.25">
      <c r="CM1312" s="361"/>
      <c r="CV1312" s="337">
        <f t="shared" si="225"/>
        <v>0</v>
      </c>
    </row>
    <row r="1313" spans="91:100" x14ac:dyDescent="0.25">
      <c r="CM1313" s="361"/>
      <c r="CV1313" s="337">
        <f t="shared" si="225"/>
        <v>0</v>
      </c>
    </row>
    <row r="1314" spans="91:100" x14ac:dyDescent="0.25">
      <c r="CM1314" s="361"/>
      <c r="CV1314" s="337">
        <f t="shared" si="225"/>
        <v>0</v>
      </c>
    </row>
    <row r="1315" spans="91:100" x14ac:dyDescent="0.25">
      <c r="CM1315" s="361"/>
      <c r="CV1315" s="337">
        <f t="shared" si="225"/>
        <v>0</v>
      </c>
    </row>
    <row r="1316" spans="91:100" x14ac:dyDescent="0.25">
      <c r="CM1316" s="361"/>
      <c r="CV1316" s="337">
        <f t="shared" si="225"/>
        <v>0</v>
      </c>
    </row>
    <row r="1317" spans="91:100" x14ac:dyDescent="0.25">
      <c r="CM1317" s="361"/>
      <c r="CV1317" s="337">
        <f t="shared" si="225"/>
        <v>0</v>
      </c>
    </row>
    <row r="1318" spans="91:100" x14ac:dyDescent="0.25">
      <c r="CM1318" s="361"/>
      <c r="CV1318" s="337">
        <f t="shared" si="225"/>
        <v>0</v>
      </c>
    </row>
    <row r="1319" spans="91:100" x14ac:dyDescent="0.25">
      <c r="CM1319" s="361"/>
      <c r="CV1319" s="337">
        <f t="shared" si="225"/>
        <v>0</v>
      </c>
    </row>
    <row r="1320" spans="91:100" x14ac:dyDescent="0.25">
      <c r="CM1320" s="361"/>
      <c r="CV1320" s="337">
        <f t="shared" si="225"/>
        <v>0</v>
      </c>
    </row>
    <row r="1321" spans="91:100" x14ac:dyDescent="0.25">
      <c r="CM1321" s="361"/>
      <c r="CV1321" s="337">
        <f t="shared" si="225"/>
        <v>0</v>
      </c>
    </row>
    <row r="1322" spans="91:100" x14ac:dyDescent="0.25">
      <c r="CM1322" s="361"/>
      <c r="CV1322" s="337">
        <f t="shared" si="225"/>
        <v>0</v>
      </c>
    </row>
    <row r="1323" spans="91:100" x14ac:dyDescent="0.25">
      <c r="CM1323" s="361"/>
      <c r="CV1323" s="337">
        <f t="shared" si="225"/>
        <v>0</v>
      </c>
    </row>
    <row r="1324" spans="91:100" x14ac:dyDescent="0.25">
      <c r="CM1324" s="361"/>
      <c r="CV1324" s="337">
        <f t="shared" si="225"/>
        <v>0</v>
      </c>
    </row>
    <row r="1325" spans="91:100" x14ac:dyDescent="0.25">
      <c r="CM1325" s="361"/>
      <c r="CV1325" s="337">
        <f t="shared" si="225"/>
        <v>0</v>
      </c>
    </row>
    <row r="1326" spans="91:100" x14ac:dyDescent="0.25">
      <c r="CM1326" s="361"/>
      <c r="CV1326" s="337">
        <f t="shared" si="225"/>
        <v>0</v>
      </c>
    </row>
    <row r="1327" spans="91:100" x14ac:dyDescent="0.25">
      <c r="CM1327" s="361"/>
      <c r="CV1327" s="337">
        <f t="shared" si="225"/>
        <v>0</v>
      </c>
    </row>
    <row r="1328" spans="91:100" x14ac:dyDescent="0.25">
      <c r="CM1328" s="361"/>
      <c r="CV1328" s="337">
        <f t="shared" si="225"/>
        <v>0</v>
      </c>
    </row>
    <row r="1329" spans="91:100" x14ac:dyDescent="0.25">
      <c r="CM1329" s="361"/>
      <c r="CV1329" s="337">
        <f t="shared" si="225"/>
        <v>0</v>
      </c>
    </row>
    <row r="1330" spans="91:100" x14ac:dyDescent="0.25">
      <c r="CM1330" s="361"/>
      <c r="CV1330" s="337">
        <f t="shared" si="225"/>
        <v>0</v>
      </c>
    </row>
    <row r="1331" spans="91:100" x14ac:dyDescent="0.25">
      <c r="CM1331" s="361"/>
      <c r="CV1331" s="337">
        <f t="shared" si="225"/>
        <v>0</v>
      </c>
    </row>
    <row r="1332" spans="91:100" x14ac:dyDescent="0.25">
      <c r="CM1332" s="361"/>
      <c r="CV1332" s="337">
        <f t="shared" si="225"/>
        <v>0</v>
      </c>
    </row>
    <row r="1333" spans="91:100" x14ac:dyDescent="0.25">
      <c r="CM1333" s="361"/>
      <c r="CV1333" s="337">
        <f t="shared" si="225"/>
        <v>0</v>
      </c>
    </row>
    <row r="1334" spans="91:100" x14ac:dyDescent="0.25">
      <c r="CM1334" s="361"/>
      <c r="CV1334" s="337">
        <f t="shared" si="225"/>
        <v>0</v>
      </c>
    </row>
    <row r="1335" spans="91:100" x14ac:dyDescent="0.25">
      <c r="CM1335" s="361"/>
      <c r="CV1335" s="337">
        <f t="shared" si="225"/>
        <v>0</v>
      </c>
    </row>
    <row r="1336" spans="91:100" x14ac:dyDescent="0.25">
      <c r="CM1336" s="361"/>
      <c r="CV1336" s="337">
        <f t="shared" si="225"/>
        <v>0</v>
      </c>
    </row>
    <row r="1337" spans="91:100" x14ac:dyDescent="0.25">
      <c r="CM1337" s="361"/>
      <c r="CV1337" s="337">
        <f t="shared" si="225"/>
        <v>0</v>
      </c>
    </row>
    <row r="1338" spans="91:100" x14ac:dyDescent="0.25">
      <c r="CM1338" s="361"/>
      <c r="CV1338" s="337">
        <f t="shared" si="225"/>
        <v>0</v>
      </c>
    </row>
    <row r="1339" spans="91:100" x14ac:dyDescent="0.25">
      <c r="CM1339" s="361"/>
      <c r="CV1339" s="337">
        <f t="shared" si="225"/>
        <v>0</v>
      </c>
    </row>
    <row r="1340" spans="91:100" x14ac:dyDescent="0.25">
      <c r="CM1340" s="361"/>
      <c r="CV1340" s="337">
        <f t="shared" si="225"/>
        <v>0</v>
      </c>
    </row>
    <row r="1341" spans="91:100" x14ac:dyDescent="0.25">
      <c r="CM1341" s="361"/>
      <c r="CV1341" s="337">
        <f t="shared" si="225"/>
        <v>0</v>
      </c>
    </row>
    <row r="1342" spans="91:100" x14ac:dyDescent="0.25">
      <c r="CM1342" s="361"/>
      <c r="CV1342" s="337">
        <f t="shared" si="225"/>
        <v>0</v>
      </c>
    </row>
    <row r="1343" spans="91:100" x14ac:dyDescent="0.25">
      <c r="CM1343" s="361"/>
      <c r="CV1343" s="337">
        <f t="shared" si="225"/>
        <v>0</v>
      </c>
    </row>
    <row r="1344" spans="91:100" x14ac:dyDescent="0.25">
      <c r="CM1344" s="361"/>
      <c r="CV1344" s="337">
        <f t="shared" si="225"/>
        <v>0</v>
      </c>
    </row>
    <row r="1345" spans="91:100" x14ac:dyDescent="0.25">
      <c r="CM1345" s="361"/>
      <c r="CV1345" s="337">
        <f t="shared" si="225"/>
        <v>0</v>
      </c>
    </row>
    <row r="1346" spans="91:100" x14ac:dyDescent="0.25">
      <c r="CM1346" s="361"/>
      <c r="CV1346" s="337">
        <f t="shared" si="225"/>
        <v>0</v>
      </c>
    </row>
    <row r="1347" spans="91:100" x14ac:dyDescent="0.25">
      <c r="CM1347" s="361"/>
      <c r="CV1347" s="337">
        <f t="shared" si="225"/>
        <v>0</v>
      </c>
    </row>
    <row r="1348" spans="91:100" x14ac:dyDescent="0.25">
      <c r="CM1348" s="361"/>
      <c r="CV1348" s="337">
        <f t="shared" si="225"/>
        <v>0</v>
      </c>
    </row>
    <row r="1349" spans="91:100" x14ac:dyDescent="0.25">
      <c r="CM1349" s="361"/>
      <c r="CV1349" s="337">
        <f t="shared" si="225"/>
        <v>0</v>
      </c>
    </row>
    <row r="1350" spans="91:100" x14ac:dyDescent="0.25">
      <c r="CM1350" s="361"/>
      <c r="CV1350" s="337">
        <f t="shared" si="225"/>
        <v>0</v>
      </c>
    </row>
    <row r="1351" spans="91:100" x14ac:dyDescent="0.25">
      <c r="CM1351" s="361"/>
      <c r="CV1351" s="337">
        <f t="shared" si="225"/>
        <v>0</v>
      </c>
    </row>
    <row r="1352" spans="91:100" x14ac:dyDescent="0.25">
      <c r="CM1352" s="361"/>
      <c r="CV1352" s="337">
        <f t="shared" si="225"/>
        <v>0</v>
      </c>
    </row>
    <row r="1353" spans="91:100" x14ac:dyDescent="0.25">
      <c r="CM1353" s="361"/>
      <c r="CV1353" s="337">
        <f t="shared" si="225"/>
        <v>0</v>
      </c>
    </row>
    <row r="1354" spans="91:100" x14ac:dyDescent="0.25">
      <c r="CM1354" s="361"/>
      <c r="CV1354" s="337">
        <f t="shared" si="225"/>
        <v>0</v>
      </c>
    </row>
    <row r="1355" spans="91:100" x14ac:dyDescent="0.25">
      <c r="CM1355" s="361"/>
      <c r="CV1355" s="337">
        <f t="shared" si="225"/>
        <v>0</v>
      </c>
    </row>
    <row r="1356" spans="91:100" x14ac:dyDescent="0.25">
      <c r="CM1356" s="361"/>
      <c r="CV1356" s="337">
        <f t="shared" si="225"/>
        <v>0</v>
      </c>
    </row>
    <row r="1357" spans="91:100" x14ac:dyDescent="0.25">
      <c r="CM1357" s="361"/>
      <c r="CV1357" s="337">
        <f t="shared" si="225"/>
        <v>0</v>
      </c>
    </row>
    <row r="1358" spans="91:100" x14ac:dyDescent="0.25">
      <c r="CM1358" s="361"/>
      <c r="CV1358" s="337">
        <f t="shared" si="225"/>
        <v>0</v>
      </c>
    </row>
    <row r="1359" spans="91:100" x14ac:dyDescent="0.25">
      <c r="CM1359" s="361"/>
      <c r="CV1359" s="337">
        <f t="shared" si="225"/>
        <v>0</v>
      </c>
    </row>
    <row r="1360" spans="91:100" x14ac:dyDescent="0.25">
      <c r="CM1360" s="361"/>
      <c r="CV1360" s="337">
        <f t="shared" si="225"/>
        <v>0</v>
      </c>
    </row>
    <row r="1361" spans="91:100" x14ac:dyDescent="0.25">
      <c r="CM1361" s="361"/>
      <c r="CV1361" s="337">
        <f t="shared" si="225"/>
        <v>0</v>
      </c>
    </row>
    <row r="1362" spans="91:100" x14ac:dyDescent="0.25">
      <c r="CM1362" s="361"/>
      <c r="CV1362" s="337">
        <f t="shared" si="225"/>
        <v>0</v>
      </c>
    </row>
    <row r="1363" spans="91:100" x14ac:dyDescent="0.25">
      <c r="CM1363" s="361"/>
      <c r="CV1363" s="337">
        <f t="shared" si="225"/>
        <v>0</v>
      </c>
    </row>
    <row r="1364" spans="91:100" x14ac:dyDescent="0.25">
      <c r="CM1364" s="361"/>
      <c r="CV1364" s="337">
        <f t="shared" si="225"/>
        <v>0</v>
      </c>
    </row>
    <row r="1365" spans="91:100" x14ac:dyDescent="0.25">
      <c r="CM1365" s="361"/>
      <c r="CV1365" s="337">
        <f t="shared" si="225"/>
        <v>0</v>
      </c>
    </row>
    <row r="1366" spans="91:100" x14ac:dyDescent="0.25">
      <c r="CM1366" s="361"/>
      <c r="CV1366" s="337">
        <f t="shared" si="225"/>
        <v>0</v>
      </c>
    </row>
    <row r="1367" spans="91:100" x14ac:dyDescent="0.25">
      <c r="CM1367" s="361"/>
      <c r="CV1367" s="337">
        <f t="shared" si="225"/>
        <v>0</v>
      </c>
    </row>
    <row r="1368" spans="91:100" x14ac:dyDescent="0.25">
      <c r="CM1368" s="361"/>
      <c r="CV1368" s="337">
        <f t="shared" ref="CV1368:CV1431" si="226">ROUND($CR$5*CO1368*CN1368/365,1)</f>
        <v>0</v>
      </c>
    </row>
    <row r="1369" spans="91:100" x14ac:dyDescent="0.25">
      <c r="CM1369" s="361"/>
      <c r="CV1369" s="337">
        <f t="shared" si="226"/>
        <v>0</v>
      </c>
    </row>
    <row r="1370" spans="91:100" x14ac:dyDescent="0.25">
      <c r="CM1370" s="361"/>
      <c r="CV1370" s="337">
        <f t="shared" si="226"/>
        <v>0</v>
      </c>
    </row>
    <row r="1371" spans="91:100" x14ac:dyDescent="0.25">
      <c r="CM1371" s="361"/>
      <c r="CV1371" s="337">
        <f t="shared" si="226"/>
        <v>0</v>
      </c>
    </row>
    <row r="1372" spans="91:100" x14ac:dyDescent="0.25">
      <c r="CM1372" s="361"/>
      <c r="CV1372" s="337">
        <f t="shared" si="226"/>
        <v>0</v>
      </c>
    </row>
    <row r="1373" spans="91:100" x14ac:dyDescent="0.25">
      <c r="CM1373" s="361"/>
      <c r="CV1373" s="337">
        <f t="shared" si="226"/>
        <v>0</v>
      </c>
    </row>
    <row r="1374" spans="91:100" x14ac:dyDescent="0.25">
      <c r="CM1374" s="361"/>
      <c r="CV1374" s="337">
        <f t="shared" si="226"/>
        <v>0</v>
      </c>
    </row>
    <row r="1375" spans="91:100" x14ac:dyDescent="0.25">
      <c r="CM1375" s="361"/>
      <c r="CV1375" s="337">
        <f t="shared" si="226"/>
        <v>0</v>
      </c>
    </row>
    <row r="1376" spans="91:100" x14ac:dyDescent="0.25">
      <c r="CM1376" s="361"/>
      <c r="CV1376" s="337">
        <f t="shared" si="226"/>
        <v>0</v>
      </c>
    </row>
    <row r="1377" spans="91:100" x14ac:dyDescent="0.25">
      <c r="CM1377" s="361"/>
      <c r="CV1377" s="337">
        <f t="shared" si="226"/>
        <v>0</v>
      </c>
    </row>
    <row r="1378" spans="91:100" x14ac:dyDescent="0.25">
      <c r="CM1378" s="361"/>
      <c r="CV1378" s="337">
        <f t="shared" si="226"/>
        <v>0</v>
      </c>
    </row>
    <row r="1379" spans="91:100" x14ac:dyDescent="0.25">
      <c r="CM1379" s="361"/>
      <c r="CV1379" s="337">
        <f t="shared" si="226"/>
        <v>0</v>
      </c>
    </row>
    <row r="1380" spans="91:100" x14ac:dyDescent="0.25">
      <c r="CM1380" s="361"/>
      <c r="CV1380" s="337">
        <f t="shared" si="226"/>
        <v>0</v>
      </c>
    </row>
    <row r="1381" spans="91:100" x14ac:dyDescent="0.25">
      <c r="CM1381" s="361"/>
      <c r="CV1381" s="337">
        <f t="shared" si="226"/>
        <v>0</v>
      </c>
    </row>
    <row r="1382" spans="91:100" x14ac:dyDescent="0.25">
      <c r="CM1382" s="361"/>
      <c r="CV1382" s="337">
        <f t="shared" si="226"/>
        <v>0</v>
      </c>
    </row>
    <row r="1383" spans="91:100" x14ac:dyDescent="0.25">
      <c r="CM1383" s="361"/>
      <c r="CV1383" s="337">
        <f t="shared" si="226"/>
        <v>0</v>
      </c>
    </row>
    <row r="1384" spans="91:100" x14ac:dyDescent="0.25">
      <c r="CM1384" s="361"/>
      <c r="CV1384" s="337">
        <f t="shared" si="226"/>
        <v>0</v>
      </c>
    </row>
    <row r="1385" spans="91:100" x14ac:dyDescent="0.25">
      <c r="CM1385" s="361"/>
      <c r="CV1385" s="337">
        <f t="shared" si="226"/>
        <v>0</v>
      </c>
    </row>
    <row r="1386" spans="91:100" x14ac:dyDescent="0.25">
      <c r="CM1386" s="361"/>
      <c r="CV1386" s="337">
        <f t="shared" si="226"/>
        <v>0</v>
      </c>
    </row>
    <row r="1387" spans="91:100" x14ac:dyDescent="0.25">
      <c r="CM1387" s="361"/>
      <c r="CV1387" s="337">
        <f t="shared" si="226"/>
        <v>0</v>
      </c>
    </row>
    <row r="1388" spans="91:100" x14ac:dyDescent="0.25">
      <c r="CM1388" s="361"/>
      <c r="CV1388" s="337">
        <f t="shared" si="226"/>
        <v>0</v>
      </c>
    </row>
    <row r="1389" spans="91:100" x14ac:dyDescent="0.25">
      <c r="CM1389" s="361"/>
      <c r="CV1389" s="337">
        <f t="shared" si="226"/>
        <v>0</v>
      </c>
    </row>
    <row r="1390" spans="91:100" x14ac:dyDescent="0.25">
      <c r="CM1390" s="361"/>
      <c r="CV1390" s="337">
        <f t="shared" si="226"/>
        <v>0</v>
      </c>
    </row>
    <row r="1391" spans="91:100" x14ac:dyDescent="0.25">
      <c r="CM1391" s="361"/>
      <c r="CV1391" s="337">
        <f t="shared" si="226"/>
        <v>0</v>
      </c>
    </row>
    <row r="1392" spans="91:100" x14ac:dyDescent="0.25">
      <c r="CM1392" s="361"/>
      <c r="CV1392" s="337">
        <f t="shared" si="226"/>
        <v>0</v>
      </c>
    </row>
    <row r="1393" spans="91:100" x14ac:dyDescent="0.25">
      <c r="CM1393" s="361"/>
      <c r="CV1393" s="337">
        <f t="shared" si="226"/>
        <v>0</v>
      </c>
    </row>
    <row r="1394" spans="91:100" x14ac:dyDescent="0.25">
      <c r="CM1394" s="361"/>
      <c r="CV1394" s="337">
        <f t="shared" si="226"/>
        <v>0</v>
      </c>
    </row>
    <row r="1395" spans="91:100" x14ac:dyDescent="0.25">
      <c r="CM1395" s="361"/>
      <c r="CV1395" s="337">
        <f t="shared" si="226"/>
        <v>0</v>
      </c>
    </row>
    <row r="1396" spans="91:100" x14ac:dyDescent="0.25">
      <c r="CM1396" s="361"/>
      <c r="CV1396" s="337">
        <f t="shared" si="226"/>
        <v>0</v>
      </c>
    </row>
    <row r="1397" spans="91:100" x14ac:dyDescent="0.25">
      <c r="CM1397" s="361"/>
      <c r="CV1397" s="337">
        <f t="shared" si="226"/>
        <v>0</v>
      </c>
    </row>
    <row r="1398" spans="91:100" x14ac:dyDescent="0.25">
      <c r="CM1398" s="361"/>
      <c r="CV1398" s="337">
        <f t="shared" si="226"/>
        <v>0</v>
      </c>
    </row>
    <row r="1399" spans="91:100" x14ac:dyDescent="0.25">
      <c r="CM1399" s="361"/>
      <c r="CV1399" s="337">
        <f t="shared" si="226"/>
        <v>0</v>
      </c>
    </row>
    <row r="1400" spans="91:100" x14ac:dyDescent="0.25">
      <c r="CM1400" s="361"/>
      <c r="CV1400" s="337">
        <f t="shared" si="226"/>
        <v>0</v>
      </c>
    </row>
    <row r="1401" spans="91:100" x14ac:dyDescent="0.25">
      <c r="CM1401" s="361"/>
      <c r="CV1401" s="337">
        <f t="shared" si="226"/>
        <v>0</v>
      </c>
    </row>
    <row r="1402" spans="91:100" x14ac:dyDescent="0.25">
      <c r="CM1402" s="361"/>
      <c r="CV1402" s="337">
        <f t="shared" si="226"/>
        <v>0</v>
      </c>
    </row>
    <row r="1403" spans="91:100" x14ac:dyDescent="0.25">
      <c r="CM1403" s="361"/>
      <c r="CV1403" s="337">
        <f t="shared" si="226"/>
        <v>0</v>
      </c>
    </row>
    <row r="1404" spans="91:100" x14ac:dyDescent="0.25">
      <c r="CM1404" s="361"/>
      <c r="CV1404" s="337">
        <f t="shared" si="226"/>
        <v>0</v>
      </c>
    </row>
    <row r="1405" spans="91:100" x14ac:dyDescent="0.25">
      <c r="CM1405" s="361"/>
      <c r="CV1405" s="337">
        <f t="shared" si="226"/>
        <v>0</v>
      </c>
    </row>
    <row r="1406" spans="91:100" x14ac:dyDescent="0.25">
      <c r="CM1406" s="361"/>
      <c r="CV1406" s="337">
        <f t="shared" si="226"/>
        <v>0</v>
      </c>
    </row>
    <row r="1407" spans="91:100" x14ac:dyDescent="0.25">
      <c r="CM1407" s="361"/>
      <c r="CV1407" s="337">
        <f t="shared" si="226"/>
        <v>0</v>
      </c>
    </row>
    <row r="1408" spans="91:100" x14ac:dyDescent="0.25">
      <c r="CM1408" s="361"/>
      <c r="CV1408" s="337">
        <f t="shared" si="226"/>
        <v>0</v>
      </c>
    </row>
    <row r="1409" spans="91:100" x14ac:dyDescent="0.25">
      <c r="CM1409" s="361"/>
      <c r="CV1409" s="337">
        <f t="shared" si="226"/>
        <v>0</v>
      </c>
    </row>
    <row r="1410" spans="91:100" x14ac:dyDescent="0.25">
      <c r="CM1410" s="361"/>
      <c r="CV1410" s="337">
        <f t="shared" si="226"/>
        <v>0</v>
      </c>
    </row>
    <row r="1411" spans="91:100" x14ac:dyDescent="0.25">
      <c r="CM1411" s="361"/>
      <c r="CV1411" s="337">
        <f t="shared" si="226"/>
        <v>0</v>
      </c>
    </row>
    <row r="1412" spans="91:100" x14ac:dyDescent="0.25">
      <c r="CM1412" s="361"/>
      <c r="CV1412" s="337">
        <f t="shared" si="226"/>
        <v>0</v>
      </c>
    </row>
    <row r="1413" spans="91:100" x14ac:dyDescent="0.25">
      <c r="CM1413" s="361"/>
      <c r="CV1413" s="337">
        <f t="shared" si="226"/>
        <v>0</v>
      </c>
    </row>
    <row r="1414" spans="91:100" x14ac:dyDescent="0.25">
      <c r="CM1414" s="361"/>
      <c r="CV1414" s="337">
        <f t="shared" si="226"/>
        <v>0</v>
      </c>
    </row>
    <row r="1415" spans="91:100" x14ac:dyDescent="0.25">
      <c r="CM1415" s="361"/>
      <c r="CV1415" s="337">
        <f t="shared" si="226"/>
        <v>0</v>
      </c>
    </row>
    <row r="1416" spans="91:100" x14ac:dyDescent="0.25">
      <c r="CM1416" s="361"/>
      <c r="CV1416" s="337">
        <f t="shared" si="226"/>
        <v>0</v>
      </c>
    </row>
    <row r="1417" spans="91:100" x14ac:dyDescent="0.25">
      <c r="CM1417" s="361"/>
      <c r="CV1417" s="337">
        <f t="shared" si="226"/>
        <v>0</v>
      </c>
    </row>
    <row r="1418" spans="91:100" x14ac:dyDescent="0.25">
      <c r="CM1418" s="361"/>
      <c r="CV1418" s="337">
        <f t="shared" si="226"/>
        <v>0</v>
      </c>
    </row>
    <row r="1419" spans="91:100" x14ac:dyDescent="0.25">
      <c r="CM1419" s="361"/>
      <c r="CV1419" s="337">
        <f t="shared" si="226"/>
        <v>0</v>
      </c>
    </row>
    <row r="1420" spans="91:100" x14ac:dyDescent="0.25">
      <c r="CM1420" s="361"/>
      <c r="CV1420" s="337">
        <f t="shared" si="226"/>
        <v>0</v>
      </c>
    </row>
    <row r="1421" spans="91:100" x14ac:dyDescent="0.25">
      <c r="CM1421" s="361"/>
      <c r="CV1421" s="337">
        <f t="shared" si="226"/>
        <v>0</v>
      </c>
    </row>
    <row r="1422" spans="91:100" x14ac:dyDescent="0.25">
      <c r="CM1422" s="361"/>
      <c r="CV1422" s="337">
        <f t="shared" si="226"/>
        <v>0</v>
      </c>
    </row>
    <row r="1423" spans="91:100" x14ac:dyDescent="0.25">
      <c r="CM1423" s="361"/>
      <c r="CV1423" s="337">
        <f t="shared" si="226"/>
        <v>0</v>
      </c>
    </row>
    <row r="1424" spans="91:100" x14ac:dyDescent="0.25">
      <c r="CM1424" s="361"/>
      <c r="CV1424" s="337">
        <f t="shared" si="226"/>
        <v>0</v>
      </c>
    </row>
    <row r="1425" spans="91:100" x14ac:dyDescent="0.25">
      <c r="CM1425" s="361"/>
      <c r="CV1425" s="337">
        <f t="shared" si="226"/>
        <v>0</v>
      </c>
    </row>
    <row r="1426" spans="91:100" x14ac:dyDescent="0.25">
      <c r="CM1426" s="361"/>
      <c r="CV1426" s="337">
        <f t="shared" si="226"/>
        <v>0</v>
      </c>
    </row>
    <row r="1427" spans="91:100" x14ac:dyDescent="0.25">
      <c r="CM1427" s="361"/>
      <c r="CV1427" s="337">
        <f t="shared" si="226"/>
        <v>0</v>
      </c>
    </row>
    <row r="1428" spans="91:100" x14ac:dyDescent="0.25">
      <c r="CM1428" s="361"/>
      <c r="CV1428" s="337">
        <f t="shared" si="226"/>
        <v>0</v>
      </c>
    </row>
    <row r="1429" spans="91:100" x14ac:dyDescent="0.25">
      <c r="CM1429" s="361"/>
      <c r="CV1429" s="337">
        <f t="shared" si="226"/>
        <v>0</v>
      </c>
    </row>
    <row r="1430" spans="91:100" x14ac:dyDescent="0.25">
      <c r="CM1430" s="361"/>
      <c r="CV1430" s="337">
        <f t="shared" si="226"/>
        <v>0</v>
      </c>
    </row>
    <row r="1431" spans="91:100" x14ac:dyDescent="0.25">
      <c r="CM1431" s="361"/>
      <c r="CV1431" s="337">
        <f t="shared" si="226"/>
        <v>0</v>
      </c>
    </row>
    <row r="1432" spans="91:100" x14ac:dyDescent="0.25">
      <c r="CM1432" s="361"/>
      <c r="CV1432" s="337">
        <f t="shared" ref="CV1432:CV1451" si="227">ROUND($CR$5*CO1432*CN1432/365,1)</f>
        <v>0</v>
      </c>
    </row>
    <row r="1433" spans="91:100" x14ac:dyDescent="0.25">
      <c r="CM1433" s="361"/>
      <c r="CV1433" s="337">
        <f t="shared" si="227"/>
        <v>0</v>
      </c>
    </row>
    <row r="1434" spans="91:100" x14ac:dyDescent="0.25">
      <c r="CM1434" s="361"/>
      <c r="CV1434" s="337">
        <f t="shared" si="227"/>
        <v>0</v>
      </c>
    </row>
    <row r="1435" spans="91:100" x14ac:dyDescent="0.25">
      <c r="CM1435" s="361"/>
      <c r="CV1435" s="337">
        <f t="shared" si="227"/>
        <v>0</v>
      </c>
    </row>
    <row r="1436" spans="91:100" x14ac:dyDescent="0.25">
      <c r="CM1436" s="361"/>
      <c r="CV1436" s="337">
        <f t="shared" si="227"/>
        <v>0</v>
      </c>
    </row>
    <row r="1437" spans="91:100" x14ac:dyDescent="0.25">
      <c r="CM1437" s="361"/>
      <c r="CV1437" s="337">
        <f t="shared" si="227"/>
        <v>0</v>
      </c>
    </row>
    <row r="1438" spans="91:100" x14ac:dyDescent="0.25">
      <c r="CM1438" s="361"/>
      <c r="CV1438" s="337">
        <f t="shared" si="227"/>
        <v>0</v>
      </c>
    </row>
    <row r="1439" spans="91:100" x14ac:dyDescent="0.25">
      <c r="CM1439" s="361"/>
      <c r="CV1439" s="337">
        <f t="shared" si="227"/>
        <v>0</v>
      </c>
    </row>
    <row r="1440" spans="91:100" x14ac:dyDescent="0.25">
      <c r="CM1440" s="361"/>
      <c r="CV1440" s="337">
        <f t="shared" si="227"/>
        <v>0</v>
      </c>
    </row>
    <row r="1441" spans="91:100" x14ac:dyDescent="0.25">
      <c r="CM1441" s="361"/>
      <c r="CV1441" s="337">
        <f t="shared" si="227"/>
        <v>0</v>
      </c>
    </row>
    <row r="1442" spans="91:100" x14ac:dyDescent="0.25">
      <c r="CM1442" s="361"/>
      <c r="CV1442" s="337">
        <f t="shared" si="227"/>
        <v>0</v>
      </c>
    </row>
    <row r="1443" spans="91:100" x14ac:dyDescent="0.25">
      <c r="CM1443" s="361"/>
      <c r="CV1443" s="337">
        <f t="shared" si="227"/>
        <v>0</v>
      </c>
    </row>
    <row r="1444" spans="91:100" x14ac:dyDescent="0.25">
      <c r="CM1444" s="361"/>
      <c r="CV1444" s="337">
        <f t="shared" si="227"/>
        <v>0</v>
      </c>
    </row>
    <row r="1445" spans="91:100" x14ac:dyDescent="0.25">
      <c r="CM1445" s="361"/>
      <c r="CV1445" s="337">
        <f t="shared" si="227"/>
        <v>0</v>
      </c>
    </row>
    <row r="1446" spans="91:100" x14ac:dyDescent="0.25">
      <c r="CM1446" s="361"/>
      <c r="CV1446" s="337">
        <f t="shared" si="227"/>
        <v>0</v>
      </c>
    </row>
    <row r="1447" spans="91:100" x14ac:dyDescent="0.25">
      <c r="CM1447" s="361"/>
      <c r="CV1447" s="337">
        <f t="shared" si="227"/>
        <v>0</v>
      </c>
    </row>
    <row r="1448" spans="91:100" x14ac:dyDescent="0.25">
      <c r="CM1448" s="361"/>
      <c r="CV1448" s="337">
        <f t="shared" si="227"/>
        <v>0</v>
      </c>
    </row>
    <row r="1449" spans="91:100" x14ac:dyDescent="0.25">
      <c r="CM1449" s="361"/>
      <c r="CV1449" s="337">
        <f t="shared" si="227"/>
        <v>0</v>
      </c>
    </row>
    <row r="1450" spans="91:100" x14ac:dyDescent="0.25">
      <c r="CM1450" s="361"/>
      <c r="CV1450" s="337">
        <f t="shared" si="227"/>
        <v>0</v>
      </c>
    </row>
    <row r="1451" spans="91:100" x14ac:dyDescent="0.25">
      <c r="CM1451" s="361"/>
      <c r="CV1451" s="337">
        <f t="shared" si="227"/>
        <v>0</v>
      </c>
    </row>
    <row r="1452" spans="91:100" x14ac:dyDescent="0.25">
      <c r="CM1452" s="361"/>
    </row>
    <row r="1453" spans="91:100" x14ac:dyDescent="0.25">
      <c r="CM1453" s="361"/>
    </row>
    <row r="1454" spans="91:100" x14ac:dyDescent="0.25">
      <c r="CM1454" s="361"/>
    </row>
    <row r="1455" spans="91:100" x14ac:dyDescent="0.25">
      <c r="CM1455" s="361"/>
    </row>
    <row r="1456" spans="91:100" x14ac:dyDescent="0.25">
      <c r="CM1456" s="361"/>
    </row>
    <row r="1457" spans="91:91" x14ac:dyDescent="0.25">
      <c r="CM1457" s="361"/>
    </row>
    <row r="1458" spans="91:91" x14ac:dyDescent="0.25">
      <c r="CM1458" s="361"/>
    </row>
    <row r="1459" spans="91:91" x14ac:dyDescent="0.25">
      <c r="CM1459" s="361"/>
    </row>
    <row r="1460" spans="91:91" x14ac:dyDescent="0.25">
      <c r="CM1460" s="361"/>
    </row>
    <row r="1461" spans="91:91" x14ac:dyDescent="0.25">
      <c r="CM1461" s="361"/>
    </row>
    <row r="1462" spans="91:91" x14ac:dyDescent="0.25">
      <c r="CM1462" s="361"/>
    </row>
    <row r="1463" spans="91:91" x14ac:dyDescent="0.25">
      <c r="CM1463" s="361"/>
    </row>
    <row r="1464" spans="91:91" x14ac:dyDescent="0.25">
      <c r="CM1464" s="361"/>
    </row>
    <row r="1465" spans="91:91" x14ac:dyDescent="0.25">
      <c r="CM1465" s="361"/>
    </row>
    <row r="1466" spans="91:91" x14ac:dyDescent="0.25">
      <c r="CM1466" s="361"/>
    </row>
    <row r="1467" spans="91:91" x14ac:dyDescent="0.25">
      <c r="CM1467" s="361"/>
    </row>
    <row r="1468" spans="91:91" x14ac:dyDescent="0.25">
      <c r="CM1468" s="361"/>
    </row>
    <row r="1469" spans="91:91" x14ac:dyDescent="0.25">
      <c r="CM1469" s="361"/>
    </row>
    <row r="1470" spans="91:91" x14ac:dyDescent="0.25">
      <c r="CM1470" s="361"/>
    </row>
    <row r="1471" spans="91:91" x14ac:dyDescent="0.25">
      <c r="CM1471" s="361"/>
    </row>
    <row r="1472" spans="91:91" x14ac:dyDescent="0.25">
      <c r="CM1472" s="361"/>
    </row>
    <row r="1473" spans="91:91" x14ac:dyDescent="0.25">
      <c r="CM1473" s="361"/>
    </row>
    <row r="1474" spans="91:91" x14ac:dyDescent="0.25">
      <c r="CM1474" s="361"/>
    </row>
    <row r="1475" spans="91:91" x14ac:dyDescent="0.25">
      <c r="CM1475" s="361"/>
    </row>
    <row r="1476" spans="91:91" x14ac:dyDescent="0.25">
      <c r="CM1476" s="361"/>
    </row>
    <row r="1477" spans="91:91" x14ac:dyDescent="0.25">
      <c r="CM1477" s="361"/>
    </row>
    <row r="1478" spans="91:91" x14ac:dyDescent="0.25">
      <c r="CM1478" s="361"/>
    </row>
    <row r="1479" spans="91:91" x14ac:dyDescent="0.25">
      <c r="CM1479" s="361"/>
    </row>
    <row r="1480" spans="91:91" x14ac:dyDescent="0.25">
      <c r="CM1480" s="361"/>
    </row>
    <row r="1481" spans="91:91" x14ac:dyDescent="0.25">
      <c r="CM1481" s="361"/>
    </row>
    <row r="1482" spans="91:91" x14ac:dyDescent="0.25">
      <c r="CM1482" s="361"/>
    </row>
    <row r="1483" spans="91:91" x14ac:dyDescent="0.25">
      <c r="CM1483" s="361"/>
    </row>
    <row r="1484" spans="91:91" x14ac:dyDescent="0.25">
      <c r="CM1484" s="361"/>
    </row>
    <row r="1485" spans="91:91" x14ac:dyDescent="0.25">
      <c r="CM1485" s="361"/>
    </row>
    <row r="1486" spans="91:91" x14ac:dyDescent="0.25">
      <c r="CM1486" s="361"/>
    </row>
    <row r="1487" spans="91:91" x14ac:dyDescent="0.25">
      <c r="CM1487" s="361"/>
    </row>
    <row r="1488" spans="91:91" x14ac:dyDescent="0.25">
      <c r="CM1488" s="361"/>
    </row>
    <row r="1489" spans="91:91" x14ac:dyDescent="0.25">
      <c r="CM1489" s="361"/>
    </row>
    <row r="1490" spans="91:91" x14ac:dyDescent="0.25">
      <c r="CM1490" s="361"/>
    </row>
    <row r="1491" spans="91:91" x14ac:dyDescent="0.25">
      <c r="CM1491" s="361"/>
    </row>
    <row r="1492" spans="91:91" x14ac:dyDescent="0.25">
      <c r="CM1492" s="361"/>
    </row>
    <row r="1493" spans="91:91" x14ac:dyDescent="0.25">
      <c r="CM1493" s="361"/>
    </row>
    <row r="1494" spans="91:91" x14ac:dyDescent="0.25">
      <c r="CM1494" s="361"/>
    </row>
    <row r="1495" spans="91:91" x14ac:dyDescent="0.25">
      <c r="CM1495" s="361"/>
    </row>
    <row r="1496" spans="91:91" x14ac:dyDescent="0.25">
      <c r="CM1496" s="361"/>
    </row>
    <row r="1497" spans="91:91" x14ac:dyDescent="0.25">
      <c r="CM1497" s="361"/>
    </row>
    <row r="1498" spans="91:91" x14ac:dyDescent="0.25">
      <c r="CM1498" s="361"/>
    </row>
    <row r="1499" spans="91:91" x14ac:dyDescent="0.25">
      <c r="CM1499" s="361"/>
    </row>
    <row r="1500" spans="91:91" x14ac:dyDescent="0.25">
      <c r="CM1500" s="361"/>
    </row>
    <row r="1501" spans="91:91" x14ac:dyDescent="0.25">
      <c r="CM1501" s="361"/>
    </row>
    <row r="1502" spans="91:91" x14ac:dyDescent="0.25">
      <c r="CM1502" s="361"/>
    </row>
    <row r="1503" spans="91:91" x14ac:dyDescent="0.25">
      <c r="CM1503" s="361"/>
    </row>
    <row r="1504" spans="91:91" x14ac:dyDescent="0.25">
      <c r="CM1504" s="361"/>
    </row>
    <row r="1505" spans="91:91" x14ac:dyDescent="0.25">
      <c r="CM1505" s="361"/>
    </row>
    <row r="1506" spans="91:91" x14ac:dyDescent="0.25">
      <c r="CM1506" s="361"/>
    </row>
    <row r="1507" spans="91:91" x14ac:dyDescent="0.25">
      <c r="CM1507" s="361"/>
    </row>
    <row r="1508" spans="91:91" x14ac:dyDescent="0.25">
      <c r="CM1508" s="361"/>
    </row>
    <row r="1509" spans="91:91" x14ac:dyDescent="0.25">
      <c r="CM1509" s="361"/>
    </row>
    <row r="1510" spans="91:91" x14ac:dyDescent="0.25">
      <c r="CM1510" s="361"/>
    </row>
    <row r="1511" spans="91:91" x14ac:dyDescent="0.25">
      <c r="CM1511" s="361"/>
    </row>
    <row r="1512" spans="91:91" x14ac:dyDescent="0.25">
      <c r="CM1512" s="361"/>
    </row>
    <row r="1513" spans="91:91" x14ac:dyDescent="0.25">
      <c r="CM1513" s="361"/>
    </row>
    <row r="1514" spans="91:91" x14ac:dyDescent="0.25">
      <c r="CM1514" s="361"/>
    </row>
    <row r="1515" spans="91:91" x14ac:dyDescent="0.25">
      <c r="CM1515" s="361"/>
    </row>
    <row r="1516" spans="91:91" x14ac:dyDescent="0.25">
      <c r="CM1516" s="361"/>
    </row>
    <row r="1517" spans="91:91" x14ac:dyDescent="0.25">
      <c r="CM1517" s="361"/>
    </row>
    <row r="1518" spans="91:91" x14ac:dyDescent="0.25">
      <c r="CM1518" s="361"/>
    </row>
    <row r="1519" spans="91:91" x14ac:dyDescent="0.25">
      <c r="CM1519" s="361"/>
    </row>
    <row r="1520" spans="91:91" x14ac:dyDescent="0.25">
      <c r="CM1520" s="361"/>
    </row>
    <row r="1521" spans="91:91" x14ac:dyDescent="0.25">
      <c r="CM1521" s="361"/>
    </row>
    <row r="1522" spans="91:91" x14ac:dyDescent="0.25">
      <c r="CM1522" s="361"/>
    </row>
    <row r="1523" spans="91:91" x14ac:dyDescent="0.25">
      <c r="CM1523" s="361"/>
    </row>
    <row r="1524" spans="91:91" x14ac:dyDescent="0.25">
      <c r="CM1524" s="361"/>
    </row>
    <row r="1525" spans="91:91" x14ac:dyDescent="0.25">
      <c r="CM1525" s="361"/>
    </row>
    <row r="1526" spans="91:91" x14ac:dyDescent="0.25">
      <c r="CM1526" s="361"/>
    </row>
    <row r="1527" spans="91:91" x14ac:dyDescent="0.25">
      <c r="CM1527" s="361"/>
    </row>
    <row r="1528" spans="91:91" x14ac:dyDescent="0.25">
      <c r="CM1528" s="361"/>
    </row>
    <row r="1529" spans="91:91" x14ac:dyDescent="0.25">
      <c r="CM1529" s="361"/>
    </row>
    <row r="1530" spans="91:91" x14ac:dyDescent="0.25">
      <c r="CM1530" s="361"/>
    </row>
    <row r="1531" spans="91:91" x14ac:dyDescent="0.25">
      <c r="CM1531" s="361"/>
    </row>
    <row r="1532" spans="91:91" x14ac:dyDescent="0.25">
      <c r="CM1532" s="361"/>
    </row>
    <row r="1533" spans="91:91" x14ac:dyDescent="0.25">
      <c r="CM1533" s="361"/>
    </row>
    <row r="1534" spans="91:91" x14ac:dyDescent="0.25">
      <c r="CM1534" s="361"/>
    </row>
    <row r="1535" spans="91:91" x14ac:dyDescent="0.25">
      <c r="CM1535" s="361"/>
    </row>
    <row r="1536" spans="91:91" x14ac:dyDescent="0.25">
      <c r="CM1536" s="361"/>
    </row>
    <row r="1537" spans="91:91" x14ac:dyDescent="0.25">
      <c r="CM1537" s="361"/>
    </row>
    <row r="1538" spans="91:91" x14ac:dyDescent="0.25">
      <c r="CM1538" s="361"/>
    </row>
    <row r="1539" spans="91:91" x14ac:dyDescent="0.25">
      <c r="CM1539" s="361"/>
    </row>
    <row r="1540" spans="91:91" x14ac:dyDescent="0.25">
      <c r="CM1540" s="361"/>
    </row>
    <row r="1541" spans="91:91" x14ac:dyDescent="0.25">
      <c r="CM1541" s="361"/>
    </row>
    <row r="1542" spans="91:91" x14ac:dyDescent="0.25">
      <c r="CM1542" s="361"/>
    </row>
    <row r="1543" spans="91:91" x14ac:dyDescent="0.25">
      <c r="CM1543" s="361"/>
    </row>
    <row r="1544" spans="91:91" x14ac:dyDescent="0.25">
      <c r="CM1544" s="361"/>
    </row>
    <row r="1545" spans="91:91" x14ac:dyDescent="0.25">
      <c r="CM1545" s="361"/>
    </row>
    <row r="1546" spans="91:91" x14ac:dyDescent="0.25">
      <c r="CM1546" s="361"/>
    </row>
    <row r="1547" spans="91:91" x14ac:dyDescent="0.25">
      <c r="CM1547" s="361"/>
    </row>
    <row r="1548" spans="91:91" x14ac:dyDescent="0.25">
      <c r="CM1548" s="361"/>
    </row>
    <row r="1549" spans="91:91" x14ac:dyDescent="0.25">
      <c r="CM1549" s="361"/>
    </row>
    <row r="1550" spans="91:91" x14ac:dyDescent="0.25">
      <c r="CM1550" s="361"/>
    </row>
    <row r="1551" spans="91:91" x14ac:dyDescent="0.25">
      <c r="CM1551" s="361"/>
    </row>
    <row r="1552" spans="91:91" x14ac:dyDescent="0.25">
      <c r="CM1552" s="361"/>
    </row>
    <row r="1553" spans="91:91" x14ac:dyDescent="0.25">
      <c r="CM1553" s="361"/>
    </row>
    <row r="1554" spans="91:91" x14ac:dyDescent="0.25">
      <c r="CM1554" s="361"/>
    </row>
    <row r="1555" spans="91:91" x14ac:dyDescent="0.25">
      <c r="CM1555" s="361"/>
    </row>
    <row r="1556" spans="91:91" x14ac:dyDescent="0.25">
      <c r="CM1556" s="361"/>
    </row>
    <row r="1557" spans="91:91" x14ac:dyDescent="0.25">
      <c r="CM1557" s="361"/>
    </row>
    <row r="1558" spans="91:91" x14ac:dyDescent="0.25">
      <c r="CM1558" s="361"/>
    </row>
    <row r="1559" spans="91:91" x14ac:dyDescent="0.25">
      <c r="CM1559" s="361"/>
    </row>
    <row r="1560" spans="91:91" x14ac:dyDescent="0.25">
      <c r="CM1560" s="361"/>
    </row>
    <row r="1561" spans="91:91" x14ac:dyDescent="0.25">
      <c r="CM1561" s="361"/>
    </row>
    <row r="1562" spans="91:91" x14ac:dyDescent="0.25">
      <c r="CM1562" s="361"/>
    </row>
    <row r="1563" spans="91:91" x14ac:dyDescent="0.25">
      <c r="CM1563" s="361"/>
    </row>
    <row r="1564" spans="91:91" x14ac:dyDescent="0.25">
      <c r="CM1564" s="361"/>
    </row>
    <row r="1565" spans="91:91" x14ac:dyDescent="0.25">
      <c r="CM1565" s="361"/>
    </row>
    <row r="1566" spans="91:91" x14ac:dyDescent="0.25">
      <c r="CM1566" s="361"/>
    </row>
    <row r="1567" spans="91:91" x14ac:dyDescent="0.25">
      <c r="CM1567" s="361"/>
    </row>
    <row r="1568" spans="91:91" x14ac:dyDescent="0.25">
      <c r="CM1568" s="361"/>
    </row>
    <row r="1569" spans="91:91" x14ac:dyDescent="0.25">
      <c r="CM1569" s="361"/>
    </row>
    <row r="1570" spans="91:91" x14ac:dyDescent="0.25">
      <c r="CM1570" s="361"/>
    </row>
    <row r="1571" spans="91:91" x14ac:dyDescent="0.25">
      <c r="CM1571" s="361"/>
    </row>
    <row r="1572" spans="91:91" x14ac:dyDescent="0.25">
      <c r="CM1572" s="361"/>
    </row>
    <row r="1573" spans="91:91" x14ac:dyDescent="0.25">
      <c r="CM1573" s="361"/>
    </row>
    <row r="1574" spans="91:91" x14ac:dyDescent="0.25">
      <c r="CM1574" s="361"/>
    </row>
    <row r="1575" spans="91:91" x14ac:dyDescent="0.25">
      <c r="CM1575" s="361"/>
    </row>
    <row r="1576" spans="91:91" x14ac:dyDescent="0.25">
      <c r="CM1576" s="361"/>
    </row>
    <row r="1577" spans="91:91" x14ac:dyDescent="0.25">
      <c r="CM1577" s="361"/>
    </row>
    <row r="1578" spans="91:91" x14ac:dyDescent="0.25">
      <c r="CM1578" s="361"/>
    </row>
    <row r="1579" spans="91:91" x14ac:dyDescent="0.25">
      <c r="CM1579" s="361"/>
    </row>
    <row r="1580" spans="91:91" x14ac:dyDescent="0.25">
      <c r="CM1580" s="361"/>
    </row>
    <row r="1581" spans="91:91" x14ac:dyDescent="0.25">
      <c r="CM1581" s="361"/>
    </row>
    <row r="1582" spans="91:91" x14ac:dyDescent="0.25">
      <c r="CM1582" s="361"/>
    </row>
    <row r="1583" spans="91:91" x14ac:dyDescent="0.25">
      <c r="CM1583" s="361"/>
    </row>
    <row r="1584" spans="91:91" x14ac:dyDescent="0.25">
      <c r="CM1584" s="361"/>
    </row>
    <row r="1585" spans="91:91" x14ac:dyDescent="0.25">
      <c r="CM1585" s="361"/>
    </row>
    <row r="1586" spans="91:91" x14ac:dyDescent="0.25">
      <c r="CM1586" s="361"/>
    </row>
    <row r="1587" spans="91:91" x14ac:dyDescent="0.25">
      <c r="CM1587" s="361"/>
    </row>
    <row r="1588" spans="91:91" x14ac:dyDescent="0.25">
      <c r="CM1588" s="361"/>
    </row>
    <row r="1589" spans="91:91" x14ac:dyDescent="0.25">
      <c r="CM1589" s="361"/>
    </row>
    <row r="1590" spans="91:91" x14ac:dyDescent="0.25">
      <c r="CM1590" s="361"/>
    </row>
    <row r="1591" spans="91:91" x14ac:dyDescent="0.25">
      <c r="CM1591" s="361"/>
    </row>
    <row r="1592" spans="91:91" x14ac:dyDescent="0.25">
      <c r="CM1592" s="361"/>
    </row>
    <row r="1593" spans="91:91" x14ac:dyDescent="0.25">
      <c r="CM1593" s="361"/>
    </row>
    <row r="1594" spans="91:91" x14ac:dyDescent="0.25">
      <c r="CM1594" s="361"/>
    </row>
    <row r="1595" spans="91:91" x14ac:dyDescent="0.25">
      <c r="CM1595" s="361"/>
    </row>
    <row r="1596" spans="91:91" x14ac:dyDescent="0.25">
      <c r="CM1596" s="361"/>
    </row>
    <row r="1597" spans="91:91" x14ac:dyDescent="0.25">
      <c r="CM1597" s="361"/>
    </row>
    <row r="1598" spans="91:91" x14ac:dyDescent="0.25">
      <c r="CM1598" s="361"/>
    </row>
    <row r="1599" spans="91:91" x14ac:dyDescent="0.25">
      <c r="CM1599" s="361"/>
    </row>
    <row r="1600" spans="91:91" x14ac:dyDescent="0.25">
      <c r="CM1600" s="361"/>
    </row>
    <row r="1601" spans="91:91" x14ac:dyDescent="0.25">
      <c r="CM1601" s="361"/>
    </row>
    <row r="1602" spans="91:91" x14ac:dyDescent="0.25">
      <c r="CM1602" s="361"/>
    </row>
    <row r="1603" spans="91:91" x14ac:dyDescent="0.25">
      <c r="CM1603" s="361"/>
    </row>
    <row r="1604" spans="91:91" x14ac:dyDescent="0.25">
      <c r="CM1604" s="361"/>
    </row>
    <row r="1605" spans="91:91" x14ac:dyDescent="0.25">
      <c r="CM1605" s="361"/>
    </row>
    <row r="1606" spans="91:91" x14ac:dyDescent="0.25">
      <c r="CM1606" s="361"/>
    </row>
    <row r="1607" spans="91:91" x14ac:dyDescent="0.25">
      <c r="CM1607" s="361"/>
    </row>
    <row r="1608" spans="91:91" x14ac:dyDescent="0.25">
      <c r="CM1608" s="361"/>
    </row>
    <row r="1609" spans="91:91" x14ac:dyDescent="0.25">
      <c r="CM1609" s="361"/>
    </row>
    <row r="1610" spans="91:91" x14ac:dyDescent="0.25">
      <c r="CM1610" s="361"/>
    </row>
    <row r="1611" spans="91:91" x14ac:dyDescent="0.25">
      <c r="CM1611" s="361"/>
    </row>
    <row r="1612" spans="91:91" x14ac:dyDescent="0.25">
      <c r="CM1612" s="361"/>
    </row>
    <row r="1613" spans="91:91" x14ac:dyDescent="0.25">
      <c r="CM1613" s="361"/>
    </row>
    <row r="1614" spans="91:91" x14ac:dyDescent="0.25">
      <c r="CM1614" s="361"/>
    </row>
    <row r="1615" spans="91:91" x14ac:dyDescent="0.25">
      <c r="CM1615" s="361"/>
    </row>
    <row r="1616" spans="91:91" x14ac:dyDescent="0.25">
      <c r="CM1616" s="361"/>
    </row>
    <row r="1617" spans="91:91" x14ac:dyDescent="0.25">
      <c r="CM1617" s="361"/>
    </row>
    <row r="1618" spans="91:91" x14ac:dyDescent="0.25">
      <c r="CM1618" s="361"/>
    </row>
    <row r="1619" spans="91:91" x14ac:dyDescent="0.25">
      <c r="CM1619" s="361"/>
    </row>
    <row r="1620" spans="91:91" x14ac:dyDescent="0.25">
      <c r="CM1620" s="361"/>
    </row>
    <row r="1621" spans="91:91" x14ac:dyDescent="0.25">
      <c r="CM1621" s="361"/>
    </row>
    <row r="1622" spans="91:91" x14ac:dyDescent="0.25">
      <c r="CM1622" s="361"/>
    </row>
    <row r="1623" spans="91:91" x14ac:dyDescent="0.25">
      <c r="CM1623" s="361"/>
    </row>
    <row r="1624" spans="91:91" x14ac:dyDescent="0.25">
      <c r="CM1624" s="361"/>
    </row>
    <row r="1625" spans="91:91" x14ac:dyDescent="0.25">
      <c r="CM1625" s="361"/>
    </row>
    <row r="1626" spans="91:91" x14ac:dyDescent="0.25">
      <c r="CM1626" s="361"/>
    </row>
    <row r="1627" spans="91:91" x14ac:dyDescent="0.25">
      <c r="CM1627" s="361"/>
    </row>
    <row r="1628" spans="91:91" x14ac:dyDescent="0.25">
      <c r="CM1628" s="361"/>
    </row>
    <row r="1629" spans="91:91" x14ac:dyDescent="0.25">
      <c r="CM1629" s="361"/>
    </row>
    <row r="1630" spans="91:91" x14ac:dyDescent="0.25">
      <c r="CM1630" s="361"/>
    </row>
    <row r="1631" spans="91:91" x14ac:dyDescent="0.25">
      <c r="CM1631" s="361"/>
    </row>
    <row r="1632" spans="91:91" x14ac:dyDescent="0.25">
      <c r="CM1632" s="361"/>
    </row>
    <row r="1633" spans="91:91" x14ac:dyDescent="0.25">
      <c r="CM1633" s="361"/>
    </row>
    <row r="1634" spans="91:91" x14ac:dyDescent="0.25">
      <c r="CM1634" s="361"/>
    </row>
    <row r="1635" spans="91:91" x14ac:dyDescent="0.25">
      <c r="CM1635" s="361"/>
    </row>
    <row r="1636" spans="91:91" x14ac:dyDescent="0.25">
      <c r="CM1636" s="361"/>
    </row>
    <row r="1637" spans="91:91" x14ac:dyDescent="0.25">
      <c r="CM1637" s="361"/>
    </row>
    <row r="1638" spans="91:91" x14ac:dyDescent="0.25">
      <c r="CM1638" s="361"/>
    </row>
    <row r="1639" spans="91:91" x14ac:dyDescent="0.25">
      <c r="CM1639" s="361"/>
    </row>
    <row r="1640" spans="91:91" x14ac:dyDescent="0.25">
      <c r="CM1640" s="361"/>
    </row>
    <row r="1641" spans="91:91" x14ac:dyDescent="0.25">
      <c r="CM1641" s="361"/>
    </row>
    <row r="1642" spans="91:91" x14ac:dyDescent="0.25">
      <c r="CM1642" s="361"/>
    </row>
    <row r="1643" spans="91:91" x14ac:dyDescent="0.25">
      <c r="CM1643" s="361"/>
    </row>
    <row r="1644" spans="91:91" x14ac:dyDescent="0.25">
      <c r="CM1644" s="361"/>
    </row>
    <row r="1645" spans="91:91" x14ac:dyDescent="0.25">
      <c r="CM1645" s="361"/>
    </row>
    <row r="1646" spans="91:91" x14ac:dyDescent="0.25">
      <c r="CM1646" s="361"/>
    </row>
    <row r="1647" spans="91:91" x14ac:dyDescent="0.25">
      <c r="CM1647" s="361"/>
    </row>
    <row r="1648" spans="91:91" x14ac:dyDescent="0.25">
      <c r="CM1648" s="361"/>
    </row>
    <row r="1649" spans="91:91" x14ac:dyDescent="0.25">
      <c r="CM1649" s="361"/>
    </row>
    <row r="1650" spans="91:91" x14ac:dyDescent="0.25">
      <c r="CM1650" s="361"/>
    </row>
    <row r="1651" spans="91:91" x14ac:dyDescent="0.25">
      <c r="CM1651" s="361"/>
    </row>
    <row r="1652" spans="91:91" x14ac:dyDescent="0.25">
      <c r="CM1652" s="361"/>
    </row>
    <row r="1653" spans="91:91" x14ac:dyDescent="0.25">
      <c r="CM1653" s="361"/>
    </row>
    <row r="1654" spans="91:91" x14ac:dyDescent="0.25">
      <c r="CM1654" s="361"/>
    </row>
    <row r="1655" spans="91:91" x14ac:dyDescent="0.25">
      <c r="CM1655" s="361"/>
    </row>
    <row r="1656" spans="91:91" x14ac:dyDescent="0.25">
      <c r="CM1656" s="361"/>
    </row>
    <row r="1657" spans="91:91" x14ac:dyDescent="0.25">
      <c r="CM1657" s="361"/>
    </row>
    <row r="1658" spans="91:91" x14ac:dyDescent="0.25">
      <c r="CM1658" s="361"/>
    </row>
    <row r="1659" spans="91:91" x14ac:dyDescent="0.25">
      <c r="CM1659" s="361"/>
    </row>
    <row r="1660" spans="91:91" x14ac:dyDescent="0.25">
      <c r="CM1660" s="361"/>
    </row>
    <row r="1661" spans="91:91" x14ac:dyDescent="0.25">
      <c r="CM1661" s="361"/>
    </row>
    <row r="1662" spans="91:91" x14ac:dyDescent="0.25">
      <c r="CM1662" s="361"/>
    </row>
    <row r="1663" spans="91:91" x14ac:dyDescent="0.25">
      <c r="CM1663" s="361"/>
    </row>
    <row r="1664" spans="91:91" x14ac:dyDescent="0.25">
      <c r="CM1664" s="361"/>
    </row>
    <row r="1665" spans="91:91" x14ac:dyDescent="0.25">
      <c r="CM1665" s="361"/>
    </row>
    <row r="1666" spans="91:91" x14ac:dyDescent="0.25">
      <c r="CM1666" s="361"/>
    </row>
    <row r="1667" spans="91:91" x14ac:dyDescent="0.25">
      <c r="CM1667" s="361"/>
    </row>
    <row r="1668" spans="91:91" x14ac:dyDescent="0.25">
      <c r="CM1668" s="361"/>
    </row>
    <row r="1669" spans="91:91" x14ac:dyDescent="0.25">
      <c r="CM1669" s="361"/>
    </row>
    <row r="1670" spans="91:91" x14ac:dyDescent="0.25">
      <c r="CM1670" s="361"/>
    </row>
    <row r="1671" spans="91:91" x14ac:dyDescent="0.25">
      <c r="CM1671" s="361"/>
    </row>
    <row r="1672" spans="91:91" x14ac:dyDescent="0.25">
      <c r="CM1672" s="361"/>
    </row>
    <row r="1673" spans="91:91" x14ac:dyDescent="0.25">
      <c r="CM1673" s="361"/>
    </row>
    <row r="1674" spans="91:91" x14ac:dyDescent="0.25">
      <c r="CM1674" s="361"/>
    </row>
    <row r="1675" spans="91:91" x14ac:dyDescent="0.25">
      <c r="CM1675" s="361"/>
    </row>
    <row r="1676" spans="91:91" x14ac:dyDescent="0.25">
      <c r="CM1676" s="361"/>
    </row>
    <row r="1677" spans="91:91" x14ac:dyDescent="0.25">
      <c r="CM1677" s="361"/>
    </row>
    <row r="1678" spans="91:91" x14ac:dyDescent="0.25">
      <c r="CM1678" s="361"/>
    </row>
    <row r="1679" spans="91:91" x14ac:dyDescent="0.25">
      <c r="CM1679" s="361"/>
    </row>
    <row r="1680" spans="91:91" x14ac:dyDescent="0.25">
      <c r="CM1680" s="361"/>
    </row>
    <row r="1681" spans="91:91" x14ac:dyDescent="0.25">
      <c r="CM1681" s="361"/>
    </row>
    <row r="1682" spans="91:91" x14ac:dyDescent="0.25">
      <c r="CM1682" s="361"/>
    </row>
    <row r="1683" spans="91:91" x14ac:dyDescent="0.25">
      <c r="CM1683" s="361"/>
    </row>
    <row r="1684" spans="91:91" x14ac:dyDescent="0.25">
      <c r="CM1684" s="361"/>
    </row>
    <row r="1685" spans="91:91" x14ac:dyDescent="0.25">
      <c r="CM1685" s="361"/>
    </row>
    <row r="1686" spans="91:91" x14ac:dyDescent="0.25">
      <c r="CM1686" s="361"/>
    </row>
    <row r="1687" spans="91:91" x14ac:dyDescent="0.25">
      <c r="CM1687" s="361"/>
    </row>
    <row r="1688" spans="91:91" x14ac:dyDescent="0.25">
      <c r="CM1688" s="361"/>
    </row>
    <row r="1689" spans="91:91" x14ac:dyDescent="0.25">
      <c r="CM1689" s="361"/>
    </row>
    <row r="1690" spans="91:91" x14ac:dyDescent="0.25">
      <c r="CM1690" s="361"/>
    </row>
    <row r="1691" spans="91:91" x14ac:dyDescent="0.25">
      <c r="CM1691" s="361"/>
    </row>
    <row r="1692" spans="91:91" x14ac:dyDescent="0.25">
      <c r="CM1692" s="361"/>
    </row>
    <row r="1693" spans="91:91" x14ac:dyDescent="0.25">
      <c r="CM1693" s="361"/>
    </row>
    <row r="1694" spans="91:91" x14ac:dyDescent="0.25">
      <c r="CM1694" s="361"/>
    </row>
    <row r="1695" spans="91:91" x14ac:dyDescent="0.25">
      <c r="CM1695" s="361"/>
    </row>
    <row r="1696" spans="91:91" x14ac:dyDescent="0.25">
      <c r="CM1696" s="361"/>
    </row>
    <row r="1697" spans="91:91" x14ac:dyDescent="0.25">
      <c r="CM1697" s="361"/>
    </row>
    <row r="1698" spans="91:91" x14ac:dyDescent="0.25">
      <c r="CM1698" s="361"/>
    </row>
    <row r="1699" spans="91:91" x14ac:dyDescent="0.25">
      <c r="CM1699" s="361"/>
    </row>
    <row r="1700" spans="91:91" x14ac:dyDescent="0.25">
      <c r="CM1700" s="361"/>
    </row>
    <row r="1701" spans="91:91" x14ac:dyDescent="0.25">
      <c r="CM1701" s="361"/>
    </row>
    <row r="1702" spans="91:91" x14ac:dyDescent="0.25">
      <c r="CM1702" s="361"/>
    </row>
    <row r="1703" spans="91:91" x14ac:dyDescent="0.25">
      <c r="CM1703" s="361"/>
    </row>
    <row r="1704" spans="91:91" x14ac:dyDescent="0.25">
      <c r="CM1704" s="361"/>
    </row>
    <row r="1705" spans="91:91" x14ac:dyDescent="0.25">
      <c r="CM1705" s="361"/>
    </row>
    <row r="1706" spans="91:91" x14ac:dyDescent="0.25">
      <c r="CM1706" s="361"/>
    </row>
    <row r="1707" spans="91:91" x14ac:dyDescent="0.25">
      <c r="CM1707" s="361"/>
    </row>
    <row r="1708" spans="91:91" x14ac:dyDescent="0.25">
      <c r="CM1708" s="361"/>
    </row>
    <row r="1709" spans="91:91" x14ac:dyDescent="0.25">
      <c r="CM1709" s="361"/>
    </row>
    <row r="1710" spans="91:91" x14ac:dyDescent="0.25">
      <c r="CM1710" s="361"/>
    </row>
    <row r="1711" spans="91:91" x14ac:dyDescent="0.25">
      <c r="CM1711" s="361"/>
    </row>
    <row r="1712" spans="91:91" x14ac:dyDescent="0.25">
      <c r="CM1712" s="361"/>
    </row>
    <row r="1713" spans="91:91" x14ac:dyDescent="0.25">
      <c r="CM1713" s="361"/>
    </row>
    <row r="1714" spans="91:91" x14ac:dyDescent="0.25">
      <c r="CM1714" s="361"/>
    </row>
    <row r="1715" spans="91:91" x14ac:dyDescent="0.25">
      <c r="CM1715" s="361"/>
    </row>
    <row r="1716" spans="91:91" x14ac:dyDescent="0.25">
      <c r="CM1716" s="361"/>
    </row>
    <row r="1717" spans="91:91" x14ac:dyDescent="0.25">
      <c r="CM1717" s="361"/>
    </row>
    <row r="1718" spans="91:91" x14ac:dyDescent="0.25">
      <c r="CM1718" s="361"/>
    </row>
    <row r="1719" spans="91:91" x14ac:dyDescent="0.25">
      <c r="CM1719" s="361"/>
    </row>
    <row r="1720" spans="91:91" x14ac:dyDescent="0.25">
      <c r="CM1720" s="361"/>
    </row>
    <row r="1721" spans="91:91" x14ac:dyDescent="0.25">
      <c r="CM1721" s="361"/>
    </row>
    <row r="1722" spans="91:91" x14ac:dyDescent="0.25">
      <c r="CM1722" s="361"/>
    </row>
    <row r="1723" spans="91:91" x14ac:dyDescent="0.25">
      <c r="CM1723" s="361"/>
    </row>
    <row r="1724" spans="91:91" x14ac:dyDescent="0.25">
      <c r="CM1724" s="361"/>
    </row>
    <row r="1725" spans="91:91" x14ac:dyDescent="0.25">
      <c r="CM1725" s="361"/>
    </row>
    <row r="1726" spans="91:91" x14ac:dyDescent="0.25">
      <c r="CM1726" s="361"/>
    </row>
    <row r="1727" spans="91:91" x14ac:dyDescent="0.25">
      <c r="CM1727" s="361"/>
    </row>
    <row r="1728" spans="91:91" x14ac:dyDescent="0.25">
      <c r="CM1728" s="361"/>
    </row>
    <row r="1729" spans="91:91" x14ac:dyDescent="0.25">
      <c r="CM1729" s="361"/>
    </row>
    <row r="1730" spans="91:91" x14ac:dyDescent="0.25">
      <c r="CM1730" s="361"/>
    </row>
    <row r="1731" spans="91:91" x14ac:dyDescent="0.25">
      <c r="CM1731" s="361"/>
    </row>
    <row r="1732" spans="91:91" x14ac:dyDescent="0.25">
      <c r="CM1732" s="361"/>
    </row>
    <row r="1733" spans="91:91" x14ac:dyDescent="0.25">
      <c r="CM1733" s="361"/>
    </row>
    <row r="1734" spans="91:91" x14ac:dyDescent="0.25">
      <c r="CM1734" s="361"/>
    </row>
    <row r="1735" spans="91:91" x14ac:dyDescent="0.25">
      <c r="CM1735" s="361"/>
    </row>
    <row r="1736" spans="91:91" x14ac:dyDescent="0.25">
      <c r="CM1736" s="361"/>
    </row>
    <row r="1737" spans="91:91" x14ac:dyDescent="0.25">
      <c r="CM1737" s="361"/>
    </row>
    <row r="1738" spans="91:91" x14ac:dyDescent="0.25">
      <c r="CM1738" s="361"/>
    </row>
    <row r="1739" spans="91:91" x14ac:dyDescent="0.25">
      <c r="CM1739" s="361"/>
    </row>
    <row r="1740" spans="91:91" x14ac:dyDescent="0.25">
      <c r="CM1740" s="361"/>
    </row>
    <row r="1741" spans="91:91" x14ac:dyDescent="0.25">
      <c r="CM1741" s="361"/>
    </row>
    <row r="1742" spans="91:91" x14ac:dyDescent="0.25">
      <c r="CM1742" s="361"/>
    </row>
    <row r="1743" spans="91:91" x14ac:dyDescent="0.25">
      <c r="CM1743" s="361"/>
    </row>
    <row r="1744" spans="91:91" x14ac:dyDescent="0.25">
      <c r="CM1744" s="361"/>
    </row>
    <row r="1745" spans="91:91" x14ac:dyDescent="0.25">
      <c r="CM1745" s="361"/>
    </row>
    <row r="1746" spans="91:91" x14ac:dyDescent="0.25">
      <c r="CM1746" s="361"/>
    </row>
    <row r="1747" spans="91:91" x14ac:dyDescent="0.25">
      <c r="CM1747" s="361"/>
    </row>
    <row r="1748" spans="91:91" x14ac:dyDescent="0.25">
      <c r="CM1748" s="361"/>
    </row>
    <row r="1749" spans="91:91" x14ac:dyDescent="0.25">
      <c r="CM1749" s="361"/>
    </row>
    <row r="1750" spans="91:91" x14ac:dyDescent="0.25">
      <c r="CM1750" s="361"/>
    </row>
    <row r="1751" spans="91:91" x14ac:dyDescent="0.25">
      <c r="CM1751" s="361"/>
    </row>
    <row r="1752" spans="91:91" x14ac:dyDescent="0.25">
      <c r="CM1752" s="361"/>
    </row>
    <row r="1753" spans="91:91" x14ac:dyDescent="0.25">
      <c r="CM1753" s="361"/>
    </row>
    <row r="1754" spans="91:91" x14ac:dyDescent="0.25">
      <c r="CM1754" s="361"/>
    </row>
    <row r="1755" spans="91:91" x14ac:dyDescent="0.25">
      <c r="CM1755" s="361"/>
    </row>
    <row r="1756" spans="91:91" x14ac:dyDescent="0.25">
      <c r="CM1756" s="361"/>
    </row>
    <row r="1757" spans="91:91" x14ac:dyDescent="0.25">
      <c r="CM1757" s="361"/>
    </row>
    <row r="1758" spans="91:91" x14ac:dyDescent="0.25">
      <c r="CM1758" s="361"/>
    </row>
    <row r="1759" spans="91:91" x14ac:dyDescent="0.25">
      <c r="CM1759" s="361"/>
    </row>
    <row r="1760" spans="91:91" x14ac:dyDescent="0.25">
      <c r="CM1760" s="361"/>
    </row>
    <row r="1761" spans="91:91" x14ac:dyDescent="0.25">
      <c r="CM1761" s="361"/>
    </row>
    <row r="1762" spans="91:91" x14ac:dyDescent="0.25">
      <c r="CM1762" s="361"/>
    </row>
    <row r="1763" spans="91:91" x14ac:dyDescent="0.25">
      <c r="CM1763" s="361"/>
    </row>
    <row r="1764" spans="91:91" x14ac:dyDescent="0.25">
      <c r="CM1764" s="361"/>
    </row>
    <row r="1765" spans="91:91" x14ac:dyDescent="0.25">
      <c r="CM1765" s="361"/>
    </row>
    <row r="1766" spans="91:91" x14ac:dyDescent="0.25">
      <c r="CM1766" s="361"/>
    </row>
    <row r="1767" spans="91:91" x14ac:dyDescent="0.25">
      <c r="CM1767" s="361"/>
    </row>
    <row r="1768" spans="91:91" x14ac:dyDescent="0.25">
      <c r="CM1768" s="361"/>
    </row>
    <row r="1769" spans="91:91" x14ac:dyDescent="0.25">
      <c r="CM1769" s="361"/>
    </row>
    <row r="1770" spans="91:91" x14ac:dyDescent="0.25">
      <c r="CM1770" s="361"/>
    </row>
    <row r="1771" spans="91:91" x14ac:dyDescent="0.25">
      <c r="CM1771" s="361"/>
    </row>
    <row r="1772" spans="91:91" x14ac:dyDescent="0.25">
      <c r="CM1772" s="361"/>
    </row>
    <row r="1773" spans="91:91" x14ac:dyDescent="0.25">
      <c r="CM1773" s="361"/>
    </row>
    <row r="1774" spans="91:91" x14ac:dyDescent="0.25">
      <c r="CM1774" s="361"/>
    </row>
    <row r="1775" spans="91:91" x14ac:dyDescent="0.25">
      <c r="CM1775" s="361"/>
    </row>
    <row r="1776" spans="91:91" x14ac:dyDescent="0.25">
      <c r="CM1776" s="361"/>
    </row>
    <row r="1777" spans="91:91" x14ac:dyDescent="0.25">
      <c r="CM1777" s="361"/>
    </row>
    <row r="1778" spans="91:91" x14ac:dyDescent="0.25">
      <c r="CM1778" s="361"/>
    </row>
    <row r="1779" spans="91:91" x14ac:dyDescent="0.25">
      <c r="CM1779" s="361"/>
    </row>
    <row r="1780" spans="91:91" x14ac:dyDescent="0.25">
      <c r="CM1780" s="361"/>
    </row>
    <row r="1781" spans="91:91" x14ac:dyDescent="0.25">
      <c r="CM1781" s="361"/>
    </row>
    <row r="1782" spans="91:91" x14ac:dyDescent="0.25">
      <c r="CM1782" s="361"/>
    </row>
    <row r="1783" spans="91:91" x14ac:dyDescent="0.25">
      <c r="CM1783" s="361"/>
    </row>
    <row r="1784" spans="91:91" x14ac:dyDescent="0.25">
      <c r="CM1784" s="361"/>
    </row>
    <row r="1785" spans="91:91" x14ac:dyDescent="0.25">
      <c r="CM1785" s="361"/>
    </row>
    <row r="1786" spans="91:91" x14ac:dyDescent="0.25">
      <c r="CM1786" s="361"/>
    </row>
    <row r="1787" spans="91:91" x14ac:dyDescent="0.25">
      <c r="CM1787" s="361"/>
    </row>
    <row r="1788" spans="91:91" x14ac:dyDescent="0.25">
      <c r="CM1788" s="361"/>
    </row>
    <row r="1789" spans="91:91" x14ac:dyDescent="0.25">
      <c r="CM1789" s="361"/>
    </row>
    <row r="1790" spans="91:91" x14ac:dyDescent="0.25">
      <c r="CM1790" s="361"/>
    </row>
    <row r="1791" spans="91:91" x14ac:dyDescent="0.25">
      <c r="CM1791" s="361"/>
    </row>
    <row r="1792" spans="91:91" x14ac:dyDescent="0.25">
      <c r="CM1792" s="361"/>
    </row>
    <row r="1793" spans="91:91" x14ac:dyDescent="0.25">
      <c r="CM1793" s="361"/>
    </row>
    <row r="1794" spans="91:91" x14ac:dyDescent="0.25">
      <c r="CM1794" s="361"/>
    </row>
    <row r="1795" spans="91:91" x14ac:dyDescent="0.25">
      <c r="CM1795" s="361"/>
    </row>
    <row r="1796" spans="91:91" x14ac:dyDescent="0.25">
      <c r="CM1796" s="361"/>
    </row>
    <row r="1797" spans="91:91" x14ac:dyDescent="0.25">
      <c r="CM1797" s="361"/>
    </row>
    <row r="1798" spans="91:91" x14ac:dyDescent="0.25">
      <c r="CM1798" s="361"/>
    </row>
    <row r="1799" spans="91:91" x14ac:dyDescent="0.25">
      <c r="CM1799" s="361"/>
    </row>
    <row r="1800" spans="91:91" x14ac:dyDescent="0.25">
      <c r="CM1800" s="361"/>
    </row>
    <row r="1801" spans="91:91" x14ac:dyDescent="0.25">
      <c r="CM1801" s="361"/>
    </row>
    <row r="1802" spans="91:91" x14ac:dyDescent="0.25">
      <c r="CM1802" s="361"/>
    </row>
    <row r="1803" spans="91:91" x14ac:dyDescent="0.25">
      <c r="CM1803" s="361"/>
    </row>
    <row r="1804" spans="91:91" x14ac:dyDescent="0.25">
      <c r="CM1804" s="361"/>
    </row>
    <row r="1805" spans="91:91" x14ac:dyDescent="0.25">
      <c r="CM1805" s="361"/>
    </row>
    <row r="1806" spans="91:91" x14ac:dyDescent="0.25">
      <c r="CM1806" s="361"/>
    </row>
    <row r="1807" spans="91:91" x14ac:dyDescent="0.25">
      <c r="CM1807" s="361"/>
    </row>
    <row r="1808" spans="91:91" x14ac:dyDescent="0.25">
      <c r="CM1808" s="361"/>
    </row>
    <row r="1809" spans="91:91" x14ac:dyDescent="0.25">
      <c r="CM1809" s="361"/>
    </row>
    <row r="1810" spans="91:91" x14ac:dyDescent="0.25">
      <c r="CM1810" s="361"/>
    </row>
    <row r="1811" spans="91:91" x14ac:dyDescent="0.25">
      <c r="CM1811" s="361"/>
    </row>
    <row r="1812" spans="91:91" x14ac:dyDescent="0.25">
      <c r="CM1812" s="361"/>
    </row>
    <row r="1813" spans="91:91" x14ac:dyDescent="0.25">
      <c r="CM1813" s="361"/>
    </row>
    <row r="1814" spans="91:91" x14ac:dyDescent="0.25">
      <c r="CM1814" s="361"/>
    </row>
    <row r="1815" spans="91:91" x14ac:dyDescent="0.25">
      <c r="CM1815" s="361"/>
    </row>
    <row r="1816" spans="91:91" x14ac:dyDescent="0.25">
      <c r="CM1816" s="361"/>
    </row>
    <row r="1817" spans="91:91" x14ac:dyDescent="0.25">
      <c r="CM1817" s="361"/>
    </row>
    <row r="1818" spans="91:91" x14ac:dyDescent="0.25">
      <c r="CM1818" s="361"/>
    </row>
    <row r="1819" spans="91:91" x14ac:dyDescent="0.25">
      <c r="CM1819" s="361"/>
    </row>
    <row r="1820" spans="91:91" x14ac:dyDescent="0.25">
      <c r="CM1820" s="361"/>
    </row>
    <row r="1821" spans="91:91" x14ac:dyDescent="0.25">
      <c r="CM1821" s="361"/>
    </row>
    <row r="1822" spans="91:91" x14ac:dyDescent="0.25">
      <c r="CM1822" s="361"/>
    </row>
    <row r="1823" spans="91:91" x14ac:dyDescent="0.25">
      <c r="CM1823" s="361"/>
    </row>
    <row r="1824" spans="91:91" x14ac:dyDescent="0.25">
      <c r="CM1824" s="361"/>
    </row>
    <row r="1825" spans="91:91" x14ac:dyDescent="0.25">
      <c r="CM1825" s="361"/>
    </row>
    <row r="1826" spans="91:91" x14ac:dyDescent="0.25">
      <c r="CM1826" s="361"/>
    </row>
    <row r="1827" spans="91:91" x14ac:dyDescent="0.25">
      <c r="CM1827" s="361"/>
    </row>
    <row r="1828" spans="91:91" x14ac:dyDescent="0.25">
      <c r="CM1828" s="361"/>
    </row>
    <row r="1829" spans="91:91" x14ac:dyDescent="0.25">
      <c r="CM1829" s="361"/>
    </row>
    <row r="1830" spans="91:91" x14ac:dyDescent="0.25">
      <c r="CM1830" s="361"/>
    </row>
    <row r="1831" spans="91:91" x14ac:dyDescent="0.25">
      <c r="CM1831" s="361"/>
    </row>
    <row r="1832" spans="91:91" x14ac:dyDescent="0.25">
      <c r="CM1832" s="361"/>
    </row>
    <row r="1833" spans="91:91" x14ac:dyDescent="0.25">
      <c r="CM1833" s="361"/>
    </row>
    <row r="1834" spans="91:91" x14ac:dyDescent="0.25">
      <c r="CM1834" s="361"/>
    </row>
    <row r="1835" spans="91:91" x14ac:dyDescent="0.25">
      <c r="CM1835" s="361"/>
    </row>
    <row r="1836" spans="91:91" x14ac:dyDescent="0.25">
      <c r="CM1836" s="361"/>
    </row>
    <row r="1837" spans="91:91" x14ac:dyDescent="0.25">
      <c r="CM1837" s="361"/>
    </row>
    <row r="1838" spans="91:91" x14ac:dyDescent="0.25">
      <c r="CM1838" s="361"/>
    </row>
    <row r="1839" spans="91:91" x14ac:dyDescent="0.25">
      <c r="CM1839" s="361"/>
    </row>
    <row r="1840" spans="91:91" x14ac:dyDescent="0.25">
      <c r="CM1840" s="361"/>
    </row>
    <row r="1841" spans="91:91" x14ac:dyDescent="0.25">
      <c r="CM1841" s="361"/>
    </row>
    <row r="1842" spans="91:91" x14ac:dyDescent="0.25">
      <c r="CM1842" s="361"/>
    </row>
    <row r="1843" spans="91:91" x14ac:dyDescent="0.25">
      <c r="CM1843" s="361"/>
    </row>
    <row r="1844" spans="91:91" x14ac:dyDescent="0.25">
      <c r="CM1844" s="361"/>
    </row>
    <row r="1845" spans="91:91" x14ac:dyDescent="0.25">
      <c r="CM1845" s="361"/>
    </row>
    <row r="1846" spans="91:91" x14ac:dyDescent="0.25">
      <c r="CM1846" s="361"/>
    </row>
    <row r="1847" spans="91:91" x14ac:dyDescent="0.25">
      <c r="CM1847" s="361"/>
    </row>
    <row r="1848" spans="91:91" x14ac:dyDescent="0.25">
      <c r="CM1848" s="361"/>
    </row>
    <row r="1849" spans="91:91" x14ac:dyDescent="0.25">
      <c r="CM1849" s="361"/>
    </row>
    <row r="1850" spans="91:91" x14ac:dyDescent="0.25">
      <c r="CM1850" s="361"/>
    </row>
    <row r="1851" spans="91:91" x14ac:dyDescent="0.25">
      <c r="CM1851" s="361"/>
    </row>
    <row r="1852" spans="91:91" x14ac:dyDescent="0.25">
      <c r="CM1852" s="361"/>
    </row>
    <row r="1853" spans="91:91" x14ac:dyDescent="0.25">
      <c r="CM1853" s="361"/>
    </row>
    <row r="1854" spans="91:91" x14ac:dyDescent="0.25">
      <c r="CM1854" s="361"/>
    </row>
    <row r="1855" spans="91:91" x14ac:dyDescent="0.25">
      <c r="CM1855" s="361"/>
    </row>
    <row r="1856" spans="91:91" x14ac:dyDescent="0.25">
      <c r="CM1856" s="361"/>
    </row>
    <row r="1857" spans="91:91" x14ac:dyDescent="0.25">
      <c r="CM1857" s="361"/>
    </row>
    <row r="1858" spans="91:91" x14ac:dyDescent="0.25">
      <c r="CM1858" s="361"/>
    </row>
    <row r="1859" spans="91:91" x14ac:dyDescent="0.25">
      <c r="CM1859" s="361"/>
    </row>
    <row r="1860" spans="91:91" x14ac:dyDescent="0.25">
      <c r="CM1860" s="361"/>
    </row>
    <row r="1861" spans="91:91" x14ac:dyDescent="0.25">
      <c r="CM1861" s="361"/>
    </row>
    <row r="1862" spans="91:91" x14ac:dyDescent="0.25">
      <c r="CM1862" s="361"/>
    </row>
    <row r="1863" spans="91:91" x14ac:dyDescent="0.25">
      <c r="CM1863" s="361"/>
    </row>
    <row r="1864" spans="91:91" x14ac:dyDescent="0.25">
      <c r="CM1864" s="361"/>
    </row>
    <row r="1865" spans="91:91" x14ac:dyDescent="0.25">
      <c r="CM1865" s="361"/>
    </row>
    <row r="1866" spans="91:91" x14ac:dyDescent="0.25">
      <c r="CM1866" s="361"/>
    </row>
    <row r="1867" spans="91:91" x14ac:dyDescent="0.25">
      <c r="CM1867" s="361"/>
    </row>
    <row r="1868" spans="91:91" x14ac:dyDescent="0.25">
      <c r="CM1868" s="361"/>
    </row>
    <row r="1869" spans="91:91" x14ac:dyDescent="0.25">
      <c r="CM1869" s="361"/>
    </row>
    <row r="1870" spans="91:91" x14ac:dyDescent="0.25">
      <c r="CM1870" s="361"/>
    </row>
    <row r="1871" spans="91:91" x14ac:dyDescent="0.25">
      <c r="CM1871" s="361"/>
    </row>
    <row r="1872" spans="91:91" x14ac:dyDescent="0.25">
      <c r="CM1872" s="361"/>
    </row>
    <row r="1873" spans="91:91" x14ac:dyDescent="0.25">
      <c r="CM1873" s="361"/>
    </row>
    <row r="1874" spans="91:91" x14ac:dyDescent="0.25">
      <c r="CM1874" s="361"/>
    </row>
    <row r="1875" spans="91:91" x14ac:dyDescent="0.25">
      <c r="CM1875" s="361"/>
    </row>
    <row r="1876" spans="91:91" x14ac:dyDescent="0.25">
      <c r="CM1876" s="361"/>
    </row>
    <row r="1877" spans="91:91" x14ac:dyDescent="0.25">
      <c r="CM1877" s="361"/>
    </row>
    <row r="1878" spans="91:91" x14ac:dyDescent="0.25">
      <c r="CM1878" s="361"/>
    </row>
    <row r="1879" spans="91:91" x14ac:dyDescent="0.25">
      <c r="CM1879" s="361"/>
    </row>
    <row r="1880" spans="91:91" x14ac:dyDescent="0.25">
      <c r="CM1880" s="361"/>
    </row>
    <row r="1881" spans="91:91" x14ac:dyDescent="0.25">
      <c r="CM1881" s="361"/>
    </row>
    <row r="1882" spans="91:91" x14ac:dyDescent="0.25">
      <c r="CM1882" s="361"/>
    </row>
    <row r="1883" spans="91:91" x14ac:dyDescent="0.25">
      <c r="CM1883" s="361"/>
    </row>
    <row r="1884" spans="91:91" x14ac:dyDescent="0.25">
      <c r="CM1884" s="361"/>
    </row>
    <row r="1885" spans="91:91" x14ac:dyDescent="0.25">
      <c r="CM1885" s="361"/>
    </row>
    <row r="1886" spans="91:91" x14ac:dyDescent="0.25">
      <c r="CM1886" s="361"/>
    </row>
    <row r="1887" spans="91:91" x14ac:dyDescent="0.25">
      <c r="CM1887" s="361"/>
    </row>
    <row r="1888" spans="91:91" x14ac:dyDescent="0.25">
      <c r="CM1888" s="361"/>
    </row>
    <row r="1889" spans="91:91" x14ac:dyDescent="0.25">
      <c r="CM1889" s="361"/>
    </row>
    <row r="1890" spans="91:91" x14ac:dyDescent="0.25">
      <c r="CM1890" s="361"/>
    </row>
    <row r="1891" spans="91:91" x14ac:dyDescent="0.25">
      <c r="CM1891" s="361"/>
    </row>
    <row r="1892" spans="91:91" x14ac:dyDescent="0.25">
      <c r="CM1892" s="361"/>
    </row>
    <row r="1893" spans="91:91" x14ac:dyDescent="0.25">
      <c r="CM1893" s="361"/>
    </row>
    <row r="1894" spans="91:91" x14ac:dyDescent="0.25">
      <c r="CM1894" s="361"/>
    </row>
    <row r="1895" spans="91:91" x14ac:dyDescent="0.25">
      <c r="CM1895" s="361"/>
    </row>
    <row r="1896" spans="91:91" x14ac:dyDescent="0.25">
      <c r="CM1896" s="361"/>
    </row>
    <row r="1897" spans="91:91" x14ac:dyDescent="0.25">
      <c r="CM1897" s="361"/>
    </row>
    <row r="1898" spans="91:91" x14ac:dyDescent="0.25">
      <c r="CM1898" s="361"/>
    </row>
    <row r="1899" spans="91:91" x14ac:dyDescent="0.25">
      <c r="CM1899" s="361"/>
    </row>
    <row r="1900" spans="91:91" x14ac:dyDescent="0.25">
      <c r="CM1900" s="361"/>
    </row>
    <row r="1901" spans="91:91" x14ac:dyDescent="0.25">
      <c r="CM1901" s="361"/>
    </row>
    <row r="1902" spans="91:91" x14ac:dyDescent="0.25">
      <c r="CM1902" s="361"/>
    </row>
    <row r="1903" spans="91:91" x14ac:dyDescent="0.25">
      <c r="CM1903" s="361"/>
    </row>
    <row r="1904" spans="91:91" x14ac:dyDescent="0.25">
      <c r="CM1904" s="361"/>
    </row>
    <row r="1905" spans="91:91" x14ac:dyDescent="0.25">
      <c r="CM1905" s="361"/>
    </row>
    <row r="1906" spans="91:91" x14ac:dyDescent="0.25">
      <c r="CM1906" s="361"/>
    </row>
    <row r="1907" spans="91:91" x14ac:dyDescent="0.25">
      <c r="CM1907" s="361"/>
    </row>
    <row r="1908" spans="91:91" x14ac:dyDescent="0.25">
      <c r="CM1908" s="361"/>
    </row>
    <row r="1909" spans="91:91" x14ac:dyDescent="0.25">
      <c r="CM1909" s="361"/>
    </row>
    <row r="1910" spans="91:91" x14ac:dyDescent="0.25">
      <c r="CM1910" s="361"/>
    </row>
    <row r="1911" spans="91:91" x14ac:dyDescent="0.25">
      <c r="CM1911" s="361"/>
    </row>
    <row r="1912" spans="91:91" x14ac:dyDescent="0.25">
      <c r="CM1912" s="361"/>
    </row>
    <row r="1913" spans="91:91" x14ac:dyDescent="0.25">
      <c r="CM1913" s="361"/>
    </row>
    <row r="1914" spans="91:91" x14ac:dyDescent="0.25">
      <c r="CM1914" s="361"/>
    </row>
    <row r="1915" spans="91:91" x14ac:dyDescent="0.25">
      <c r="CM1915" s="361"/>
    </row>
    <row r="1916" spans="91:91" x14ac:dyDescent="0.25">
      <c r="CM1916" s="361"/>
    </row>
    <row r="1917" spans="91:91" x14ac:dyDescent="0.25">
      <c r="CM1917" s="361"/>
    </row>
    <row r="1918" spans="91:91" x14ac:dyDescent="0.25">
      <c r="CM1918" s="361"/>
    </row>
    <row r="1919" spans="91:91" x14ac:dyDescent="0.25">
      <c r="CM1919" s="361"/>
    </row>
    <row r="1920" spans="91:91" x14ac:dyDescent="0.25">
      <c r="CM1920" s="361"/>
    </row>
    <row r="1921" spans="91:91" x14ac:dyDescent="0.25">
      <c r="CM1921" s="361"/>
    </row>
    <row r="1922" spans="91:91" x14ac:dyDescent="0.25">
      <c r="CM1922" s="361"/>
    </row>
    <row r="1923" spans="91:91" x14ac:dyDescent="0.25">
      <c r="CM1923" s="361"/>
    </row>
    <row r="1924" spans="91:91" x14ac:dyDescent="0.25">
      <c r="CM1924" s="361"/>
    </row>
    <row r="1925" spans="91:91" x14ac:dyDescent="0.25">
      <c r="CM1925" s="361"/>
    </row>
    <row r="1926" spans="91:91" x14ac:dyDescent="0.25">
      <c r="CM1926" s="361"/>
    </row>
    <row r="1927" spans="91:91" x14ac:dyDescent="0.25">
      <c r="CM1927" s="361"/>
    </row>
    <row r="1928" spans="91:91" x14ac:dyDescent="0.25">
      <c r="CM1928" s="361"/>
    </row>
    <row r="1929" spans="91:91" x14ac:dyDescent="0.25">
      <c r="CM1929" s="361"/>
    </row>
    <row r="1930" spans="91:91" x14ac:dyDescent="0.25">
      <c r="CM1930" s="361"/>
    </row>
    <row r="1931" spans="91:91" x14ac:dyDescent="0.25">
      <c r="CM1931" s="361"/>
    </row>
    <row r="1932" spans="91:91" x14ac:dyDescent="0.25">
      <c r="CM1932" s="361"/>
    </row>
    <row r="1933" spans="91:91" x14ac:dyDescent="0.25">
      <c r="CM1933" s="361"/>
    </row>
    <row r="1934" spans="91:91" x14ac:dyDescent="0.25">
      <c r="CM1934" s="361"/>
    </row>
    <row r="1935" spans="91:91" x14ac:dyDescent="0.25">
      <c r="CM1935" s="361"/>
    </row>
    <row r="1936" spans="91:91" x14ac:dyDescent="0.25">
      <c r="CM1936" s="361"/>
    </row>
    <row r="1937" spans="91:91" x14ac:dyDescent="0.25">
      <c r="CM1937" s="361"/>
    </row>
    <row r="1938" spans="91:91" x14ac:dyDescent="0.25">
      <c r="CM1938" s="361"/>
    </row>
    <row r="1939" spans="91:91" x14ac:dyDescent="0.25">
      <c r="CM1939" s="361"/>
    </row>
    <row r="1940" spans="91:91" x14ac:dyDescent="0.25">
      <c r="CM1940" s="361"/>
    </row>
    <row r="1941" spans="91:91" x14ac:dyDescent="0.25">
      <c r="CM1941" s="361"/>
    </row>
    <row r="1942" spans="91:91" x14ac:dyDescent="0.25">
      <c r="CM1942" s="361"/>
    </row>
    <row r="1943" spans="91:91" x14ac:dyDescent="0.25">
      <c r="CM1943" s="361"/>
    </row>
    <row r="1944" spans="91:91" x14ac:dyDescent="0.25">
      <c r="CM1944" s="361"/>
    </row>
    <row r="1945" spans="91:91" x14ac:dyDescent="0.25">
      <c r="CM1945" s="361"/>
    </row>
    <row r="1946" spans="91:91" x14ac:dyDescent="0.25">
      <c r="CM1946" s="361"/>
    </row>
    <row r="1947" spans="91:91" x14ac:dyDescent="0.25">
      <c r="CM1947" s="361"/>
    </row>
    <row r="1948" spans="91:91" x14ac:dyDescent="0.25">
      <c r="CM1948" s="361"/>
    </row>
    <row r="1949" spans="91:91" x14ac:dyDescent="0.25">
      <c r="CM1949" s="361"/>
    </row>
    <row r="1950" spans="91:91" x14ac:dyDescent="0.25">
      <c r="CM1950" s="361"/>
    </row>
    <row r="1951" spans="91:91" x14ac:dyDescent="0.25">
      <c r="CM1951" s="361"/>
    </row>
    <row r="1952" spans="91:91" x14ac:dyDescent="0.25">
      <c r="CM1952" s="361"/>
    </row>
    <row r="1953" spans="91:91" x14ac:dyDescent="0.25">
      <c r="CM1953" s="361"/>
    </row>
    <row r="1954" spans="91:91" x14ac:dyDescent="0.25">
      <c r="CM1954" s="361"/>
    </row>
    <row r="1955" spans="91:91" x14ac:dyDescent="0.25">
      <c r="CM1955" s="361"/>
    </row>
    <row r="1956" spans="91:91" x14ac:dyDescent="0.25">
      <c r="CM1956" s="361"/>
    </row>
    <row r="1957" spans="91:91" x14ac:dyDescent="0.25">
      <c r="CM1957" s="361"/>
    </row>
    <row r="1958" spans="91:91" x14ac:dyDescent="0.25">
      <c r="CM1958" s="361"/>
    </row>
    <row r="1959" spans="91:91" x14ac:dyDescent="0.25">
      <c r="CM1959" s="361"/>
    </row>
    <row r="1960" spans="91:91" x14ac:dyDescent="0.25">
      <c r="CM1960" s="361"/>
    </row>
    <row r="1961" spans="91:91" x14ac:dyDescent="0.25">
      <c r="CM1961" s="361"/>
    </row>
    <row r="1962" spans="91:91" x14ac:dyDescent="0.25">
      <c r="CM1962" s="361"/>
    </row>
    <row r="1963" spans="91:91" x14ac:dyDescent="0.25">
      <c r="CM1963" s="361"/>
    </row>
    <row r="1964" spans="91:91" x14ac:dyDescent="0.25">
      <c r="CM1964" s="361"/>
    </row>
    <row r="1965" spans="91:91" x14ac:dyDescent="0.25">
      <c r="CM1965" s="361"/>
    </row>
    <row r="1966" spans="91:91" x14ac:dyDescent="0.25">
      <c r="CM1966" s="361"/>
    </row>
    <row r="1967" spans="91:91" x14ac:dyDescent="0.25">
      <c r="CM1967" s="361"/>
    </row>
    <row r="1968" spans="91:91" x14ac:dyDescent="0.25">
      <c r="CM1968" s="361"/>
    </row>
    <row r="1969" spans="91:91" x14ac:dyDescent="0.25">
      <c r="CM1969" s="361"/>
    </row>
    <row r="1970" spans="91:91" x14ac:dyDescent="0.25">
      <c r="CM1970" s="361"/>
    </row>
    <row r="1971" spans="91:91" x14ac:dyDescent="0.25">
      <c r="CM1971" s="361"/>
    </row>
    <row r="1972" spans="91:91" x14ac:dyDescent="0.25">
      <c r="CM1972" s="361"/>
    </row>
    <row r="1973" spans="91:91" x14ac:dyDescent="0.25">
      <c r="CM1973" s="361"/>
    </row>
    <row r="1974" spans="91:91" x14ac:dyDescent="0.25">
      <c r="CM1974" s="361"/>
    </row>
    <row r="1975" spans="91:91" x14ac:dyDescent="0.25">
      <c r="CM1975" s="361"/>
    </row>
    <row r="1976" spans="91:91" x14ac:dyDescent="0.25">
      <c r="CM1976" s="361"/>
    </row>
    <row r="1977" spans="91:91" x14ac:dyDescent="0.25">
      <c r="CM1977" s="361"/>
    </row>
    <row r="1978" spans="91:91" x14ac:dyDescent="0.25">
      <c r="CM1978" s="361"/>
    </row>
    <row r="1979" spans="91:91" x14ac:dyDescent="0.25">
      <c r="CM1979" s="361"/>
    </row>
    <row r="1980" spans="91:91" x14ac:dyDescent="0.25">
      <c r="CM1980" s="361"/>
    </row>
    <row r="1981" spans="91:91" x14ac:dyDescent="0.25">
      <c r="CM1981" s="361"/>
    </row>
    <row r="1982" spans="91:91" x14ac:dyDescent="0.25">
      <c r="CM1982" s="361"/>
    </row>
    <row r="1983" spans="91:91" x14ac:dyDescent="0.25">
      <c r="CM1983" s="361"/>
    </row>
    <row r="1984" spans="91:91" x14ac:dyDescent="0.25">
      <c r="CM1984" s="361"/>
    </row>
    <row r="1985" spans="91:91" x14ac:dyDescent="0.25">
      <c r="CM1985" s="361"/>
    </row>
    <row r="1986" spans="91:91" x14ac:dyDescent="0.25">
      <c r="CM1986" s="361"/>
    </row>
    <row r="1987" spans="91:91" x14ac:dyDescent="0.25">
      <c r="CM1987" s="361"/>
    </row>
    <row r="1988" spans="91:91" x14ac:dyDescent="0.25">
      <c r="CM1988" s="361"/>
    </row>
    <row r="1989" spans="91:91" x14ac:dyDescent="0.25">
      <c r="CM1989" s="361"/>
    </row>
    <row r="1990" spans="91:91" x14ac:dyDescent="0.25">
      <c r="CM1990" s="361"/>
    </row>
    <row r="1991" spans="91:91" x14ac:dyDescent="0.25">
      <c r="CM1991" s="361"/>
    </row>
    <row r="1992" spans="91:91" x14ac:dyDescent="0.25">
      <c r="CM1992" s="361"/>
    </row>
    <row r="1993" spans="91:91" x14ac:dyDescent="0.25">
      <c r="CM1993" s="361"/>
    </row>
    <row r="1994" spans="91:91" x14ac:dyDescent="0.25">
      <c r="CM1994" s="361"/>
    </row>
    <row r="1995" spans="91:91" x14ac:dyDescent="0.25">
      <c r="CM1995" s="361"/>
    </row>
    <row r="1996" spans="91:91" x14ac:dyDescent="0.25">
      <c r="CM1996" s="361"/>
    </row>
    <row r="1997" spans="91:91" x14ac:dyDescent="0.25">
      <c r="CM1997" s="361"/>
    </row>
    <row r="1998" spans="91:91" x14ac:dyDescent="0.25">
      <c r="CM1998" s="361"/>
    </row>
    <row r="1999" spans="91:91" x14ac:dyDescent="0.25">
      <c r="CM1999" s="361"/>
    </row>
    <row r="2000" spans="91:91" x14ac:dyDescent="0.25">
      <c r="CM2000" s="361"/>
    </row>
    <row r="2001" spans="91:91" x14ac:dyDescent="0.25">
      <c r="CM2001" s="361"/>
    </row>
    <row r="2002" spans="91:91" x14ac:dyDescent="0.25">
      <c r="CM2002" s="361"/>
    </row>
    <row r="2003" spans="91:91" x14ac:dyDescent="0.25">
      <c r="CM2003" s="361"/>
    </row>
    <row r="2004" spans="91:91" x14ac:dyDescent="0.25">
      <c r="CM2004" s="361"/>
    </row>
    <row r="2005" spans="91:91" x14ac:dyDescent="0.25">
      <c r="CM2005" s="361"/>
    </row>
    <row r="2006" spans="91:91" x14ac:dyDescent="0.25">
      <c r="CM2006" s="361"/>
    </row>
    <row r="2007" spans="91:91" x14ac:dyDescent="0.25">
      <c r="CM2007" s="361"/>
    </row>
    <row r="2008" spans="91:91" x14ac:dyDescent="0.25">
      <c r="CM2008" s="361"/>
    </row>
    <row r="2009" spans="91:91" x14ac:dyDescent="0.25">
      <c r="CM2009" s="361"/>
    </row>
    <row r="2010" spans="91:91" x14ac:dyDescent="0.25">
      <c r="CM2010" s="361"/>
    </row>
    <row r="2011" spans="91:91" x14ac:dyDescent="0.25">
      <c r="CM2011" s="361"/>
    </row>
    <row r="2012" spans="91:91" x14ac:dyDescent="0.25">
      <c r="CM2012" s="361"/>
    </row>
    <row r="2013" spans="91:91" x14ac:dyDescent="0.25">
      <c r="CM2013" s="361"/>
    </row>
    <row r="2014" spans="91:91" x14ac:dyDescent="0.25">
      <c r="CM2014" s="361"/>
    </row>
    <row r="2015" spans="91:91" x14ac:dyDescent="0.25">
      <c r="CM2015" s="361"/>
    </row>
    <row r="2016" spans="91:91" x14ac:dyDescent="0.25">
      <c r="CM2016" s="361"/>
    </row>
    <row r="2017" spans="91:91" x14ac:dyDescent="0.25">
      <c r="CM2017" s="361"/>
    </row>
    <row r="2018" spans="91:91" x14ac:dyDescent="0.25">
      <c r="CM2018" s="361"/>
    </row>
    <row r="2019" spans="91:91" x14ac:dyDescent="0.25">
      <c r="CM2019" s="361"/>
    </row>
    <row r="2020" spans="91:91" x14ac:dyDescent="0.25">
      <c r="CM2020" s="361"/>
    </row>
    <row r="2021" spans="91:91" x14ac:dyDescent="0.25">
      <c r="CM2021" s="361"/>
    </row>
    <row r="2022" spans="91:91" x14ac:dyDescent="0.25">
      <c r="CM2022" s="361"/>
    </row>
    <row r="2023" spans="91:91" x14ac:dyDescent="0.25">
      <c r="CM2023" s="361"/>
    </row>
    <row r="2024" spans="91:91" x14ac:dyDescent="0.25">
      <c r="CM2024" s="361"/>
    </row>
    <row r="2025" spans="91:91" x14ac:dyDescent="0.25">
      <c r="CM2025" s="361"/>
    </row>
    <row r="2026" spans="91:91" x14ac:dyDescent="0.25">
      <c r="CM2026" s="361"/>
    </row>
    <row r="2027" spans="91:91" x14ac:dyDescent="0.25">
      <c r="CM2027" s="361"/>
    </row>
    <row r="2028" spans="91:91" x14ac:dyDescent="0.25">
      <c r="CM2028" s="361"/>
    </row>
    <row r="2029" spans="91:91" x14ac:dyDescent="0.25">
      <c r="CM2029" s="361"/>
    </row>
    <row r="2030" spans="91:91" x14ac:dyDescent="0.25">
      <c r="CM2030" s="361"/>
    </row>
    <row r="2031" spans="91:91" x14ac:dyDescent="0.25">
      <c r="CM2031" s="361"/>
    </row>
    <row r="2032" spans="91:91" x14ac:dyDescent="0.25">
      <c r="CM2032" s="361"/>
    </row>
    <row r="2033" spans="91:91" x14ac:dyDescent="0.25">
      <c r="CM2033" s="361"/>
    </row>
    <row r="2034" spans="91:91" x14ac:dyDescent="0.25">
      <c r="CM2034" s="361"/>
    </row>
    <row r="2035" spans="91:91" x14ac:dyDescent="0.25">
      <c r="CM2035" s="361"/>
    </row>
    <row r="2036" spans="91:91" x14ac:dyDescent="0.25">
      <c r="CM2036" s="361"/>
    </row>
    <row r="2037" spans="91:91" x14ac:dyDescent="0.25">
      <c r="CM2037" s="361"/>
    </row>
    <row r="2038" spans="91:91" x14ac:dyDescent="0.25">
      <c r="CM2038" s="361"/>
    </row>
    <row r="2039" spans="91:91" x14ac:dyDescent="0.25">
      <c r="CM2039" s="361"/>
    </row>
    <row r="2040" spans="91:91" x14ac:dyDescent="0.25">
      <c r="CM2040" s="361"/>
    </row>
    <row r="2041" spans="91:91" x14ac:dyDescent="0.25">
      <c r="CM2041" s="361"/>
    </row>
    <row r="2042" spans="91:91" x14ac:dyDescent="0.25">
      <c r="CM2042" s="361"/>
    </row>
    <row r="2043" spans="91:91" x14ac:dyDescent="0.25">
      <c r="CM2043" s="361"/>
    </row>
    <row r="2044" spans="91:91" x14ac:dyDescent="0.25">
      <c r="CM2044" s="361"/>
    </row>
    <row r="2045" spans="91:91" x14ac:dyDescent="0.25">
      <c r="CM2045" s="361"/>
    </row>
    <row r="2046" spans="91:91" x14ac:dyDescent="0.25">
      <c r="CM2046" s="361"/>
    </row>
    <row r="2047" spans="91:91" x14ac:dyDescent="0.25">
      <c r="CM2047" s="361"/>
    </row>
    <row r="2048" spans="91:91" x14ac:dyDescent="0.25">
      <c r="CM2048" s="361"/>
    </row>
    <row r="2049" spans="91:91" x14ac:dyDescent="0.25">
      <c r="CM2049" s="361"/>
    </row>
    <row r="2050" spans="91:91" x14ac:dyDescent="0.25">
      <c r="CM2050" s="361"/>
    </row>
    <row r="2051" spans="91:91" x14ac:dyDescent="0.25">
      <c r="CM2051" s="361"/>
    </row>
    <row r="2052" spans="91:91" x14ac:dyDescent="0.25">
      <c r="CM2052" s="361"/>
    </row>
    <row r="2053" spans="91:91" x14ac:dyDescent="0.25">
      <c r="CM2053" s="361"/>
    </row>
    <row r="2054" spans="91:91" x14ac:dyDescent="0.25">
      <c r="CM2054" s="361"/>
    </row>
    <row r="2055" spans="91:91" x14ac:dyDescent="0.25">
      <c r="CM2055" s="361"/>
    </row>
    <row r="2056" spans="91:91" x14ac:dyDescent="0.25">
      <c r="CM2056" s="361"/>
    </row>
    <row r="2057" spans="91:91" x14ac:dyDescent="0.25">
      <c r="CM2057" s="361"/>
    </row>
    <row r="2058" spans="91:91" x14ac:dyDescent="0.25">
      <c r="CM2058" s="361"/>
    </row>
    <row r="2059" spans="91:91" x14ac:dyDescent="0.25">
      <c r="CM2059" s="361"/>
    </row>
    <row r="2060" spans="91:91" x14ac:dyDescent="0.25">
      <c r="CM2060" s="361"/>
    </row>
    <row r="2061" spans="91:91" x14ac:dyDescent="0.25">
      <c r="CM2061" s="361"/>
    </row>
    <row r="2062" spans="91:91" x14ac:dyDescent="0.25">
      <c r="CM2062" s="361"/>
    </row>
    <row r="2063" spans="91:91" x14ac:dyDescent="0.25">
      <c r="CM2063" s="361"/>
    </row>
    <row r="2064" spans="91:91" x14ac:dyDescent="0.25">
      <c r="CM2064" s="361"/>
    </row>
    <row r="2065" spans="91:91" x14ac:dyDescent="0.25">
      <c r="CM2065" s="361"/>
    </row>
    <row r="2066" spans="91:91" x14ac:dyDescent="0.25">
      <c r="CM2066" s="361"/>
    </row>
    <row r="2067" spans="91:91" x14ac:dyDescent="0.25">
      <c r="CM2067" s="361"/>
    </row>
    <row r="2068" spans="91:91" x14ac:dyDescent="0.25">
      <c r="CM2068" s="361"/>
    </row>
    <row r="2069" spans="91:91" x14ac:dyDescent="0.25">
      <c r="CM2069" s="361"/>
    </row>
    <row r="2070" spans="91:91" x14ac:dyDescent="0.25">
      <c r="CM2070" s="361"/>
    </row>
    <row r="2071" spans="91:91" x14ac:dyDescent="0.25">
      <c r="CM2071" s="361"/>
    </row>
    <row r="2072" spans="91:91" x14ac:dyDescent="0.25">
      <c r="CM2072" s="361"/>
    </row>
    <row r="2073" spans="91:91" x14ac:dyDescent="0.25">
      <c r="CM2073" s="361"/>
    </row>
    <row r="2074" spans="91:91" x14ac:dyDescent="0.25">
      <c r="CM2074" s="361"/>
    </row>
    <row r="2075" spans="91:91" x14ac:dyDescent="0.25">
      <c r="CM2075" s="361"/>
    </row>
    <row r="2076" spans="91:91" x14ac:dyDescent="0.25">
      <c r="CM2076" s="361"/>
    </row>
    <row r="2077" spans="91:91" x14ac:dyDescent="0.25">
      <c r="CM2077" s="361"/>
    </row>
    <row r="2078" spans="91:91" x14ac:dyDescent="0.25">
      <c r="CM2078" s="361"/>
    </row>
    <row r="2079" spans="91:91" x14ac:dyDescent="0.25">
      <c r="CM2079" s="361"/>
    </row>
    <row r="2080" spans="91:91" x14ac:dyDescent="0.25">
      <c r="CM2080" s="361"/>
    </row>
    <row r="2081" spans="91:91" x14ac:dyDescent="0.25">
      <c r="CM2081" s="361"/>
    </row>
    <row r="2082" spans="91:91" x14ac:dyDescent="0.25">
      <c r="CM2082" s="361"/>
    </row>
    <row r="2083" spans="91:91" x14ac:dyDescent="0.25">
      <c r="CM2083" s="361"/>
    </row>
    <row r="2084" spans="91:91" x14ac:dyDescent="0.25">
      <c r="CM2084" s="361"/>
    </row>
    <row r="2085" spans="91:91" x14ac:dyDescent="0.25">
      <c r="CM2085" s="361"/>
    </row>
    <row r="2086" spans="91:91" x14ac:dyDescent="0.25">
      <c r="CM2086" s="361"/>
    </row>
    <row r="2087" spans="91:91" x14ac:dyDescent="0.25">
      <c r="CM2087" s="361"/>
    </row>
    <row r="2088" spans="91:91" x14ac:dyDescent="0.25">
      <c r="CM2088" s="361"/>
    </row>
    <row r="2089" spans="91:91" x14ac:dyDescent="0.25">
      <c r="CM2089" s="361"/>
    </row>
    <row r="2090" spans="91:91" x14ac:dyDescent="0.25">
      <c r="CM2090" s="361"/>
    </row>
    <row r="2091" spans="91:91" x14ac:dyDescent="0.25">
      <c r="CM2091" s="361"/>
    </row>
    <row r="2092" spans="91:91" x14ac:dyDescent="0.25">
      <c r="CM2092" s="361"/>
    </row>
    <row r="2093" spans="91:91" x14ac:dyDescent="0.25">
      <c r="CM2093" s="361"/>
    </row>
    <row r="2094" spans="91:91" x14ac:dyDescent="0.25">
      <c r="CM2094" s="361"/>
    </row>
    <row r="2095" spans="91:91" x14ac:dyDescent="0.25">
      <c r="CM2095" s="361"/>
    </row>
    <row r="2096" spans="91:91" x14ac:dyDescent="0.25">
      <c r="CM2096" s="361"/>
    </row>
    <row r="2097" spans="91:91" x14ac:dyDescent="0.25">
      <c r="CM2097" s="361"/>
    </row>
    <row r="2098" spans="91:91" x14ac:dyDescent="0.25">
      <c r="CM2098" s="361"/>
    </row>
    <row r="2099" spans="91:91" x14ac:dyDescent="0.25">
      <c r="CM2099" s="361"/>
    </row>
    <row r="2100" spans="91:91" x14ac:dyDescent="0.25">
      <c r="CM2100" s="361"/>
    </row>
    <row r="2101" spans="91:91" x14ac:dyDescent="0.25">
      <c r="CM2101" s="361"/>
    </row>
    <row r="2102" spans="91:91" x14ac:dyDescent="0.25">
      <c r="CM2102" s="361"/>
    </row>
    <row r="2103" spans="91:91" x14ac:dyDescent="0.25">
      <c r="CM2103" s="361"/>
    </row>
    <row r="2104" spans="91:91" x14ac:dyDescent="0.25">
      <c r="CM2104" s="361"/>
    </row>
    <row r="2105" spans="91:91" x14ac:dyDescent="0.25">
      <c r="CM2105" s="361"/>
    </row>
    <row r="2106" spans="91:91" x14ac:dyDescent="0.25">
      <c r="CM2106" s="361"/>
    </row>
    <row r="2107" spans="91:91" x14ac:dyDescent="0.25">
      <c r="CM2107" s="361"/>
    </row>
    <row r="2108" spans="91:91" x14ac:dyDescent="0.25">
      <c r="CM2108" s="361"/>
    </row>
    <row r="2109" spans="91:91" x14ac:dyDescent="0.25">
      <c r="CM2109" s="361"/>
    </row>
    <row r="2110" spans="91:91" x14ac:dyDescent="0.25">
      <c r="CM2110" s="361"/>
    </row>
    <row r="2111" spans="91:91" x14ac:dyDescent="0.25">
      <c r="CM2111" s="361"/>
    </row>
    <row r="2112" spans="91:91" x14ac:dyDescent="0.25">
      <c r="CM2112" s="361"/>
    </row>
    <row r="2113" spans="91:91" x14ac:dyDescent="0.25">
      <c r="CM2113" s="361"/>
    </row>
    <row r="2114" spans="91:91" x14ac:dyDescent="0.25">
      <c r="CM2114" s="361"/>
    </row>
    <row r="2115" spans="91:91" x14ac:dyDescent="0.25">
      <c r="CM2115" s="361"/>
    </row>
    <row r="2116" spans="91:91" x14ac:dyDescent="0.25">
      <c r="CM2116" s="361"/>
    </row>
    <row r="2117" spans="91:91" x14ac:dyDescent="0.25">
      <c r="CM2117" s="361"/>
    </row>
    <row r="2118" spans="91:91" x14ac:dyDescent="0.25">
      <c r="CM2118" s="361"/>
    </row>
    <row r="2119" spans="91:91" x14ac:dyDescent="0.25">
      <c r="CM2119" s="361"/>
    </row>
    <row r="2120" spans="91:91" x14ac:dyDescent="0.25">
      <c r="CM2120" s="361"/>
    </row>
    <row r="2121" spans="91:91" x14ac:dyDescent="0.25">
      <c r="CM2121" s="361"/>
    </row>
    <row r="2122" spans="91:91" x14ac:dyDescent="0.25">
      <c r="CM2122" s="361"/>
    </row>
    <row r="2123" spans="91:91" x14ac:dyDescent="0.25">
      <c r="CM2123" s="361"/>
    </row>
    <row r="2124" spans="91:91" x14ac:dyDescent="0.25">
      <c r="CM2124" s="361"/>
    </row>
    <row r="2125" spans="91:91" x14ac:dyDescent="0.25">
      <c r="CM2125" s="361"/>
    </row>
    <row r="2126" spans="91:91" x14ac:dyDescent="0.25">
      <c r="CM2126" s="361"/>
    </row>
    <row r="2127" spans="91:91" x14ac:dyDescent="0.25">
      <c r="CM2127" s="361"/>
    </row>
    <row r="2128" spans="91:91" x14ac:dyDescent="0.25">
      <c r="CM2128" s="361"/>
    </row>
    <row r="2129" spans="91:91" x14ac:dyDescent="0.25">
      <c r="CM2129" s="361"/>
    </row>
    <row r="2130" spans="91:91" x14ac:dyDescent="0.25">
      <c r="CM2130" s="361"/>
    </row>
    <row r="2131" spans="91:91" x14ac:dyDescent="0.25">
      <c r="CM2131" s="361"/>
    </row>
    <row r="2132" spans="91:91" x14ac:dyDescent="0.25">
      <c r="CM2132" s="361"/>
    </row>
    <row r="2133" spans="91:91" x14ac:dyDescent="0.25">
      <c r="CM2133" s="361"/>
    </row>
    <row r="2134" spans="91:91" x14ac:dyDescent="0.25">
      <c r="CM2134" s="361"/>
    </row>
    <row r="2135" spans="91:91" x14ac:dyDescent="0.25">
      <c r="CM2135" s="361"/>
    </row>
    <row r="2136" spans="91:91" x14ac:dyDescent="0.25">
      <c r="CM2136" s="361"/>
    </row>
    <row r="2137" spans="91:91" x14ac:dyDescent="0.25">
      <c r="CM2137" s="361"/>
    </row>
    <row r="2138" spans="91:91" x14ac:dyDescent="0.25">
      <c r="CM2138" s="361"/>
    </row>
    <row r="2139" spans="91:91" x14ac:dyDescent="0.25">
      <c r="CM2139" s="361"/>
    </row>
    <row r="2140" spans="91:91" x14ac:dyDescent="0.25">
      <c r="CM2140" s="361"/>
    </row>
    <row r="2141" spans="91:91" x14ac:dyDescent="0.25">
      <c r="CM2141" s="361"/>
    </row>
    <row r="2142" spans="91:91" x14ac:dyDescent="0.25">
      <c r="CM2142" s="361"/>
    </row>
    <row r="2143" spans="91:91" x14ac:dyDescent="0.25">
      <c r="CM2143" s="361"/>
    </row>
    <row r="2144" spans="91:91" x14ac:dyDescent="0.25">
      <c r="CM2144" s="361"/>
    </row>
    <row r="2145" spans="91:91" x14ac:dyDescent="0.25">
      <c r="CM2145" s="361"/>
    </row>
    <row r="2146" spans="91:91" x14ac:dyDescent="0.25">
      <c r="CM2146" s="361"/>
    </row>
    <row r="2147" spans="91:91" x14ac:dyDescent="0.25">
      <c r="CM2147" s="361"/>
    </row>
    <row r="2148" spans="91:91" x14ac:dyDescent="0.25">
      <c r="CM2148" s="361"/>
    </row>
    <row r="2149" spans="91:91" x14ac:dyDescent="0.25">
      <c r="CM2149" s="361"/>
    </row>
    <row r="2150" spans="91:91" x14ac:dyDescent="0.25">
      <c r="CM2150" s="361"/>
    </row>
    <row r="2151" spans="91:91" x14ac:dyDescent="0.25">
      <c r="CM2151" s="361"/>
    </row>
    <row r="2152" spans="91:91" x14ac:dyDescent="0.25">
      <c r="CM2152" s="361"/>
    </row>
    <row r="2153" spans="91:91" x14ac:dyDescent="0.25">
      <c r="CM2153" s="361"/>
    </row>
    <row r="2154" spans="91:91" x14ac:dyDescent="0.25">
      <c r="CM2154" s="361"/>
    </row>
    <row r="2155" spans="91:91" x14ac:dyDescent="0.25">
      <c r="CM2155" s="361"/>
    </row>
    <row r="2156" spans="91:91" x14ac:dyDescent="0.25">
      <c r="CM2156" s="361"/>
    </row>
    <row r="2157" spans="91:91" x14ac:dyDescent="0.25">
      <c r="CM2157" s="361"/>
    </row>
    <row r="2158" spans="91:91" x14ac:dyDescent="0.25">
      <c r="CM2158" s="361"/>
    </row>
    <row r="2159" spans="91:91" x14ac:dyDescent="0.25">
      <c r="CM2159" s="361"/>
    </row>
    <row r="2160" spans="91:91" x14ac:dyDescent="0.25">
      <c r="CM2160" s="361"/>
    </row>
    <row r="2161" spans="91:91" x14ac:dyDescent="0.25">
      <c r="CM2161" s="361"/>
    </row>
    <row r="2162" spans="91:91" x14ac:dyDescent="0.25">
      <c r="CM2162" s="361"/>
    </row>
    <row r="2163" spans="91:91" x14ac:dyDescent="0.25">
      <c r="CM2163" s="361"/>
    </row>
    <row r="2164" spans="91:91" x14ac:dyDescent="0.25">
      <c r="CM2164" s="361"/>
    </row>
    <row r="2165" spans="91:91" x14ac:dyDescent="0.25">
      <c r="CM2165" s="361"/>
    </row>
    <row r="2166" spans="91:91" x14ac:dyDescent="0.25">
      <c r="CM2166" s="361"/>
    </row>
    <row r="2167" spans="91:91" x14ac:dyDescent="0.25">
      <c r="CM2167" s="361"/>
    </row>
    <row r="2168" spans="91:91" x14ac:dyDescent="0.25">
      <c r="CM2168" s="361"/>
    </row>
    <row r="2169" spans="91:91" x14ac:dyDescent="0.25">
      <c r="CM2169" s="361"/>
    </row>
    <row r="2170" spans="91:91" x14ac:dyDescent="0.25">
      <c r="CM2170" s="361"/>
    </row>
    <row r="2171" spans="91:91" x14ac:dyDescent="0.25">
      <c r="CM2171" s="361"/>
    </row>
    <row r="2172" spans="91:91" x14ac:dyDescent="0.25">
      <c r="CM2172" s="361"/>
    </row>
    <row r="2173" spans="91:91" x14ac:dyDescent="0.25">
      <c r="CM2173" s="361"/>
    </row>
    <row r="2174" spans="91:91" x14ac:dyDescent="0.25">
      <c r="CM2174" s="361"/>
    </row>
    <row r="2175" spans="91:91" x14ac:dyDescent="0.25">
      <c r="CM2175" s="361"/>
    </row>
    <row r="2176" spans="91:91" x14ac:dyDescent="0.25">
      <c r="CM2176" s="361"/>
    </row>
    <row r="2177" spans="91:91" x14ac:dyDescent="0.25">
      <c r="CM2177" s="361"/>
    </row>
    <row r="2178" spans="91:91" x14ac:dyDescent="0.25">
      <c r="CM2178" s="361"/>
    </row>
    <row r="2179" spans="91:91" x14ac:dyDescent="0.25">
      <c r="CM2179" s="361"/>
    </row>
    <row r="2180" spans="91:91" x14ac:dyDescent="0.25">
      <c r="CM2180" s="361"/>
    </row>
    <row r="2181" spans="91:91" x14ac:dyDescent="0.25">
      <c r="CM2181" s="361"/>
    </row>
    <row r="2182" spans="91:91" x14ac:dyDescent="0.25">
      <c r="CM2182" s="361"/>
    </row>
    <row r="2183" spans="91:91" x14ac:dyDescent="0.25">
      <c r="CM2183" s="361"/>
    </row>
    <row r="2184" spans="91:91" x14ac:dyDescent="0.25">
      <c r="CM2184" s="361"/>
    </row>
    <row r="2185" spans="91:91" x14ac:dyDescent="0.25">
      <c r="CM2185" s="361"/>
    </row>
    <row r="2186" spans="91:91" x14ac:dyDescent="0.25">
      <c r="CM2186" s="361"/>
    </row>
    <row r="2187" spans="91:91" x14ac:dyDescent="0.25">
      <c r="CM2187" s="361"/>
    </row>
    <row r="2188" spans="91:91" x14ac:dyDescent="0.25">
      <c r="CM2188" s="361"/>
    </row>
    <row r="2189" spans="91:91" x14ac:dyDescent="0.25">
      <c r="CM2189" s="361"/>
    </row>
    <row r="2190" spans="91:91" x14ac:dyDescent="0.25">
      <c r="CM2190" s="361"/>
    </row>
    <row r="2191" spans="91:91" x14ac:dyDescent="0.25">
      <c r="CM2191" s="361"/>
    </row>
    <row r="2192" spans="91:91" x14ac:dyDescent="0.25">
      <c r="CM2192" s="361"/>
    </row>
    <row r="2193" spans="91:91" x14ac:dyDescent="0.25">
      <c r="CM2193" s="361"/>
    </row>
    <row r="2194" spans="91:91" x14ac:dyDescent="0.25">
      <c r="CM2194" s="361"/>
    </row>
    <row r="2195" spans="91:91" x14ac:dyDescent="0.25">
      <c r="CM2195" s="361"/>
    </row>
    <row r="2196" spans="91:91" x14ac:dyDescent="0.25">
      <c r="CM2196" s="361"/>
    </row>
    <row r="2197" spans="91:91" x14ac:dyDescent="0.25">
      <c r="CM2197" s="361"/>
    </row>
    <row r="2198" spans="91:91" x14ac:dyDescent="0.25">
      <c r="CM2198" s="361"/>
    </row>
    <row r="2199" spans="91:91" x14ac:dyDescent="0.25">
      <c r="CM2199" s="361"/>
    </row>
    <row r="2200" spans="91:91" x14ac:dyDescent="0.25">
      <c r="CM2200" s="361"/>
    </row>
    <row r="2201" spans="91:91" x14ac:dyDescent="0.25">
      <c r="CM2201" s="361"/>
    </row>
    <row r="2202" spans="91:91" x14ac:dyDescent="0.25">
      <c r="CM2202" s="361"/>
    </row>
    <row r="2203" spans="91:91" x14ac:dyDescent="0.25">
      <c r="CM2203" s="361"/>
    </row>
    <row r="2204" spans="91:91" x14ac:dyDescent="0.25">
      <c r="CM2204" s="361"/>
    </row>
    <row r="2205" spans="91:91" x14ac:dyDescent="0.25">
      <c r="CM2205" s="361"/>
    </row>
    <row r="2206" spans="91:91" x14ac:dyDescent="0.25">
      <c r="CM2206" s="361"/>
    </row>
    <row r="2207" spans="91:91" x14ac:dyDescent="0.25">
      <c r="CM2207" s="361"/>
    </row>
    <row r="2208" spans="91:91" x14ac:dyDescent="0.25">
      <c r="CM2208" s="361"/>
    </row>
    <row r="2209" spans="91:91" x14ac:dyDescent="0.25">
      <c r="CM2209" s="361"/>
    </row>
    <row r="2210" spans="91:91" x14ac:dyDescent="0.25">
      <c r="CM2210" s="361"/>
    </row>
    <row r="2211" spans="91:91" x14ac:dyDescent="0.25">
      <c r="CM2211" s="361"/>
    </row>
    <row r="2212" spans="91:91" x14ac:dyDescent="0.25">
      <c r="CM2212" s="361"/>
    </row>
    <row r="2213" spans="91:91" x14ac:dyDescent="0.25">
      <c r="CM2213" s="361"/>
    </row>
    <row r="2214" spans="91:91" x14ac:dyDescent="0.25">
      <c r="CM2214" s="361"/>
    </row>
    <row r="2215" spans="91:91" x14ac:dyDescent="0.25">
      <c r="CM2215" s="361"/>
    </row>
    <row r="2216" spans="91:91" x14ac:dyDescent="0.25">
      <c r="CM2216" s="361"/>
    </row>
    <row r="2217" spans="91:91" x14ac:dyDescent="0.25">
      <c r="CM2217" s="361"/>
    </row>
    <row r="2218" spans="91:91" x14ac:dyDescent="0.25">
      <c r="CM2218" s="361"/>
    </row>
    <row r="2219" spans="91:91" x14ac:dyDescent="0.25">
      <c r="CM2219" s="361"/>
    </row>
    <row r="2220" spans="91:91" x14ac:dyDescent="0.25">
      <c r="CM2220" s="361"/>
    </row>
    <row r="2221" spans="91:91" x14ac:dyDescent="0.25">
      <c r="CM2221" s="361"/>
    </row>
    <row r="2222" spans="91:91" x14ac:dyDescent="0.25">
      <c r="CM2222" s="361"/>
    </row>
    <row r="2223" spans="91:91" x14ac:dyDescent="0.25">
      <c r="CM2223" s="361"/>
    </row>
    <row r="2224" spans="91:91" x14ac:dyDescent="0.25">
      <c r="CM2224" s="361"/>
    </row>
    <row r="2225" spans="91:91" x14ac:dyDescent="0.25">
      <c r="CM2225" s="361"/>
    </row>
    <row r="2226" spans="91:91" x14ac:dyDescent="0.25">
      <c r="CM2226" s="361"/>
    </row>
    <row r="2227" spans="91:91" x14ac:dyDescent="0.25">
      <c r="CM2227" s="361"/>
    </row>
    <row r="2228" spans="91:91" x14ac:dyDescent="0.25">
      <c r="CM2228" s="361"/>
    </row>
    <row r="2229" spans="91:91" x14ac:dyDescent="0.25">
      <c r="CM2229" s="361"/>
    </row>
    <row r="2230" spans="91:91" x14ac:dyDescent="0.25">
      <c r="CM2230" s="361"/>
    </row>
    <row r="2231" spans="91:91" x14ac:dyDescent="0.25">
      <c r="CM2231" s="361"/>
    </row>
    <row r="2232" spans="91:91" x14ac:dyDescent="0.25">
      <c r="CM2232" s="361"/>
    </row>
    <row r="2233" spans="91:91" x14ac:dyDescent="0.25">
      <c r="CM2233" s="361"/>
    </row>
    <row r="2234" spans="91:91" x14ac:dyDescent="0.25">
      <c r="CM2234" s="361"/>
    </row>
    <row r="2235" spans="91:91" x14ac:dyDescent="0.25">
      <c r="CM2235" s="361"/>
    </row>
    <row r="2236" spans="91:91" x14ac:dyDescent="0.25">
      <c r="CM2236" s="361"/>
    </row>
    <row r="2237" spans="91:91" x14ac:dyDescent="0.25">
      <c r="CM2237" s="361"/>
    </row>
    <row r="2238" spans="91:91" x14ac:dyDescent="0.25">
      <c r="CM2238" s="361"/>
    </row>
    <row r="2239" spans="91:91" x14ac:dyDescent="0.25">
      <c r="CM2239" s="361"/>
    </row>
    <row r="2240" spans="91:91" x14ac:dyDescent="0.25">
      <c r="CM2240" s="361"/>
    </row>
    <row r="2241" spans="91:91" x14ac:dyDescent="0.25">
      <c r="CM2241" s="361"/>
    </row>
    <row r="2242" spans="91:91" x14ac:dyDescent="0.25">
      <c r="CM2242" s="361"/>
    </row>
    <row r="2243" spans="91:91" x14ac:dyDescent="0.25">
      <c r="CM2243" s="361"/>
    </row>
    <row r="2244" spans="91:91" x14ac:dyDescent="0.25">
      <c r="CM2244" s="361"/>
    </row>
    <row r="2245" spans="91:91" x14ac:dyDescent="0.25">
      <c r="CM2245" s="361"/>
    </row>
    <row r="2246" spans="91:91" x14ac:dyDescent="0.25">
      <c r="CM2246" s="361"/>
    </row>
    <row r="2247" spans="91:91" x14ac:dyDescent="0.25">
      <c r="CM2247" s="361"/>
    </row>
    <row r="2248" spans="91:91" x14ac:dyDescent="0.25">
      <c r="CM2248" s="361"/>
    </row>
    <row r="2249" spans="91:91" x14ac:dyDescent="0.25">
      <c r="CM2249" s="361"/>
    </row>
    <row r="2250" spans="91:91" x14ac:dyDescent="0.25">
      <c r="CM2250" s="361"/>
    </row>
    <row r="2251" spans="91:91" x14ac:dyDescent="0.25">
      <c r="CM2251" s="361"/>
    </row>
    <row r="2252" spans="91:91" x14ac:dyDescent="0.25">
      <c r="CM2252" s="361"/>
    </row>
    <row r="2253" spans="91:91" x14ac:dyDescent="0.25">
      <c r="CM2253" s="361"/>
    </row>
    <row r="2254" spans="91:91" x14ac:dyDescent="0.25">
      <c r="CM2254" s="361"/>
    </row>
    <row r="2255" spans="91:91" x14ac:dyDescent="0.25">
      <c r="CM2255" s="361"/>
    </row>
    <row r="2256" spans="91:91" x14ac:dyDescent="0.25">
      <c r="CM2256" s="361"/>
    </row>
    <row r="2257" spans="91:91" x14ac:dyDescent="0.25">
      <c r="CM2257" s="361"/>
    </row>
    <row r="2258" spans="91:91" x14ac:dyDescent="0.25">
      <c r="CM2258" s="361"/>
    </row>
    <row r="2259" spans="91:91" x14ac:dyDescent="0.25">
      <c r="CM2259" s="361"/>
    </row>
    <row r="2260" spans="91:91" x14ac:dyDescent="0.25">
      <c r="CM2260" s="361"/>
    </row>
    <row r="2261" spans="91:91" x14ac:dyDescent="0.25">
      <c r="CM2261" s="361"/>
    </row>
    <row r="2262" spans="91:91" x14ac:dyDescent="0.25">
      <c r="CM2262" s="361"/>
    </row>
    <row r="2263" spans="91:91" x14ac:dyDescent="0.25">
      <c r="CM2263" s="361"/>
    </row>
    <row r="2264" spans="91:91" x14ac:dyDescent="0.25">
      <c r="CM2264" s="361"/>
    </row>
    <row r="2265" spans="91:91" x14ac:dyDescent="0.25">
      <c r="CM2265" s="361"/>
    </row>
    <row r="2266" spans="91:91" x14ac:dyDescent="0.25">
      <c r="CM2266" s="361"/>
    </row>
    <row r="2267" spans="91:91" x14ac:dyDescent="0.25">
      <c r="CM2267" s="361"/>
    </row>
    <row r="2268" spans="91:91" x14ac:dyDescent="0.25">
      <c r="CM2268" s="361"/>
    </row>
    <row r="2269" spans="91:91" x14ac:dyDescent="0.25">
      <c r="CM2269" s="361"/>
    </row>
    <row r="2270" spans="91:91" x14ac:dyDescent="0.25">
      <c r="CM2270" s="361"/>
    </row>
    <row r="2271" spans="91:91" x14ac:dyDescent="0.25">
      <c r="CM2271" s="361"/>
    </row>
    <row r="2272" spans="91:91" x14ac:dyDescent="0.25">
      <c r="CM2272" s="361"/>
    </row>
    <row r="2273" spans="91:91" x14ac:dyDescent="0.25">
      <c r="CM2273" s="361"/>
    </row>
    <row r="2274" spans="91:91" x14ac:dyDescent="0.25">
      <c r="CM2274" s="361"/>
    </row>
    <row r="2275" spans="91:91" x14ac:dyDescent="0.25">
      <c r="CM2275" s="361"/>
    </row>
    <row r="2276" spans="91:91" x14ac:dyDescent="0.25">
      <c r="CM2276" s="361"/>
    </row>
    <row r="2277" spans="91:91" x14ac:dyDescent="0.25">
      <c r="CM2277" s="361"/>
    </row>
    <row r="2278" spans="91:91" x14ac:dyDescent="0.25">
      <c r="CM2278" s="361"/>
    </row>
    <row r="2279" spans="91:91" x14ac:dyDescent="0.25">
      <c r="CM2279" s="361"/>
    </row>
    <row r="2280" spans="91:91" x14ac:dyDescent="0.25">
      <c r="CM2280" s="361"/>
    </row>
    <row r="2281" spans="91:91" x14ac:dyDescent="0.25">
      <c r="CM2281" s="361"/>
    </row>
    <row r="2282" spans="91:91" x14ac:dyDescent="0.25">
      <c r="CM2282" s="361"/>
    </row>
    <row r="2283" spans="91:91" x14ac:dyDescent="0.25">
      <c r="CM2283" s="361"/>
    </row>
    <row r="2284" spans="91:91" x14ac:dyDescent="0.25">
      <c r="CM2284" s="361"/>
    </row>
    <row r="2285" spans="91:91" x14ac:dyDescent="0.25">
      <c r="CM2285" s="361"/>
    </row>
    <row r="2286" spans="91:91" x14ac:dyDescent="0.25">
      <c r="CM2286" s="361"/>
    </row>
    <row r="2287" spans="91:91" x14ac:dyDescent="0.25">
      <c r="CM2287" s="361"/>
    </row>
    <row r="2288" spans="91:91" x14ac:dyDescent="0.25">
      <c r="CM2288" s="361"/>
    </row>
    <row r="2289" spans="91:91" x14ac:dyDescent="0.25">
      <c r="CM2289" s="361"/>
    </row>
    <row r="2290" spans="91:91" x14ac:dyDescent="0.25">
      <c r="CM2290" s="361"/>
    </row>
    <row r="2291" spans="91:91" x14ac:dyDescent="0.25">
      <c r="CM2291" s="361"/>
    </row>
    <row r="2292" spans="91:91" x14ac:dyDescent="0.25">
      <c r="CM2292" s="361"/>
    </row>
    <row r="2293" spans="91:91" x14ac:dyDescent="0.25">
      <c r="CM2293" s="361"/>
    </row>
    <row r="2294" spans="91:91" x14ac:dyDescent="0.25">
      <c r="CM2294" s="361"/>
    </row>
    <row r="2295" spans="91:91" x14ac:dyDescent="0.25">
      <c r="CM2295" s="361"/>
    </row>
    <row r="2296" spans="91:91" x14ac:dyDescent="0.25">
      <c r="CM2296" s="361"/>
    </row>
    <row r="2297" spans="91:91" x14ac:dyDescent="0.25">
      <c r="CM2297" s="361"/>
    </row>
    <row r="2298" spans="91:91" x14ac:dyDescent="0.25">
      <c r="CM2298" s="361"/>
    </row>
    <row r="2299" spans="91:91" x14ac:dyDescent="0.25">
      <c r="CM2299" s="361"/>
    </row>
    <row r="2300" spans="91:91" x14ac:dyDescent="0.25">
      <c r="CM2300" s="361"/>
    </row>
    <row r="2301" spans="91:91" x14ac:dyDescent="0.25">
      <c r="CM2301" s="361"/>
    </row>
    <row r="2302" spans="91:91" x14ac:dyDescent="0.25">
      <c r="CM2302" s="361"/>
    </row>
    <row r="2303" spans="91:91" x14ac:dyDescent="0.25">
      <c r="CM2303" s="361"/>
    </row>
    <row r="2304" spans="91:91" x14ac:dyDescent="0.25">
      <c r="CM2304" s="361"/>
    </row>
    <row r="2305" spans="91:91" x14ac:dyDescent="0.25">
      <c r="CM2305" s="361"/>
    </row>
    <row r="2306" spans="91:91" x14ac:dyDescent="0.25">
      <c r="CM2306" s="361"/>
    </row>
    <row r="2307" spans="91:91" x14ac:dyDescent="0.25">
      <c r="CM2307" s="361"/>
    </row>
    <row r="2308" spans="91:91" x14ac:dyDescent="0.25">
      <c r="CM2308" s="361"/>
    </row>
    <row r="2309" spans="91:91" x14ac:dyDescent="0.25">
      <c r="CM2309" s="361"/>
    </row>
    <row r="2310" spans="91:91" x14ac:dyDescent="0.25">
      <c r="CM2310" s="361"/>
    </row>
    <row r="2311" spans="91:91" x14ac:dyDescent="0.25">
      <c r="CM2311" s="361"/>
    </row>
    <row r="2312" spans="91:91" x14ac:dyDescent="0.25">
      <c r="CM2312" s="361"/>
    </row>
    <row r="2313" spans="91:91" x14ac:dyDescent="0.25">
      <c r="CM2313" s="361"/>
    </row>
    <row r="2314" spans="91:91" x14ac:dyDescent="0.25">
      <c r="CM2314" s="361"/>
    </row>
    <row r="2315" spans="91:91" x14ac:dyDescent="0.25">
      <c r="CM2315" s="361"/>
    </row>
    <row r="2316" spans="91:91" x14ac:dyDescent="0.25">
      <c r="CM2316" s="361"/>
    </row>
    <row r="2317" spans="91:91" x14ac:dyDescent="0.25">
      <c r="CM2317" s="361"/>
    </row>
    <row r="2318" spans="91:91" x14ac:dyDescent="0.25">
      <c r="CM2318" s="361"/>
    </row>
    <row r="2319" spans="91:91" x14ac:dyDescent="0.25">
      <c r="CM2319" s="361"/>
    </row>
    <row r="2320" spans="91:91" x14ac:dyDescent="0.25">
      <c r="CM2320" s="361"/>
    </row>
    <row r="2321" spans="91:91" x14ac:dyDescent="0.25">
      <c r="CM2321" s="361"/>
    </row>
    <row r="2322" spans="91:91" x14ac:dyDescent="0.25">
      <c r="CM2322" s="361"/>
    </row>
    <row r="2323" spans="91:91" x14ac:dyDescent="0.25">
      <c r="CM2323" s="361"/>
    </row>
    <row r="2324" spans="91:91" x14ac:dyDescent="0.25">
      <c r="CM2324" s="361"/>
    </row>
    <row r="2325" spans="91:91" x14ac:dyDescent="0.25">
      <c r="CM2325" s="361"/>
    </row>
    <row r="2326" spans="91:91" x14ac:dyDescent="0.25">
      <c r="CM2326" s="361"/>
    </row>
    <row r="2327" spans="91:91" x14ac:dyDescent="0.25">
      <c r="CM2327" s="361"/>
    </row>
    <row r="2328" spans="91:91" x14ac:dyDescent="0.25">
      <c r="CM2328" s="361"/>
    </row>
    <row r="2329" spans="91:91" x14ac:dyDescent="0.25">
      <c r="CM2329" s="361"/>
    </row>
    <row r="2330" spans="91:91" x14ac:dyDescent="0.25">
      <c r="CM2330" s="361"/>
    </row>
    <row r="2331" spans="91:91" x14ac:dyDescent="0.25">
      <c r="CM2331" s="361"/>
    </row>
    <row r="2332" spans="91:91" x14ac:dyDescent="0.25">
      <c r="CM2332" s="361"/>
    </row>
    <row r="2333" spans="91:91" x14ac:dyDescent="0.25">
      <c r="CM2333" s="361"/>
    </row>
    <row r="2334" spans="91:91" x14ac:dyDescent="0.25">
      <c r="CM2334" s="361"/>
    </row>
    <row r="2335" spans="91:91" x14ac:dyDescent="0.25">
      <c r="CM2335" s="361"/>
    </row>
    <row r="2336" spans="91:91" x14ac:dyDescent="0.25">
      <c r="CM2336" s="361"/>
    </row>
    <row r="2337" spans="91:91" x14ac:dyDescent="0.25">
      <c r="CM2337" s="361"/>
    </row>
    <row r="2338" spans="91:91" x14ac:dyDescent="0.25">
      <c r="CM2338" s="361"/>
    </row>
    <row r="2339" spans="91:91" x14ac:dyDescent="0.25">
      <c r="CM2339" s="361"/>
    </row>
    <row r="2340" spans="91:91" x14ac:dyDescent="0.25">
      <c r="CM2340" s="361"/>
    </row>
    <row r="2341" spans="91:91" x14ac:dyDescent="0.25">
      <c r="CM2341" s="361"/>
    </row>
    <row r="2342" spans="91:91" x14ac:dyDescent="0.25">
      <c r="CM2342" s="361"/>
    </row>
    <row r="2343" spans="91:91" x14ac:dyDescent="0.25">
      <c r="CM2343" s="361"/>
    </row>
    <row r="2344" spans="91:91" x14ac:dyDescent="0.25">
      <c r="CM2344" s="361"/>
    </row>
    <row r="2345" spans="91:91" x14ac:dyDescent="0.25">
      <c r="CM2345" s="361"/>
    </row>
    <row r="2346" spans="91:91" x14ac:dyDescent="0.25">
      <c r="CM2346" s="361"/>
    </row>
    <row r="2347" spans="91:91" x14ac:dyDescent="0.25">
      <c r="CM2347" s="361"/>
    </row>
    <row r="2348" spans="91:91" x14ac:dyDescent="0.25">
      <c r="CM2348" s="361"/>
    </row>
    <row r="2349" spans="91:91" x14ac:dyDescent="0.25">
      <c r="CM2349" s="361"/>
    </row>
    <row r="2350" spans="91:91" x14ac:dyDescent="0.25">
      <c r="CM2350" s="361"/>
    </row>
    <row r="2351" spans="91:91" x14ac:dyDescent="0.25">
      <c r="CM2351" s="361"/>
    </row>
    <row r="2352" spans="91:91" x14ac:dyDescent="0.25">
      <c r="CM2352" s="361"/>
    </row>
    <row r="2353" spans="91:91" x14ac:dyDescent="0.25">
      <c r="CM2353" s="361"/>
    </row>
    <row r="2354" spans="91:91" x14ac:dyDescent="0.25">
      <c r="CM2354" s="361"/>
    </row>
    <row r="2355" spans="91:91" x14ac:dyDescent="0.25">
      <c r="CM2355" s="361"/>
    </row>
    <row r="2356" spans="91:91" x14ac:dyDescent="0.25">
      <c r="CM2356" s="361"/>
    </row>
    <row r="2357" spans="91:91" x14ac:dyDescent="0.25">
      <c r="CM2357" s="361"/>
    </row>
    <row r="2358" spans="91:91" x14ac:dyDescent="0.25">
      <c r="CM2358" s="361"/>
    </row>
    <row r="2359" spans="91:91" x14ac:dyDescent="0.25">
      <c r="CM2359" s="361"/>
    </row>
    <row r="2360" spans="91:91" x14ac:dyDescent="0.25">
      <c r="CM2360" s="361"/>
    </row>
    <row r="2361" spans="91:91" x14ac:dyDescent="0.25">
      <c r="CM2361" s="361"/>
    </row>
    <row r="2362" spans="91:91" x14ac:dyDescent="0.25">
      <c r="CM2362" s="361"/>
    </row>
    <row r="2363" spans="91:91" x14ac:dyDescent="0.25">
      <c r="CM2363" s="361"/>
    </row>
    <row r="2364" spans="91:91" x14ac:dyDescent="0.25">
      <c r="CM2364" s="361"/>
    </row>
    <row r="2365" spans="91:91" x14ac:dyDescent="0.25">
      <c r="CM2365" s="361"/>
    </row>
    <row r="2366" spans="91:91" x14ac:dyDescent="0.25">
      <c r="CM2366" s="361"/>
    </row>
    <row r="2367" spans="91:91" x14ac:dyDescent="0.25">
      <c r="CM2367" s="361"/>
    </row>
    <row r="2368" spans="91:91" x14ac:dyDescent="0.25">
      <c r="CM2368" s="361"/>
    </row>
    <row r="2369" spans="91:91" x14ac:dyDescent="0.25">
      <c r="CM2369" s="361"/>
    </row>
    <row r="2370" spans="91:91" x14ac:dyDescent="0.25">
      <c r="CM2370" s="361"/>
    </row>
    <row r="2371" spans="91:91" x14ac:dyDescent="0.25">
      <c r="CM2371" s="361"/>
    </row>
    <row r="2372" spans="91:91" x14ac:dyDescent="0.25">
      <c r="CM2372" s="361"/>
    </row>
    <row r="2373" spans="91:91" x14ac:dyDescent="0.25">
      <c r="CM2373" s="361"/>
    </row>
    <row r="2374" spans="91:91" x14ac:dyDescent="0.25">
      <c r="CM2374" s="361"/>
    </row>
    <row r="2375" spans="91:91" x14ac:dyDescent="0.25">
      <c r="CM2375" s="361"/>
    </row>
    <row r="2376" spans="91:91" x14ac:dyDescent="0.25">
      <c r="CM2376" s="361"/>
    </row>
    <row r="2377" spans="91:91" x14ac:dyDescent="0.25">
      <c r="CM2377" s="361"/>
    </row>
    <row r="2378" spans="91:91" x14ac:dyDescent="0.25">
      <c r="CM2378" s="361"/>
    </row>
    <row r="2379" spans="91:91" x14ac:dyDescent="0.25">
      <c r="CM2379" s="361"/>
    </row>
    <row r="2380" spans="91:91" x14ac:dyDescent="0.25">
      <c r="CM2380" s="361"/>
    </row>
    <row r="2381" spans="91:91" x14ac:dyDescent="0.25">
      <c r="CM2381" s="361"/>
    </row>
    <row r="2382" spans="91:91" x14ac:dyDescent="0.25">
      <c r="CM2382" s="361"/>
    </row>
    <row r="2383" spans="91:91" x14ac:dyDescent="0.25">
      <c r="CM2383" s="361"/>
    </row>
    <row r="2384" spans="91:91" x14ac:dyDescent="0.25">
      <c r="CM2384" s="361"/>
    </row>
    <row r="2385" spans="91:91" x14ac:dyDescent="0.25">
      <c r="CM2385" s="361"/>
    </row>
    <row r="2386" spans="91:91" x14ac:dyDescent="0.25">
      <c r="CM2386" s="361"/>
    </row>
    <row r="2387" spans="91:91" x14ac:dyDescent="0.25">
      <c r="CM2387" s="361"/>
    </row>
    <row r="2388" spans="91:91" x14ac:dyDescent="0.25">
      <c r="CM2388" s="361"/>
    </row>
    <row r="2389" spans="91:91" x14ac:dyDescent="0.25">
      <c r="CM2389" s="361"/>
    </row>
    <row r="2390" spans="91:91" x14ac:dyDescent="0.25">
      <c r="CM2390" s="361"/>
    </row>
    <row r="2391" spans="91:91" x14ac:dyDescent="0.25">
      <c r="CM2391" s="361"/>
    </row>
    <row r="2392" spans="91:91" x14ac:dyDescent="0.25">
      <c r="CM2392" s="361"/>
    </row>
    <row r="2393" spans="91:91" x14ac:dyDescent="0.25">
      <c r="CM2393" s="361"/>
    </row>
    <row r="2394" spans="91:91" x14ac:dyDescent="0.25">
      <c r="CM2394" s="361"/>
    </row>
    <row r="2395" spans="91:91" x14ac:dyDescent="0.25">
      <c r="CM2395" s="361"/>
    </row>
    <row r="2396" spans="91:91" x14ac:dyDescent="0.25">
      <c r="CM2396" s="361"/>
    </row>
    <row r="2397" spans="91:91" x14ac:dyDescent="0.25">
      <c r="CM2397" s="361"/>
    </row>
    <row r="2398" spans="91:91" x14ac:dyDescent="0.25">
      <c r="CM2398" s="361"/>
    </row>
    <row r="2399" spans="91:91" x14ac:dyDescent="0.25">
      <c r="CM2399" s="361"/>
    </row>
    <row r="2400" spans="91:91" x14ac:dyDescent="0.25">
      <c r="CM2400" s="361"/>
    </row>
    <row r="2401" spans="91:91" x14ac:dyDescent="0.25">
      <c r="CM2401" s="361"/>
    </row>
    <row r="2402" spans="91:91" x14ac:dyDescent="0.25">
      <c r="CM2402" s="361"/>
    </row>
    <row r="2403" spans="91:91" x14ac:dyDescent="0.25">
      <c r="CM2403" s="361"/>
    </row>
    <row r="2404" spans="91:91" x14ac:dyDescent="0.25">
      <c r="CM2404" s="361"/>
    </row>
    <row r="2405" spans="91:91" x14ac:dyDescent="0.25">
      <c r="CM2405" s="361"/>
    </row>
    <row r="2406" spans="91:91" x14ac:dyDescent="0.25">
      <c r="CM2406" s="361"/>
    </row>
    <row r="2407" spans="91:91" x14ac:dyDescent="0.25">
      <c r="CM2407" s="361"/>
    </row>
    <row r="2408" spans="91:91" x14ac:dyDescent="0.25">
      <c r="CM2408" s="361"/>
    </row>
    <row r="2409" spans="91:91" x14ac:dyDescent="0.25">
      <c r="CM2409" s="361"/>
    </row>
    <row r="2410" spans="91:91" x14ac:dyDescent="0.25">
      <c r="CM2410" s="361"/>
    </row>
    <row r="2411" spans="91:91" x14ac:dyDescent="0.25">
      <c r="CM2411" s="361"/>
    </row>
    <row r="2412" spans="91:91" x14ac:dyDescent="0.25">
      <c r="CM2412" s="361"/>
    </row>
    <row r="2413" spans="91:91" x14ac:dyDescent="0.25">
      <c r="CM2413" s="361"/>
    </row>
    <row r="2414" spans="91:91" x14ac:dyDescent="0.25">
      <c r="CM2414" s="361"/>
    </row>
    <row r="2415" spans="91:91" x14ac:dyDescent="0.25">
      <c r="CM2415" s="361"/>
    </row>
    <row r="2416" spans="91:91" x14ac:dyDescent="0.25">
      <c r="CM2416" s="361"/>
    </row>
    <row r="2417" spans="91:91" x14ac:dyDescent="0.25">
      <c r="CM2417" s="361"/>
    </row>
    <row r="2418" spans="91:91" x14ac:dyDescent="0.25">
      <c r="CM2418" s="361"/>
    </row>
    <row r="2419" spans="91:91" x14ac:dyDescent="0.25">
      <c r="CM2419" s="361"/>
    </row>
    <row r="2420" spans="91:91" x14ac:dyDescent="0.25">
      <c r="CM2420" s="361"/>
    </row>
    <row r="2421" spans="91:91" x14ac:dyDescent="0.25">
      <c r="CM2421" s="361"/>
    </row>
    <row r="2422" spans="91:91" x14ac:dyDescent="0.25">
      <c r="CM2422" s="361"/>
    </row>
    <row r="2423" spans="91:91" x14ac:dyDescent="0.25">
      <c r="CM2423" s="361"/>
    </row>
    <row r="2424" spans="91:91" x14ac:dyDescent="0.25">
      <c r="CM2424" s="361"/>
    </row>
    <row r="2425" spans="91:91" x14ac:dyDescent="0.25">
      <c r="CM2425" s="361"/>
    </row>
    <row r="2426" spans="91:91" x14ac:dyDescent="0.25">
      <c r="CM2426" s="361"/>
    </row>
    <row r="2427" spans="91:91" x14ac:dyDescent="0.25">
      <c r="CM2427" s="361"/>
    </row>
    <row r="2428" spans="91:91" x14ac:dyDescent="0.25">
      <c r="CM2428" s="361"/>
    </row>
    <row r="2429" spans="91:91" x14ac:dyDescent="0.25">
      <c r="CM2429" s="361"/>
    </row>
    <row r="2430" spans="91:91" x14ac:dyDescent="0.25">
      <c r="CM2430" s="361"/>
    </row>
    <row r="2431" spans="91:91" x14ac:dyDescent="0.25">
      <c r="CM2431" s="361"/>
    </row>
    <row r="2432" spans="91:91" x14ac:dyDescent="0.25">
      <c r="CM2432" s="361"/>
    </row>
    <row r="2433" spans="91:91" x14ac:dyDescent="0.25">
      <c r="CM2433" s="361"/>
    </row>
    <row r="2434" spans="91:91" x14ac:dyDescent="0.25">
      <c r="CM2434" s="361"/>
    </row>
    <row r="2435" spans="91:91" x14ac:dyDescent="0.25">
      <c r="CM2435" s="361"/>
    </row>
    <row r="2436" spans="91:91" x14ac:dyDescent="0.25">
      <c r="CM2436" s="361"/>
    </row>
    <row r="2437" spans="91:91" x14ac:dyDescent="0.25">
      <c r="CM2437" s="361"/>
    </row>
    <row r="2438" spans="91:91" x14ac:dyDescent="0.25">
      <c r="CM2438" s="361"/>
    </row>
    <row r="2439" spans="91:91" x14ac:dyDescent="0.25">
      <c r="CM2439" s="361"/>
    </row>
    <row r="2440" spans="91:91" x14ac:dyDescent="0.25">
      <c r="CM2440" s="361"/>
    </row>
    <row r="2441" spans="91:91" x14ac:dyDescent="0.25">
      <c r="CM2441" s="361"/>
    </row>
    <row r="2442" spans="91:91" x14ac:dyDescent="0.25">
      <c r="CM2442" s="361"/>
    </row>
    <row r="2443" spans="91:91" x14ac:dyDescent="0.25">
      <c r="CM2443" s="361"/>
    </row>
    <row r="2444" spans="91:91" x14ac:dyDescent="0.25">
      <c r="CM2444" s="361"/>
    </row>
    <row r="2445" spans="91:91" x14ac:dyDescent="0.25">
      <c r="CM2445" s="361"/>
    </row>
    <row r="2446" spans="91:91" x14ac:dyDescent="0.25">
      <c r="CM2446" s="361"/>
    </row>
    <row r="2447" spans="91:91" x14ac:dyDescent="0.25">
      <c r="CM2447" s="361"/>
    </row>
    <row r="2448" spans="91:91" x14ac:dyDescent="0.25">
      <c r="CM2448" s="361"/>
    </row>
    <row r="2449" spans="91:91" x14ac:dyDescent="0.25">
      <c r="CM2449" s="361"/>
    </row>
    <row r="2450" spans="91:91" x14ac:dyDescent="0.25">
      <c r="CM2450" s="361"/>
    </row>
    <row r="2451" spans="91:91" x14ac:dyDescent="0.25">
      <c r="CM2451" s="361"/>
    </row>
    <row r="2452" spans="91:91" x14ac:dyDescent="0.25">
      <c r="CM2452" s="361"/>
    </row>
    <row r="2453" spans="91:91" x14ac:dyDescent="0.25">
      <c r="CM2453" s="361"/>
    </row>
    <row r="2454" spans="91:91" x14ac:dyDescent="0.25">
      <c r="CM2454" s="361"/>
    </row>
    <row r="2455" spans="91:91" x14ac:dyDescent="0.25">
      <c r="CM2455" s="361"/>
    </row>
    <row r="2456" spans="91:91" x14ac:dyDescent="0.25">
      <c r="CM2456" s="361"/>
    </row>
    <row r="2457" spans="91:91" x14ac:dyDescent="0.25">
      <c r="CM2457" s="361"/>
    </row>
    <row r="2458" spans="91:91" x14ac:dyDescent="0.25">
      <c r="CM2458" s="361"/>
    </row>
    <row r="2459" spans="91:91" x14ac:dyDescent="0.25">
      <c r="CM2459" s="361"/>
    </row>
    <row r="2460" spans="91:91" x14ac:dyDescent="0.25">
      <c r="CM2460" s="361"/>
    </row>
    <row r="2461" spans="91:91" x14ac:dyDescent="0.25">
      <c r="CM2461" s="361"/>
    </row>
    <row r="2462" spans="91:91" x14ac:dyDescent="0.25">
      <c r="CM2462" s="361"/>
    </row>
    <row r="2463" spans="91:91" x14ac:dyDescent="0.25">
      <c r="CM2463" s="361"/>
    </row>
    <row r="2464" spans="91:91" x14ac:dyDescent="0.25">
      <c r="CM2464" s="361"/>
    </row>
    <row r="2465" spans="91:91" x14ac:dyDescent="0.25">
      <c r="CM2465" s="361"/>
    </row>
    <row r="2466" spans="91:91" x14ac:dyDescent="0.25">
      <c r="CM2466" s="361"/>
    </row>
    <row r="2467" spans="91:91" x14ac:dyDescent="0.25">
      <c r="CM2467" s="361"/>
    </row>
    <row r="2468" spans="91:91" x14ac:dyDescent="0.25">
      <c r="CM2468" s="361"/>
    </row>
    <row r="2469" spans="91:91" x14ac:dyDescent="0.25">
      <c r="CM2469" s="361"/>
    </row>
    <row r="2470" spans="91:91" x14ac:dyDescent="0.25">
      <c r="CM2470" s="361"/>
    </row>
    <row r="2471" spans="91:91" x14ac:dyDescent="0.25">
      <c r="CM2471" s="361"/>
    </row>
    <row r="2472" spans="91:91" x14ac:dyDescent="0.25">
      <c r="CM2472" s="361"/>
    </row>
    <row r="2473" spans="91:91" x14ac:dyDescent="0.25">
      <c r="CM2473" s="361"/>
    </row>
    <row r="2474" spans="91:91" x14ac:dyDescent="0.25">
      <c r="CM2474" s="361"/>
    </row>
    <row r="2475" spans="91:91" x14ac:dyDescent="0.25">
      <c r="CM2475" s="361"/>
    </row>
    <row r="2476" spans="91:91" x14ac:dyDescent="0.25">
      <c r="CM2476" s="361"/>
    </row>
    <row r="2477" spans="91:91" x14ac:dyDescent="0.25">
      <c r="CM2477" s="361"/>
    </row>
    <row r="2478" spans="91:91" x14ac:dyDescent="0.25">
      <c r="CM2478" s="361"/>
    </row>
    <row r="2479" spans="91:91" x14ac:dyDescent="0.25">
      <c r="CM2479" s="361"/>
    </row>
    <row r="2480" spans="91:91" x14ac:dyDescent="0.25">
      <c r="CM2480" s="361"/>
    </row>
    <row r="2481" spans="91:91" x14ac:dyDescent="0.25">
      <c r="CM2481" s="361"/>
    </row>
    <row r="2482" spans="91:91" x14ac:dyDescent="0.25">
      <c r="CM2482" s="361"/>
    </row>
    <row r="2483" spans="91:91" x14ac:dyDescent="0.25">
      <c r="CM2483" s="361"/>
    </row>
    <row r="2484" spans="91:91" x14ac:dyDescent="0.25">
      <c r="CM2484" s="361"/>
    </row>
    <row r="2485" spans="91:91" x14ac:dyDescent="0.25">
      <c r="CM2485" s="361"/>
    </row>
    <row r="2486" spans="91:91" x14ac:dyDescent="0.25">
      <c r="CM2486" s="361"/>
    </row>
    <row r="2487" spans="91:91" x14ac:dyDescent="0.25">
      <c r="CM2487" s="361"/>
    </row>
    <row r="2488" spans="91:91" x14ac:dyDescent="0.25">
      <c r="CM2488" s="361"/>
    </row>
    <row r="2489" spans="91:91" x14ac:dyDescent="0.25">
      <c r="CM2489" s="361"/>
    </row>
    <row r="2490" spans="91:91" x14ac:dyDescent="0.25">
      <c r="CM2490" s="361"/>
    </row>
    <row r="2491" spans="91:91" x14ac:dyDescent="0.25">
      <c r="CM2491" s="361"/>
    </row>
    <row r="2492" spans="91:91" x14ac:dyDescent="0.25">
      <c r="CM2492" s="361"/>
    </row>
    <row r="2493" spans="91:91" x14ac:dyDescent="0.25">
      <c r="CM2493" s="361"/>
    </row>
    <row r="2494" spans="91:91" x14ac:dyDescent="0.25">
      <c r="CM2494" s="361"/>
    </row>
    <row r="2495" spans="91:91" x14ac:dyDescent="0.25">
      <c r="CM2495" s="361"/>
    </row>
    <row r="2496" spans="91:91" x14ac:dyDescent="0.25">
      <c r="CM2496" s="361"/>
    </row>
    <row r="2497" spans="91:91" x14ac:dyDescent="0.25">
      <c r="CM2497" s="361"/>
    </row>
    <row r="2498" spans="91:91" x14ac:dyDescent="0.25">
      <c r="CM2498" s="361"/>
    </row>
    <row r="2499" spans="91:91" x14ac:dyDescent="0.25">
      <c r="CM2499" s="361"/>
    </row>
    <row r="2500" spans="91:91" x14ac:dyDescent="0.25">
      <c r="CM2500" s="361"/>
    </row>
    <row r="2501" spans="91:91" x14ac:dyDescent="0.25">
      <c r="CM2501" s="361"/>
    </row>
    <row r="2502" spans="91:91" x14ac:dyDescent="0.25">
      <c r="CM2502" s="361"/>
    </row>
    <row r="2503" spans="91:91" x14ac:dyDescent="0.25">
      <c r="CM2503" s="361"/>
    </row>
    <row r="2504" spans="91:91" x14ac:dyDescent="0.25">
      <c r="CM2504" s="361"/>
    </row>
    <row r="2505" spans="91:91" x14ac:dyDescent="0.25">
      <c r="CM2505" s="361"/>
    </row>
    <row r="2506" spans="91:91" x14ac:dyDescent="0.25">
      <c r="CM2506" s="361"/>
    </row>
    <row r="2507" spans="91:91" x14ac:dyDescent="0.25">
      <c r="CM2507" s="361"/>
    </row>
    <row r="2508" spans="91:91" x14ac:dyDescent="0.25">
      <c r="CM2508" s="361"/>
    </row>
    <row r="2509" spans="91:91" x14ac:dyDescent="0.25">
      <c r="CM2509" s="361"/>
    </row>
    <row r="2510" spans="91:91" x14ac:dyDescent="0.25">
      <c r="CM2510" s="361"/>
    </row>
    <row r="2511" spans="91:91" x14ac:dyDescent="0.25">
      <c r="CM2511" s="361"/>
    </row>
    <row r="2512" spans="91:91" x14ac:dyDescent="0.25">
      <c r="CM2512" s="361"/>
    </row>
    <row r="2513" spans="91:91" x14ac:dyDescent="0.25">
      <c r="CM2513" s="361"/>
    </row>
    <row r="2514" spans="91:91" x14ac:dyDescent="0.25">
      <c r="CM2514" s="361"/>
    </row>
    <row r="2515" spans="91:91" x14ac:dyDescent="0.25">
      <c r="CM2515" s="361"/>
    </row>
    <row r="2516" spans="91:91" x14ac:dyDescent="0.25">
      <c r="CM2516" s="361"/>
    </row>
    <row r="2517" spans="91:91" x14ac:dyDescent="0.25">
      <c r="CM2517" s="361"/>
    </row>
    <row r="2518" spans="91:91" x14ac:dyDescent="0.25">
      <c r="CM2518" s="361"/>
    </row>
    <row r="2519" spans="91:91" x14ac:dyDescent="0.25">
      <c r="CM2519" s="361"/>
    </row>
    <row r="2520" spans="91:91" x14ac:dyDescent="0.25">
      <c r="CM2520" s="361"/>
    </row>
    <row r="2521" spans="91:91" x14ac:dyDescent="0.25">
      <c r="CM2521" s="361"/>
    </row>
    <row r="2522" spans="91:91" x14ac:dyDescent="0.25">
      <c r="CM2522" s="361"/>
    </row>
    <row r="2523" spans="91:91" x14ac:dyDescent="0.25">
      <c r="CM2523" s="361"/>
    </row>
    <row r="2524" spans="91:91" x14ac:dyDescent="0.25">
      <c r="CM2524" s="361"/>
    </row>
    <row r="2525" spans="91:91" x14ac:dyDescent="0.25">
      <c r="CM2525" s="361"/>
    </row>
    <row r="2526" spans="91:91" x14ac:dyDescent="0.25">
      <c r="CM2526" s="361"/>
    </row>
    <row r="2527" spans="91:91" x14ac:dyDescent="0.25">
      <c r="CM2527" s="361"/>
    </row>
    <row r="2528" spans="91:91" x14ac:dyDescent="0.25">
      <c r="CM2528" s="361"/>
    </row>
    <row r="2529" spans="91:91" x14ac:dyDescent="0.25">
      <c r="CM2529" s="361"/>
    </row>
    <row r="2530" spans="91:91" x14ac:dyDescent="0.25">
      <c r="CM2530" s="361"/>
    </row>
    <row r="2531" spans="91:91" x14ac:dyDescent="0.25">
      <c r="CM2531" s="361"/>
    </row>
    <row r="2532" spans="91:91" x14ac:dyDescent="0.25">
      <c r="CM2532" s="361"/>
    </row>
    <row r="2533" spans="91:91" x14ac:dyDescent="0.25">
      <c r="CM2533" s="361"/>
    </row>
    <row r="2534" spans="91:91" x14ac:dyDescent="0.25">
      <c r="CM2534" s="361"/>
    </row>
    <row r="2535" spans="91:91" x14ac:dyDescent="0.25">
      <c r="CM2535" s="361"/>
    </row>
    <row r="2536" spans="91:91" x14ac:dyDescent="0.25">
      <c r="CM2536" s="361"/>
    </row>
    <row r="2537" spans="91:91" x14ac:dyDescent="0.25">
      <c r="CM2537" s="361"/>
    </row>
    <row r="2538" spans="91:91" x14ac:dyDescent="0.25">
      <c r="CM2538" s="361"/>
    </row>
    <row r="2539" spans="91:91" x14ac:dyDescent="0.25">
      <c r="CM2539" s="361"/>
    </row>
    <row r="2540" spans="91:91" x14ac:dyDescent="0.25">
      <c r="CM2540" s="361"/>
    </row>
    <row r="2541" spans="91:91" x14ac:dyDescent="0.25">
      <c r="CM2541" s="361"/>
    </row>
    <row r="2542" spans="91:91" x14ac:dyDescent="0.25">
      <c r="CM2542" s="361"/>
    </row>
    <row r="2543" spans="91:91" x14ac:dyDescent="0.25">
      <c r="CM2543" s="361"/>
    </row>
    <row r="2544" spans="91:91" x14ac:dyDescent="0.25">
      <c r="CM2544" s="361"/>
    </row>
    <row r="2545" spans="91:91" x14ac:dyDescent="0.25">
      <c r="CM2545" s="361"/>
    </row>
    <row r="2546" spans="91:91" x14ac:dyDescent="0.25">
      <c r="CM2546" s="361"/>
    </row>
    <row r="2547" spans="91:91" x14ac:dyDescent="0.25">
      <c r="CM2547" s="361"/>
    </row>
    <row r="2548" spans="91:91" x14ac:dyDescent="0.25">
      <c r="CM2548" s="361"/>
    </row>
    <row r="2549" spans="91:91" x14ac:dyDescent="0.25">
      <c r="CM2549" s="361"/>
    </row>
    <row r="2550" spans="91:91" x14ac:dyDescent="0.25">
      <c r="CM2550" s="361"/>
    </row>
    <row r="2551" spans="91:91" x14ac:dyDescent="0.25">
      <c r="CM2551" s="361"/>
    </row>
    <row r="2552" spans="91:91" x14ac:dyDescent="0.25">
      <c r="CM2552" s="361"/>
    </row>
    <row r="2553" spans="91:91" x14ac:dyDescent="0.25">
      <c r="CM2553" s="361"/>
    </row>
    <row r="2554" spans="91:91" x14ac:dyDescent="0.25">
      <c r="CM2554" s="361"/>
    </row>
    <row r="2555" spans="91:91" x14ac:dyDescent="0.25">
      <c r="CM2555" s="361"/>
    </row>
    <row r="2556" spans="91:91" x14ac:dyDescent="0.25">
      <c r="CM2556" s="361"/>
    </row>
    <row r="2557" spans="91:91" x14ac:dyDescent="0.25">
      <c r="CM2557" s="361"/>
    </row>
    <row r="2558" spans="91:91" x14ac:dyDescent="0.25">
      <c r="CM2558" s="361"/>
    </row>
    <row r="2559" spans="91:91" x14ac:dyDescent="0.25">
      <c r="CM2559" s="361"/>
    </row>
    <row r="2560" spans="91:91" x14ac:dyDescent="0.25">
      <c r="CM2560" s="361"/>
    </row>
    <row r="2561" spans="91:91" x14ac:dyDescent="0.25">
      <c r="CM2561" s="361"/>
    </row>
    <row r="2562" spans="91:91" x14ac:dyDescent="0.25">
      <c r="CM2562" s="361"/>
    </row>
    <row r="2563" spans="91:91" x14ac:dyDescent="0.25">
      <c r="CM2563" s="361"/>
    </row>
    <row r="2564" spans="91:91" x14ac:dyDescent="0.25">
      <c r="CM2564" s="361"/>
    </row>
    <row r="2565" spans="91:91" x14ac:dyDescent="0.25">
      <c r="CM2565" s="361"/>
    </row>
    <row r="2566" spans="91:91" x14ac:dyDescent="0.25">
      <c r="CM2566" s="361"/>
    </row>
    <row r="2567" spans="91:91" x14ac:dyDescent="0.25">
      <c r="CM2567" s="361"/>
    </row>
    <row r="2568" spans="91:91" x14ac:dyDescent="0.25">
      <c r="CM2568" s="361"/>
    </row>
    <row r="2569" spans="91:91" x14ac:dyDescent="0.25">
      <c r="CM2569" s="361"/>
    </row>
    <row r="2570" spans="91:91" x14ac:dyDescent="0.25">
      <c r="CM2570" s="361"/>
    </row>
    <row r="2571" spans="91:91" x14ac:dyDescent="0.25">
      <c r="CM2571" s="361"/>
    </row>
    <row r="2572" spans="91:91" x14ac:dyDescent="0.25">
      <c r="CM2572" s="361"/>
    </row>
    <row r="2573" spans="91:91" x14ac:dyDescent="0.25">
      <c r="CM2573" s="361"/>
    </row>
    <row r="2574" spans="91:91" x14ac:dyDescent="0.25">
      <c r="CM2574" s="361"/>
    </row>
    <row r="2575" spans="91:91" x14ac:dyDescent="0.25">
      <c r="CM2575" s="361"/>
    </row>
    <row r="2576" spans="91:91" x14ac:dyDescent="0.25">
      <c r="CM2576" s="361"/>
    </row>
    <row r="2577" spans="91:91" x14ac:dyDescent="0.25">
      <c r="CM2577" s="361"/>
    </row>
    <row r="2578" spans="91:91" x14ac:dyDescent="0.25">
      <c r="CM2578" s="361"/>
    </row>
    <row r="2579" spans="91:91" x14ac:dyDescent="0.25">
      <c r="CM2579" s="361"/>
    </row>
    <row r="2580" spans="91:91" x14ac:dyDescent="0.25">
      <c r="CM2580" s="361"/>
    </row>
    <row r="2581" spans="91:91" x14ac:dyDescent="0.25">
      <c r="CM2581" s="361"/>
    </row>
    <row r="2582" spans="91:91" x14ac:dyDescent="0.25">
      <c r="CM2582" s="361"/>
    </row>
    <row r="2583" spans="91:91" x14ac:dyDescent="0.25">
      <c r="CM2583" s="361"/>
    </row>
    <row r="2584" spans="91:91" x14ac:dyDescent="0.25">
      <c r="CM2584" s="361"/>
    </row>
    <row r="2585" spans="91:91" x14ac:dyDescent="0.25">
      <c r="CM2585" s="361"/>
    </row>
    <row r="2586" spans="91:91" x14ac:dyDescent="0.25">
      <c r="CM2586" s="361"/>
    </row>
    <row r="2587" spans="91:91" x14ac:dyDescent="0.25">
      <c r="CM2587" s="361"/>
    </row>
    <row r="2588" spans="91:91" x14ac:dyDescent="0.25">
      <c r="CM2588" s="361"/>
    </row>
    <row r="2589" spans="91:91" x14ac:dyDescent="0.25">
      <c r="CM2589" s="361"/>
    </row>
    <row r="2590" spans="91:91" x14ac:dyDescent="0.25">
      <c r="CM2590" s="361"/>
    </row>
    <row r="2591" spans="91:91" x14ac:dyDescent="0.25">
      <c r="CM2591" s="361"/>
    </row>
    <row r="2592" spans="91:91" x14ac:dyDescent="0.25">
      <c r="CM2592" s="361"/>
    </row>
    <row r="2593" spans="91:91" x14ac:dyDescent="0.25">
      <c r="CM2593" s="361"/>
    </row>
    <row r="2594" spans="91:91" x14ac:dyDescent="0.25">
      <c r="CM2594" s="361"/>
    </row>
    <row r="2595" spans="91:91" x14ac:dyDescent="0.25">
      <c r="CM2595" s="361"/>
    </row>
    <row r="2596" spans="91:91" x14ac:dyDescent="0.25">
      <c r="CM2596" s="361"/>
    </row>
    <row r="2597" spans="91:91" x14ac:dyDescent="0.25">
      <c r="CM2597" s="361"/>
    </row>
    <row r="2598" spans="91:91" x14ac:dyDescent="0.25">
      <c r="CM2598" s="361"/>
    </row>
    <row r="2599" spans="91:91" x14ac:dyDescent="0.25">
      <c r="CM2599" s="361"/>
    </row>
    <row r="2600" spans="91:91" x14ac:dyDescent="0.25">
      <c r="CM2600" s="361"/>
    </row>
    <row r="2601" spans="91:91" x14ac:dyDescent="0.25">
      <c r="CM2601" s="361"/>
    </row>
    <row r="2602" spans="91:91" x14ac:dyDescent="0.25">
      <c r="CM2602" s="361"/>
    </row>
    <row r="2603" spans="91:91" x14ac:dyDescent="0.25">
      <c r="CM2603" s="361"/>
    </row>
    <row r="2604" spans="91:91" x14ac:dyDescent="0.25">
      <c r="CM2604" s="361"/>
    </row>
    <row r="2605" spans="91:91" x14ac:dyDescent="0.25">
      <c r="CM2605" s="361"/>
    </row>
    <row r="2606" spans="91:91" x14ac:dyDescent="0.25">
      <c r="CM2606" s="361"/>
    </row>
    <row r="2607" spans="91:91" x14ac:dyDescent="0.25">
      <c r="CM2607" s="361"/>
    </row>
    <row r="2608" spans="91:91" x14ac:dyDescent="0.25">
      <c r="CM2608" s="361"/>
    </row>
    <row r="2609" spans="91:91" x14ac:dyDescent="0.25">
      <c r="CM2609" s="361"/>
    </row>
    <row r="2610" spans="91:91" x14ac:dyDescent="0.25">
      <c r="CM2610" s="361"/>
    </row>
    <row r="2611" spans="91:91" x14ac:dyDescent="0.25">
      <c r="CM2611" s="361"/>
    </row>
    <row r="2612" spans="91:91" x14ac:dyDescent="0.25">
      <c r="CM2612" s="361"/>
    </row>
    <row r="2613" spans="91:91" x14ac:dyDescent="0.25">
      <c r="CM2613" s="361"/>
    </row>
    <row r="2614" spans="91:91" x14ac:dyDescent="0.25">
      <c r="CM2614" s="361"/>
    </row>
    <row r="2615" spans="91:91" x14ac:dyDescent="0.25">
      <c r="CM2615" s="361"/>
    </row>
    <row r="2616" spans="91:91" x14ac:dyDescent="0.25">
      <c r="CM2616" s="361"/>
    </row>
    <row r="2617" spans="91:91" x14ac:dyDescent="0.25">
      <c r="CM2617" s="361"/>
    </row>
    <row r="2618" spans="91:91" x14ac:dyDescent="0.25">
      <c r="CM2618" s="361"/>
    </row>
    <row r="2619" spans="91:91" x14ac:dyDescent="0.25">
      <c r="CM2619" s="361"/>
    </row>
    <row r="2620" spans="91:91" x14ac:dyDescent="0.25">
      <c r="CM2620" s="361"/>
    </row>
    <row r="2621" spans="91:91" x14ac:dyDescent="0.25">
      <c r="CM2621" s="361"/>
    </row>
    <row r="2622" spans="91:91" x14ac:dyDescent="0.25">
      <c r="CM2622" s="361"/>
    </row>
    <row r="2623" spans="91:91" x14ac:dyDescent="0.25">
      <c r="CM2623" s="361"/>
    </row>
    <row r="2624" spans="91:91" x14ac:dyDescent="0.25">
      <c r="CM2624" s="361"/>
    </row>
    <row r="2625" spans="91:91" x14ac:dyDescent="0.25">
      <c r="CM2625" s="361"/>
    </row>
    <row r="2626" spans="91:91" x14ac:dyDescent="0.25">
      <c r="CM2626" s="361"/>
    </row>
    <row r="2627" spans="91:91" x14ac:dyDescent="0.25">
      <c r="CM2627" s="361"/>
    </row>
    <row r="2628" spans="91:91" x14ac:dyDescent="0.25">
      <c r="CM2628" s="361"/>
    </row>
    <row r="2629" spans="91:91" x14ac:dyDescent="0.25">
      <c r="CM2629" s="361"/>
    </row>
    <row r="2630" spans="91:91" x14ac:dyDescent="0.25">
      <c r="CM2630" s="361"/>
    </row>
    <row r="2631" spans="91:91" x14ac:dyDescent="0.25">
      <c r="CM2631" s="361"/>
    </row>
    <row r="2632" spans="91:91" x14ac:dyDescent="0.25">
      <c r="CM2632" s="361"/>
    </row>
    <row r="2633" spans="91:91" x14ac:dyDescent="0.25">
      <c r="CM2633" s="361"/>
    </row>
    <row r="2634" spans="91:91" x14ac:dyDescent="0.25">
      <c r="CM2634" s="361"/>
    </row>
    <row r="2635" spans="91:91" x14ac:dyDescent="0.25">
      <c r="CM2635" s="361"/>
    </row>
    <row r="2636" spans="91:91" x14ac:dyDescent="0.25">
      <c r="CM2636" s="361"/>
    </row>
    <row r="2637" spans="91:91" x14ac:dyDescent="0.25">
      <c r="CM2637" s="361"/>
    </row>
    <row r="2638" spans="91:91" x14ac:dyDescent="0.25">
      <c r="CM2638" s="361"/>
    </row>
    <row r="2639" spans="91:91" x14ac:dyDescent="0.25">
      <c r="CM2639" s="361"/>
    </row>
    <row r="2640" spans="91:91" x14ac:dyDescent="0.25">
      <c r="CM2640" s="361"/>
    </row>
    <row r="2641" spans="91:91" x14ac:dyDescent="0.25">
      <c r="CM2641" s="361"/>
    </row>
    <row r="2642" spans="91:91" x14ac:dyDescent="0.25">
      <c r="CM2642" s="361"/>
    </row>
    <row r="2643" spans="91:91" x14ac:dyDescent="0.25">
      <c r="CM2643" s="361"/>
    </row>
    <row r="2644" spans="91:91" x14ac:dyDescent="0.25">
      <c r="CM2644" s="361"/>
    </row>
    <row r="2645" spans="91:91" x14ac:dyDescent="0.25">
      <c r="CM2645" s="361"/>
    </row>
    <row r="2646" spans="91:91" x14ac:dyDescent="0.25">
      <c r="CM2646" s="361"/>
    </row>
    <row r="2647" spans="91:91" x14ac:dyDescent="0.25">
      <c r="CM2647" s="361"/>
    </row>
    <row r="2648" spans="91:91" x14ac:dyDescent="0.25">
      <c r="CM2648" s="361"/>
    </row>
    <row r="2649" spans="91:91" x14ac:dyDescent="0.25">
      <c r="CM2649" s="361"/>
    </row>
    <row r="2650" spans="91:91" x14ac:dyDescent="0.25">
      <c r="CM2650" s="361"/>
    </row>
    <row r="2651" spans="91:91" x14ac:dyDescent="0.25">
      <c r="CM2651" s="361"/>
    </row>
    <row r="2652" spans="91:91" x14ac:dyDescent="0.25">
      <c r="CM2652" s="361"/>
    </row>
    <row r="2653" spans="91:91" x14ac:dyDescent="0.25">
      <c r="CM2653" s="361"/>
    </row>
    <row r="2654" spans="91:91" x14ac:dyDescent="0.25">
      <c r="CM2654" s="361"/>
    </row>
    <row r="2655" spans="91:91" x14ac:dyDescent="0.25">
      <c r="CM2655" s="361"/>
    </row>
    <row r="2656" spans="91:91" x14ac:dyDescent="0.25">
      <c r="CM2656" s="361"/>
    </row>
    <row r="2657" spans="91:91" x14ac:dyDescent="0.25">
      <c r="CM2657" s="361"/>
    </row>
    <row r="2658" spans="91:91" x14ac:dyDescent="0.25">
      <c r="CM2658" s="361"/>
    </row>
    <row r="2659" spans="91:91" x14ac:dyDescent="0.25">
      <c r="CM2659" s="361"/>
    </row>
    <row r="2660" spans="91:91" x14ac:dyDescent="0.25">
      <c r="CM2660" s="361"/>
    </row>
    <row r="2661" spans="91:91" x14ac:dyDescent="0.25">
      <c r="CM2661" s="361"/>
    </row>
    <row r="2662" spans="91:91" x14ac:dyDescent="0.25">
      <c r="CM2662" s="361"/>
    </row>
    <row r="2663" spans="91:91" x14ac:dyDescent="0.25">
      <c r="CM2663" s="361"/>
    </row>
    <row r="2664" spans="91:91" x14ac:dyDescent="0.25">
      <c r="CM2664" s="361"/>
    </row>
    <row r="2665" spans="91:91" x14ac:dyDescent="0.25">
      <c r="CM2665" s="361"/>
    </row>
    <row r="2666" spans="91:91" x14ac:dyDescent="0.25">
      <c r="CM2666" s="361"/>
    </row>
    <row r="2667" spans="91:91" x14ac:dyDescent="0.25">
      <c r="CM2667" s="361"/>
    </row>
    <row r="2668" spans="91:91" x14ac:dyDescent="0.25">
      <c r="CM2668" s="361"/>
    </row>
    <row r="2669" spans="91:91" x14ac:dyDescent="0.25">
      <c r="CM2669" s="361"/>
    </row>
    <row r="2670" spans="91:91" x14ac:dyDescent="0.25">
      <c r="CM2670" s="361"/>
    </row>
    <row r="2671" spans="91:91" x14ac:dyDescent="0.25">
      <c r="CM2671" s="361"/>
    </row>
    <row r="2672" spans="91:91" x14ac:dyDescent="0.25">
      <c r="CM2672" s="361"/>
    </row>
    <row r="2673" spans="91:91" x14ac:dyDescent="0.25">
      <c r="CM2673" s="361"/>
    </row>
    <row r="2674" spans="91:91" x14ac:dyDescent="0.25">
      <c r="CM2674" s="361"/>
    </row>
    <row r="2675" spans="91:91" x14ac:dyDescent="0.25">
      <c r="CM2675" s="361"/>
    </row>
    <row r="2676" spans="91:91" x14ac:dyDescent="0.25">
      <c r="CM2676" s="361"/>
    </row>
    <row r="2677" spans="91:91" x14ac:dyDescent="0.25">
      <c r="CM2677" s="361"/>
    </row>
    <row r="2678" spans="91:91" x14ac:dyDescent="0.25">
      <c r="CM2678" s="361"/>
    </row>
    <row r="2679" spans="91:91" x14ac:dyDescent="0.25">
      <c r="CM2679" s="361"/>
    </row>
    <row r="2680" spans="91:91" x14ac:dyDescent="0.25">
      <c r="CM2680" s="361"/>
    </row>
    <row r="2681" spans="91:91" x14ac:dyDescent="0.25">
      <c r="CM2681" s="361"/>
    </row>
    <row r="2682" spans="91:91" x14ac:dyDescent="0.25">
      <c r="CM2682" s="361"/>
    </row>
    <row r="2683" spans="91:91" x14ac:dyDescent="0.25">
      <c r="CM2683" s="361"/>
    </row>
    <row r="2684" spans="91:91" x14ac:dyDescent="0.25">
      <c r="CM2684" s="361"/>
    </row>
    <row r="2685" spans="91:91" x14ac:dyDescent="0.25">
      <c r="CM2685" s="361"/>
    </row>
    <row r="2686" spans="91:91" x14ac:dyDescent="0.25">
      <c r="CM2686" s="361"/>
    </row>
    <row r="2687" spans="91:91" x14ac:dyDescent="0.25">
      <c r="CM2687" s="361"/>
    </row>
    <row r="2688" spans="91:91" x14ac:dyDescent="0.25">
      <c r="CM2688" s="361"/>
    </row>
    <row r="2689" spans="91:91" x14ac:dyDescent="0.25">
      <c r="CM2689" s="361"/>
    </row>
    <row r="2690" spans="91:91" x14ac:dyDescent="0.25">
      <c r="CM2690" s="361"/>
    </row>
    <row r="2691" spans="91:91" x14ac:dyDescent="0.25">
      <c r="CM2691" s="361"/>
    </row>
    <row r="2692" spans="91:91" x14ac:dyDescent="0.25">
      <c r="CM2692" s="361"/>
    </row>
    <row r="2693" spans="91:91" x14ac:dyDescent="0.25">
      <c r="CM2693" s="361"/>
    </row>
    <row r="2694" spans="91:91" x14ac:dyDescent="0.25">
      <c r="CM2694" s="361"/>
    </row>
    <row r="2695" spans="91:91" x14ac:dyDescent="0.25">
      <c r="CM2695" s="361"/>
    </row>
    <row r="2696" spans="91:91" x14ac:dyDescent="0.25">
      <c r="CM2696" s="361"/>
    </row>
    <row r="2697" spans="91:91" x14ac:dyDescent="0.25">
      <c r="CM2697" s="361"/>
    </row>
    <row r="2698" spans="91:91" x14ac:dyDescent="0.25">
      <c r="CM2698" s="361"/>
    </row>
    <row r="2699" spans="91:91" x14ac:dyDescent="0.25">
      <c r="CM2699" s="361"/>
    </row>
    <row r="2700" spans="91:91" x14ac:dyDescent="0.25">
      <c r="CM2700" s="361"/>
    </row>
    <row r="2701" spans="91:91" x14ac:dyDescent="0.25">
      <c r="CM2701" s="361"/>
    </row>
    <row r="2702" spans="91:91" x14ac:dyDescent="0.25">
      <c r="CM2702" s="361"/>
    </row>
    <row r="2703" spans="91:91" x14ac:dyDescent="0.25">
      <c r="CM2703" s="361"/>
    </row>
    <row r="2704" spans="91:91" x14ac:dyDescent="0.25">
      <c r="CM2704" s="361"/>
    </row>
    <row r="2705" spans="91:91" x14ac:dyDescent="0.25">
      <c r="CM2705" s="361"/>
    </row>
    <row r="2706" spans="91:91" x14ac:dyDescent="0.25">
      <c r="CM2706" s="361"/>
    </row>
    <row r="2707" spans="91:91" x14ac:dyDescent="0.25">
      <c r="CM2707" s="361"/>
    </row>
    <row r="2708" spans="91:91" x14ac:dyDescent="0.25">
      <c r="CM2708" s="361"/>
    </row>
    <row r="2709" spans="91:91" x14ac:dyDescent="0.25">
      <c r="CM2709" s="361"/>
    </row>
    <row r="2710" spans="91:91" x14ac:dyDescent="0.25">
      <c r="CM2710" s="361"/>
    </row>
    <row r="2711" spans="91:91" x14ac:dyDescent="0.25">
      <c r="CM2711" s="361"/>
    </row>
    <row r="2712" spans="91:91" x14ac:dyDescent="0.25">
      <c r="CM2712" s="361"/>
    </row>
    <row r="2713" spans="91:91" x14ac:dyDescent="0.25">
      <c r="CM2713" s="361"/>
    </row>
    <row r="2714" spans="91:91" x14ac:dyDescent="0.25">
      <c r="CM2714" s="361"/>
    </row>
    <row r="2715" spans="91:91" x14ac:dyDescent="0.25">
      <c r="CM2715" s="361"/>
    </row>
    <row r="2716" spans="91:91" x14ac:dyDescent="0.25">
      <c r="CM2716" s="361"/>
    </row>
    <row r="2717" spans="91:91" x14ac:dyDescent="0.25">
      <c r="CM2717" s="361"/>
    </row>
    <row r="2718" spans="91:91" x14ac:dyDescent="0.25">
      <c r="CM2718" s="361"/>
    </row>
    <row r="2719" spans="91:91" x14ac:dyDescent="0.25">
      <c r="CM2719" s="361"/>
    </row>
    <row r="2720" spans="91:91" x14ac:dyDescent="0.25">
      <c r="CM2720" s="361"/>
    </row>
    <row r="2721" spans="91:91" x14ac:dyDescent="0.25">
      <c r="CM2721" s="361"/>
    </row>
    <row r="2722" spans="91:91" x14ac:dyDescent="0.25">
      <c r="CM2722" s="361"/>
    </row>
    <row r="2723" spans="91:91" x14ac:dyDescent="0.25">
      <c r="CM2723" s="361"/>
    </row>
    <row r="2724" spans="91:91" x14ac:dyDescent="0.25">
      <c r="CM2724" s="361"/>
    </row>
    <row r="2725" spans="91:91" x14ac:dyDescent="0.25">
      <c r="CM2725" s="361"/>
    </row>
    <row r="2726" spans="91:91" x14ac:dyDescent="0.25">
      <c r="CM2726" s="361"/>
    </row>
    <row r="2727" spans="91:91" x14ac:dyDescent="0.25">
      <c r="CM2727" s="361"/>
    </row>
    <row r="2728" spans="91:91" x14ac:dyDescent="0.25">
      <c r="CM2728" s="361"/>
    </row>
    <row r="2729" spans="91:91" x14ac:dyDescent="0.25">
      <c r="CM2729" s="361"/>
    </row>
    <row r="2730" spans="91:91" x14ac:dyDescent="0.25">
      <c r="CM2730" s="361"/>
    </row>
    <row r="2731" spans="91:91" x14ac:dyDescent="0.25">
      <c r="CM2731" s="361"/>
    </row>
    <row r="2732" spans="91:91" x14ac:dyDescent="0.25">
      <c r="CM2732" s="361"/>
    </row>
    <row r="2733" spans="91:91" x14ac:dyDescent="0.25">
      <c r="CM2733" s="361"/>
    </row>
    <row r="2734" spans="91:91" x14ac:dyDescent="0.25">
      <c r="CM2734" s="361"/>
    </row>
    <row r="2735" spans="91:91" x14ac:dyDescent="0.25">
      <c r="CM2735" s="361"/>
    </row>
    <row r="2736" spans="91:91" x14ac:dyDescent="0.25">
      <c r="CM2736" s="361"/>
    </row>
    <row r="2737" spans="91:91" x14ac:dyDescent="0.25">
      <c r="CM2737" s="361"/>
    </row>
    <row r="2738" spans="91:91" x14ac:dyDescent="0.25">
      <c r="CM2738" s="361"/>
    </row>
    <row r="2739" spans="91:91" x14ac:dyDescent="0.25">
      <c r="CM2739" s="361"/>
    </row>
    <row r="2740" spans="91:91" x14ac:dyDescent="0.25">
      <c r="CM2740" s="361"/>
    </row>
    <row r="2741" spans="91:91" x14ac:dyDescent="0.25">
      <c r="CM2741" s="361"/>
    </row>
    <row r="2742" spans="91:91" x14ac:dyDescent="0.25">
      <c r="CM2742" s="361"/>
    </row>
    <row r="2743" spans="91:91" x14ac:dyDescent="0.25">
      <c r="CM2743" s="361"/>
    </row>
    <row r="2744" spans="91:91" x14ac:dyDescent="0.25">
      <c r="CM2744" s="361"/>
    </row>
    <row r="2745" spans="91:91" x14ac:dyDescent="0.25">
      <c r="CM2745" s="361"/>
    </row>
    <row r="2746" spans="91:91" x14ac:dyDescent="0.25">
      <c r="CM2746" s="361"/>
    </row>
    <row r="2747" spans="91:91" x14ac:dyDescent="0.25">
      <c r="CM2747" s="361"/>
    </row>
    <row r="2748" spans="91:91" x14ac:dyDescent="0.25">
      <c r="CM2748" s="361"/>
    </row>
    <row r="2749" spans="91:91" x14ac:dyDescent="0.25">
      <c r="CM2749" s="361"/>
    </row>
    <row r="2750" spans="91:91" x14ac:dyDescent="0.25">
      <c r="CM2750" s="361"/>
    </row>
    <row r="2751" spans="91:91" x14ac:dyDescent="0.25">
      <c r="CM2751" s="361"/>
    </row>
    <row r="2752" spans="91:91" x14ac:dyDescent="0.25">
      <c r="CM2752" s="361"/>
    </row>
    <row r="2753" spans="91:91" x14ac:dyDescent="0.25">
      <c r="CM2753" s="361"/>
    </row>
    <row r="2754" spans="91:91" x14ac:dyDescent="0.25">
      <c r="CM2754" s="361"/>
    </row>
    <row r="2755" spans="91:91" x14ac:dyDescent="0.25">
      <c r="CM2755" s="361"/>
    </row>
    <row r="2756" spans="91:91" x14ac:dyDescent="0.25">
      <c r="CM2756" s="361"/>
    </row>
    <row r="2757" spans="91:91" x14ac:dyDescent="0.25">
      <c r="CM2757" s="361"/>
    </row>
    <row r="2758" spans="91:91" x14ac:dyDescent="0.25">
      <c r="CM2758" s="361"/>
    </row>
    <row r="2759" spans="91:91" x14ac:dyDescent="0.25">
      <c r="CM2759" s="361"/>
    </row>
    <row r="2760" spans="91:91" x14ac:dyDescent="0.25">
      <c r="CM2760" s="361"/>
    </row>
    <row r="2761" spans="91:91" x14ac:dyDescent="0.25">
      <c r="CM2761" s="361"/>
    </row>
    <row r="2762" spans="91:91" x14ac:dyDescent="0.25">
      <c r="CM2762" s="361"/>
    </row>
    <row r="2763" spans="91:91" x14ac:dyDescent="0.25">
      <c r="CM2763" s="361"/>
    </row>
    <row r="2764" spans="91:91" x14ac:dyDescent="0.25">
      <c r="CM2764" s="361"/>
    </row>
    <row r="2765" spans="91:91" x14ac:dyDescent="0.25">
      <c r="CM2765" s="361"/>
    </row>
    <row r="2766" spans="91:91" x14ac:dyDescent="0.25">
      <c r="CM2766" s="361"/>
    </row>
    <row r="2767" spans="91:91" x14ac:dyDescent="0.25">
      <c r="CM2767" s="361"/>
    </row>
    <row r="2768" spans="91:91" x14ac:dyDescent="0.25">
      <c r="CM2768" s="361"/>
    </row>
    <row r="2769" spans="91:91" x14ac:dyDescent="0.25">
      <c r="CM2769" s="361"/>
    </row>
    <row r="2770" spans="91:91" x14ac:dyDescent="0.25">
      <c r="CM2770" s="361"/>
    </row>
    <row r="2771" spans="91:91" x14ac:dyDescent="0.25">
      <c r="CM2771" s="361"/>
    </row>
    <row r="2772" spans="91:91" x14ac:dyDescent="0.25">
      <c r="CM2772" s="361"/>
    </row>
    <row r="2773" spans="91:91" x14ac:dyDescent="0.25">
      <c r="CM2773" s="361"/>
    </row>
    <row r="2774" spans="91:91" x14ac:dyDescent="0.25">
      <c r="CM2774" s="361"/>
    </row>
    <row r="2775" spans="91:91" x14ac:dyDescent="0.25">
      <c r="CM2775" s="361"/>
    </row>
    <row r="2776" spans="91:91" x14ac:dyDescent="0.25">
      <c r="CM2776" s="361"/>
    </row>
    <row r="2777" spans="91:91" x14ac:dyDescent="0.25">
      <c r="CM2777" s="361"/>
    </row>
    <row r="2778" spans="91:91" x14ac:dyDescent="0.25">
      <c r="CM2778" s="361"/>
    </row>
    <row r="2779" spans="91:91" x14ac:dyDescent="0.25">
      <c r="CM2779" s="361"/>
    </row>
    <row r="2780" spans="91:91" x14ac:dyDescent="0.25">
      <c r="CM2780" s="361"/>
    </row>
    <row r="2781" spans="91:91" x14ac:dyDescent="0.25">
      <c r="CM2781" s="361"/>
    </row>
    <row r="2782" spans="91:91" x14ac:dyDescent="0.25">
      <c r="CM2782" s="361"/>
    </row>
    <row r="2783" spans="91:91" x14ac:dyDescent="0.25">
      <c r="CM2783" s="361"/>
    </row>
    <row r="2784" spans="91:91" x14ac:dyDescent="0.25">
      <c r="CM2784" s="361"/>
    </row>
    <row r="2785" spans="91:91" x14ac:dyDescent="0.25">
      <c r="CM2785" s="361"/>
    </row>
    <row r="2786" spans="91:91" x14ac:dyDescent="0.25">
      <c r="CM2786" s="361"/>
    </row>
    <row r="2787" spans="91:91" x14ac:dyDescent="0.25">
      <c r="CM2787" s="361"/>
    </row>
    <row r="2788" spans="91:91" x14ac:dyDescent="0.25">
      <c r="CM2788" s="361"/>
    </row>
    <row r="2789" spans="91:91" x14ac:dyDescent="0.25">
      <c r="CM2789" s="361"/>
    </row>
    <row r="2790" spans="91:91" x14ac:dyDescent="0.25">
      <c r="CM2790" s="361"/>
    </row>
    <row r="2791" spans="91:91" x14ac:dyDescent="0.25">
      <c r="CM2791" s="361"/>
    </row>
    <row r="2792" spans="91:91" x14ac:dyDescent="0.25">
      <c r="CM2792" s="361"/>
    </row>
    <row r="2793" spans="91:91" x14ac:dyDescent="0.25">
      <c r="CM2793" s="361"/>
    </row>
    <row r="2794" spans="91:91" x14ac:dyDescent="0.25">
      <c r="CM2794" s="361"/>
    </row>
    <row r="2795" spans="91:91" x14ac:dyDescent="0.25">
      <c r="CM2795" s="361"/>
    </row>
    <row r="2796" spans="91:91" x14ac:dyDescent="0.25">
      <c r="CM2796" s="361"/>
    </row>
    <row r="2797" spans="91:91" x14ac:dyDescent="0.25">
      <c r="CM2797" s="361"/>
    </row>
    <row r="2798" spans="91:91" x14ac:dyDescent="0.25">
      <c r="CM2798" s="361"/>
    </row>
    <row r="2799" spans="91:91" x14ac:dyDescent="0.25">
      <c r="CM2799" s="361"/>
    </row>
    <row r="2800" spans="91:91" x14ac:dyDescent="0.25">
      <c r="CM2800" s="361"/>
    </row>
    <row r="2801" spans="91:91" x14ac:dyDescent="0.25">
      <c r="CM2801" s="361"/>
    </row>
    <row r="2802" spans="91:91" x14ac:dyDescent="0.25">
      <c r="CM2802" s="361"/>
    </row>
    <row r="2803" spans="91:91" x14ac:dyDescent="0.25">
      <c r="CM2803" s="361"/>
    </row>
    <row r="2804" spans="91:91" x14ac:dyDescent="0.25">
      <c r="CM2804" s="361"/>
    </row>
    <row r="2805" spans="91:91" x14ac:dyDescent="0.25">
      <c r="CM2805" s="361"/>
    </row>
    <row r="2806" spans="91:91" x14ac:dyDescent="0.25">
      <c r="CM2806" s="361"/>
    </row>
    <row r="2807" spans="91:91" x14ac:dyDescent="0.25">
      <c r="CM2807" s="361"/>
    </row>
    <row r="2808" spans="91:91" x14ac:dyDescent="0.25">
      <c r="CM2808" s="361"/>
    </row>
    <row r="2809" spans="91:91" x14ac:dyDescent="0.25">
      <c r="CM2809" s="361"/>
    </row>
    <row r="2810" spans="91:91" x14ac:dyDescent="0.25">
      <c r="CM2810" s="361"/>
    </row>
    <row r="2811" spans="91:91" x14ac:dyDescent="0.25">
      <c r="CM2811" s="361"/>
    </row>
    <row r="2812" spans="91:91" x14ac:dyDescent="0.25">
      <c r="CM2812" s="361"/>
    </row>
    <row r="2813" spans="91:91" x14ac:dyDescent="0.25">
      <c r="CM2813" s="361"/>
    </row>
    <row r="2814" spans="91:91" x14ac:dyDescent="0.25">
      <c r="CM2814" s="361"/>
    </row>
    <row r="2815" spans="91:91" x14ac:dyDescent="0.25">
      <c r="CM2815" s="361"/>
    </row>
    <row r="2816" spans="91:91" x14ac:dyDescent="0.25">
      <c r="CM2816" s="361"/>
    </row>
    <row r="2817" spans="91:91" x14ac:dyDescent="0.25">
      <c r="CM2817" s="361"/>
    </row>
    <row r="2818" spans="91:91" x14ac:dyDescent="0.25">
      <c r="CM2818" s="361"/>
    </row>
    <row r="2819" spans="91:91" x14ac:dyDescent="0.25">
      <c r="CM2819" s="361"/>
    </row>
    <row r="2820" spans="91:91" x14ac:dyDescent="0.25">
      <c r="CM2820" s="361"/>
    </row>
    <row r="2821" spans="91:91" x14ac:dyDescent="0.25">
      <c r="CM2821" s="361"/>
    </row>
    <row r="2822" spans="91:91" x14ac:dyDescent="0.25">
      <c r="CM2822" s="361"/>
    </row>
    <row r="2823" spans="91:91" x14ac:dyDescent="0.25">
      <c r="CM2823" s="361"/>
    </row>
    <row r="2824" spans="91:91" x14ac:dyDescent="0.25">
      <c r="CM2824" s="361"/>
    </row>
    <row r="2825" spans="91:91" x14ac:dyDescent="0.25">
      <c r="CM2825" s="361"/>
    </row>
    <row r="2826" spans="91:91" x14ac:dyDescent="0.25">
      <c r="CM2826" s="361"/>
    </row>
    <row r="2827" spans="91:91" x14ac:dyDescent="0.25">
      <c r="CM2827" s="361"/>
    </row>
    <row r="2828" spans="91:91" x14ac:dyDescent="0.25">
      <c r="CM2828" s="361"/>
    </row>
    <row r="2829" spans="91:91" x14ac:dyDescent="0.25">
      <c r="CM2829" s="361"/>
    </row>
    <row r="2830" spans="91:91" x14ac:dyDescent="0.25">
      <c r="CM2830" s="361"/>
    </row>
    <row r="2831" spans="91:91" x14ac:dyDescent="0.25">
      <c r="CM2831" s="361"/>
    </row>
    <row r="2832" spans="91:91" x14ac:dyDescent="0.25">
      <c r="CM2832" s="361"/>
    </row>
    <row r="2833" spans="91:91" x14ac:dyDescent="0.25">
      <c r="CM2833" s="361"/>
    </row>
    <row r="2834" spans="91:91" x14ac:dyDescent="0.25">
      <c r="CM2834" s="361"/>
    </row>
    <row r="2835" spans="91:91" x14ac:dyDescent="0.25">
      <c r="CM2835" s="361"/>
    </row>
    <row r="2836" spans="91:91" x14ac:dyDescent="0.25">
      <c r="CM2836" s="361"/>
    </row>
    <row r="2837" spans="91:91" x14ac:dyDescent="0.25">
      <c r="CM2837" s="361"/>
    </row>
    <row r="2838" spans="91:91" x14ac:dyDescent="0.25">
      <c r="CM2838" s="361"/>
    </row>
    <row r="2839" spans="91:91" x14ac:dyDescent="0.25">
      <c r="CM2839" s="361"/>
    </row>
    <row r="2840" spans="91:91" x14ac:dyDescent="0.25">
      <c r="CM2840" s="361"/>
    </row>
    <row r="2841" spans="91:91" x14ac:dyDescent="0.25">
      <c r="CM2841" s="361"/>
    </row>
    <row r="2842" spans="91:91" x14ac:dyDescent="0.25">
      <c r="CM2842" s="361"/>
    </row>
    <row r="2843" spans="91:91" x14ac:dyDescent="0.25">
      <c r="CM2843" s="361"/>
    </row>
    <row r="2844" spans="91:91" x14ac:dyDescent="0.25">
      <c r="CM2844" s="361"/>
    </row>
    <row r="2845" spans="91:91" x14ac:dyDescent="0.25">
      <c r="CM2845" s="361"/>
    </row>
    <row r="2846" spans="91:91" x14ac:dyDescent="0.25">
      <c r="CM2846" s="361"/>
    </row>
    <row r="2847" spans="91:91" x14ac:dyDescent="0.25">
      <c r="CM2847" s="361"/>
    </row>
    <row r="2848" spans="91:91" x14ac:dyDescent="0.25">
      <c r="CM2848" s="361"/>
    </row>
    <row r="2849" spans="91:91" x14ac:dyDescent="0.25">
      <c r="CM2849" s="361"/>
    </row>
    <row r="2850" spans="91:91" x14ac:dyDescent="0.25">
      <c r="CM2850" s="361"/>
    </row>
    <row r="2851" spans="91:91" x14ac:dyDescent="0.25">
      <c r="CM2851" s="361"/>
    </row>
    <row r="2852" spans="91:91" x14ac:dyDescent="0.25">
      <c r="CM2852" s="361"/>
    </row>
    <row r="2853" spans="91:91" x14ac:dyDescent="0.25">
      <c r="CM2853" s="361"/>
    </row>
    <row r="2854" spans="91:91" x14ac:dyDescent="0.25">
      <c r="CM2854" s="361"/>
    </row>
    <row r="2855" spans="91:91" x14ac:dyDescent="0.25">
      <c r="CM2855" s="361"/>
    </row>
    <row r="2856" spans="91:91" x14ac:dyDescent="0.25">
      <c r="CM2856" s="361"/>
    </row>
    <row r="2857" spans="91:91" x14ac:dyDescent="0.25">
      <c r="CM2857" s="361"/>
    </row>
    <row r="2858" spans="91:91" x14ac:dyDescent="0.25">
      <c r="CM2858" s="361"/>
    </row>
    <row r="2859" spans="91:91" x14ac:dyDescent="0.25">
      <c r="CM2859" s="361"/>
    </row>
    <row r="2860" spans="91:91" x14ac:dyDescent="0.25">
      <c r="CM2860" s="361"/>
    </row>
    <row r="2861" spans="91:91" x14ac:dyDescent="0.25">
      <c r="CM2861" s="361"/>
    </row>
    <row r="2862" spans="91:91" x14ac:dyDescent="0.25">
      <c r="CM2862" s="361"/>
    </row>
    <row r="2863" spans="91:91" x14ac:dyDescent="0.25">
      <c r="CM2863" s="361"/>
    </row>
    <row r="2864" spans="91:91" x14ac:dyDescent="0.25">
      <c r="CM2864" s="361"/>
    </row>
    <row r="2865" spans="91:91" x14ac:dyDescent="0.25">
      <c r="CM2865" s="361"/>
    </row>
    <row r="2866" spans="91:91" x14ac:dyDescent="0.25">
      <c r="CM2866" s="361"/>
    </row>
    <row r="2867" spans="91:91" x14ac:dyDescent="0.25">
      <c r="CM2867" s="361"/>
    </row>
    <row r="2868" spans="91:91" x14ac:dyDescent="0.25">
      <c r="CM2868" s="361"/>
    </row>
    <row r="2869" spans="91:91" x14ac:dyDescent="0.25">
      <c r="CM2869" s="361"/>
    </row>
    <row r="2870" spans="91:91" x14ac:dyDescent="0.25">
      <c r="CM2870" s="361"/>
    </row>
    <row r="2871" spans="91:91" x14ac:dyDescent="0.25">
      <c r="CM2871" s="361"/>
    </row>
    <row r="2872" spans="91:91" x14ac:dyDescent="0.25">
      <c r="CM2872" s="361"/>
    </row>
    <row r="2873" spans="91:91" x14ac:dyDescent="0.25">
      <c r="CM2873" s="361"/>
    </row>
    <row r="2874" spans="91:91" x14ac:dyDescent="0.25">
      <c r="CM2874" s="361"/>
    </row>
    <row r="2875" spans="91:91" x14ac:dyDescent="0.25">
      <c r="CM2875" s="361"/>
    </row>
    <row r="2876" spans="91:91" x14ac:dyDescent="0.25">
      <c r="CM2876" s="361"/>
    </row>
    <row r="2877" spans="91:91" x14ac:dyDescent="0.25">
      <c r="CM2877" s="361"/>
    </row>
    <row r="2878" spans="91:91" x14ac:dyDescent="0.25">
      <c r="CM2878" s="361"/>
    </row>
    <row r="2879" spans="91:91" x14ac:dyDescent="0.25">
      <c r="CM2879" s="361"/>
    </row>
    <row r="2880" spans="91:91" x14ac:dyDescent="0.25">
      <c r="CM2880" s="361"/>
    </row>
    <row r="2881" spans="91:91" x14ac:dyDescent="0.25">
      <c r="CM2881" s="361"/>
    </row>
    <row r="2882" spans="91:91" x14ac:dyDescent="0.25">
      <c r="CM2882" s="361"/>
    </row>
    <row r="2883" spans="91:91" x14ac:dyDescent="0.25">
      <c r="CM2883" s="361"/>
    </row>
    <row r="2884" spans="91:91" x14ac:dyDescent="0.25">
      <c r="CM2884" s="361"/>
    </row>
    <row r="2885" spans="91:91" x14ac:dyDescent="0.25">
      <c r="CM2885" s="361"/>
    </row>
    <row r="2886" spans="91:91" x14ac:dyDescent="0.25">
      <c r="CM2886" s="361"/>
    </row>
    <row r="2887" spans="91:91" x14ac:dyDescent="0.25">
      <c r="CM2887" s="361"/>
    </row>
    <row r="2888" spans="91:91" x14ac:dyDescent="0.25">
      <c r="CM2888" s="361"/>
    </row>
    <row r="2889" spans="91:91" x14ac:dyDescent="0.25">
      <c r="CM2889" s="361"/>
    </row>
    <row r="2890" spans="91:91" x14ac:dyDescent="0.25">
      <c r="CM2890" s="361"/>
    </row>
    <row r="2891" spans="91:91" x14ac:dyDescent="0.25">
      <c r="CM2891" s="361"/>
    </row>
    <row r="2892" spans="91:91" x14ac:dyDescent="0.25">
      <c r="CM2892" s="361"/>
    </row>
    <row r="2893" spans="91:91" x14ac:dyDescent="0.25">
      <c r="CM2893" s="361"/>
    </row>
    <row r="2894" spans="91:91" x14ac:dyDescent="0.25">
      <c r="CM2894" s="361"/>
    </row>
    <row r="2895" spans="91:91" x14ac:dyDescent="0.25">
      <c r="CM2895" s="361"/>
    </row>
    <row r="2896" spans="91:91" x14ac:dyDescent="0.25">
      <c r="CM2896" s="361"/>
    </row>
    <row r="2897" spans="91:91" x14ac:dyDescent="0.25">
      <c r="CM2897" s="361"/>
    </row>
    <row r="2898" spans="91:91" x14ac:dyDescent="0.25">
      <c r="CM2898" s="361"/>
    </row>
    <row r="2899" spans="91:91" x14ac:dyDescent="0.25">
      <c r="CM2899" s="361"/>
    </row>
    <row r="2900" spans="91:91" x14ac:dyDescent="0.25">
      <c r="CM2900" s="361"/>
    </row>
    <row r="2901" spans="91:91" x14ac:dyDescent="0.25">
      <c r="CM2901" s="361"/>
    </row>
    <row r="2902" spans="91:91" x14ac:dyDescent="0.25">
      <c r="CM2902" s="361"/>
    </row>
    <row r="2903" spans="91:91" x14ac:dyDescent="0.25">
      <c r="CM2903" s="361"/>
    </row>
    <row r="2904" spans="91:91" x14ac:dyDescent="0.25">
      <c r="CM2904" s="361"/>
    </row>
    <row r="2905" spans="91:91" x14ac:dyDescent="0.25">
      <c r="CM2905" s="361"/>
    </row>
    <row r="2906" spans="91:91" x14ac:dyDescent="0.25">
      <c r="CM2906" s="361"/>
    </row>
    <row r="2907" spans="91:91" x14ac:dyDescent="0.25">
      <c r="CM2907" s="361"/>
    </row>
    <row r="2908" spans="91:91" x14ac:dyDescent="0.25">
      <c r="CM2908" s="361"/>
    </row>
    <row r="2909" spans="91:91" x14ac:dyDescent="0.25">
      <c r="CM2909" s="361"/>
    </row>
    <row r="2910" spans="91:91" x14ac:dyDescent="0.25">
      <c r="CM2910" s="361"/>
    </row>
    <row r="2911" spans="91:91" x14ac:dyDescent="0.25">
      <c r="CM2911" s="361"/>
    </row>
    <row r="2912" spans="91:91" x14ac:dyDescent="0.25">
      <c r="CM2912" s="361"/>
    </row>
    <row r="2913" spans="91:91" x14ac:dyDescent="0.25">
      <c r="CM2913" s="361"/>
    </row>
    <row r="2914" spans="91:91" x14ac:dyDescent="0.25">
      <c r="CM2914" s="361"/>
    </row>
    <row r="2915" spans="91:91" x14ac:dyDescent="0.25">
      <c r="CM2915" s="361"/>
    </row>
    <row r="2916" spans="91:91" x14ac:dyDescent="0.25">
      <c r="CM2916" s="361"/>
    </row>
    <row r="2917" spans="91:91" x14ac:dyDescent="0.25">
      <c r="CM2917" s="361"/>
    </row>
    <row r="2918" spans="91:91" x14ac:dyDescent="0.25">
      <c r="CM2918" s="361"/>
    </row>
    <row r="2919" spans="91:91" x14ac:dyDescent="0.25">
      <c r="CM2919" s="361"/>
    </row>
    <row r="2920" spans="91:91" x14ac:dyDescent="0.25">
      <c r="CM2920" s="361"/>
    </row>
    <row r="2921" spans="91:91" x14ac:dyDescent="0.25">
      <c r="CM2921" s="361"/>
    </row>
    <row r="2922" spans="91:91" x14ac:dyDescent="0.25">
      <c r="CM2922" s="361"/>
    </row>
    <row r="2923" spans="91:91" x14ac:dyDescent="0.25">
      <c r="CM2923" s="361"/>
    </row>
    <row r="2924" spans="91:91" x14ac:dyDescent="0.25">
      <c r="CM2924" s="361"/>
    </row>
    <row r="2925" spans="91:91" x14ac:dyDescent="0.25">
      <c r="CM2925" s="361"/>
    </row>
    <row r="2926" spans="91:91" x14ac:dyDescent="0.25">
      <c r="CM2926" s="361"/>
    </row>
    <row r="2927" spans="91:91" x14ac:dyDescent="0.25">
      <c r="CM2927" s="361"/>
    </row>
    <row r="2928" spans="91:91" x14ac:dyDescent="0.25">
      <c r="CM2928" s="361"/>
    </row>
    <row r="2929" spans="91:91" x14ac:dyDescent="0.25">
      <c r="CM2929" s="361"/>
    </row>
    <row r="2930" spans="91:91" x14ac:dyDescent="0.25">
      <c r="CM2930" s="361"/>
    </row>
    <row r="2931" spans="91:91" x14ac:dyDescent="0.25">
      <c r="CM2931" s="361"/>
    </row>
    <row r="2932" spans="91:91" x14ac:dyDescent="0.25">
      <c r="CM2932" s="361"/>
    </row>
    <row r="2933" spans="91:91" x14ac:dyDescent="0.25">
      <c r="CM2933" s="361"/>
    </row>
    <row r="2934" spans="91:91" x14ac:dyDescent="0.25">
      <c r="CM2934" s="361"/>
    </row>
    <row r="2935" spans="91:91" x14ac:dyDescent="0.25">
      <c r="CM2935" s="361"/>
    </row>
    <row r="2936" spans="91:91" x14ac:dyDescent="0.25">
      <c r="CM2936" s="361"/>
    </row>
    <row r="2937" spans="91:91" x14ac:dyDescent="0.25">
      <c r="CM2937" s="361"/>
    </row>
    <row r="2938" spans="91:91" x14ac:dyDescent="0.25">
      <c r="CM2938" s="361"/>
    </row>
    <row r="2939" spans="91:91" x14ac:dyDescent="0.25">
      <c r="CM2939" s="361"/>
    </row>
    <row r="2940" spans="91:91" x14ac:dyDescent="0.25">
      <c r="CM2940" s="361"/>
    </row>
    <row r="2941" spans="91:91" x14ac:dyDescent="0.25">
      <c r="CM2941" s="361"/>
    </row>
    <row r="2942" spans="91:91" x14ac:dyDescent="0.25">
      <c r="CM2942" s="361"/>
    </row>
    <row r="2943" spans="91:91" x14ac:dyDescent="0.25">
      <c r="CM2943" s="361"/>
    </row>
    <row r="2944" spans="91:91" x14ac:dyDescent="0.25">
      <c r="CM2944" s="361"/>
    </row>
    <row r="2945" spans="91:91" x14ac:dyDescent="0.25">
      <c r="CM2945" s="361"/>
    </row>
    <row r="2946" spans="91:91" x14ac:dyDescent="0.25">
      <c r="CM2946" s="361"/>
    </row>
    <row r="2947" spans="91:91" x14ac:dyDescent="0.25">
      <c r="CM2947" s="361"/>
    </row>
    <row r="2948" spans="91:91" x14ac:dyDescent="0.25">
      <c r="CM2948" s="361"/>
    </row>
    <row r="2949" spans="91:91" x14ac:dyDescent="0.25">
      <c r="CM2949" s="361"/>
    </row>
    <row r="2950" spans="91:91" x14ac:dyDescent="0.25">
      <c r="CM2950" s="361"/>
    </row>
    <row r="2951" spans="91:91" x14ac:dyDescent="0.25">
      <c r="CM2951" s="361"/>
    </row>
    <row r="2952" spans="91:91" x14ac:dyDescent="0.25">
      <c r="CM2952" s="361"/>
    </row>
    <row r="2953" spans="91:91" x14ac:dyDescent="0.25">
      <c r="CM2953" s="361"/>
    </row>
    <row r="2954" spans="91:91" x14ac:dyDescent="0.25">
      <c r="CM2954" s="361"/>
    </row>
    <row r="2955" spans="91:91" x14ac:dyDescent="0.25">
      <c r="CM2955" s="361"/>
    </row>
    <row r="2956" spans="91:91" x14ac:dyDescent="0.25">
      <c r="CM2956" s="361"/>
    </row>
    <row r="2957" spans="91:91" x14ac:dyDescent="0.25">
      <c r="CM2957" s="361"/>
    </row>
    <row r="2958" spans="91:91" x14ac:dyDescent="0.25">
      <c r="CM2958" s="361"/>
    </row>
    <row r="2959" spans="91:91" x14ac:dyDescent="0.25">
      <c r="CM2959" s="361"/>
    </row>
    <row r="2960" spans="91:91" x14ac:dyDescent="0.25">
      <c r="CM2960" s="361"/>
    </row>
    <row r="2961" spans="91:91" x14ac:dyDescent="0.25">
      <c r="CM2961" s="361"/>
    </row>
    <row r="2962" spans="91:91" x14ac:dyDescent="0.25">
      <c r="CM2962" s="361"/>
    </row>
    <row r="2963" spans="91:91" x14ac:dyDescent="0.25">
      <c r="CM2963" s="361"/>
    </row>
    <row r="2964" spans="91:91" x14ac:dyDescent="0.25">
      <c r="CM2964" s="361"/>
    </row>
    <row r="2965" spans="91:91" x14ac:dyDescent="0.25">
      <c r="CM2965" s="361"/>
    </row>
    <row r="2966" spans="91:91" x14ac:dyDescent="0.25">
      <c r="CM2966" s="361"/>
    </row>
    <row r="2967" spans="91:91" x14ac:dyDescent="0.25">
      <c r="CM2967" s="361"/>
    </row>
    <row r="2968" spans="91:91" x14ac:dyDescent="0.25">
      <c r="CM2968" s="361"/>
    </row>
    <row r="2969" spans="91:91" x14ac:dyDescent="0.25">
      <c r="CM2969" s="361"/>
    </row>
    <row r="2970" spans="91:91" x14ac:dyDescent="0.25">
      <c r="CM2970" s="361"/>
    </row>
    <row r="2971" spans="91:91" x14ac:dyDescent="0.25">
      <c r="CM2971" s="361"/>
    </row>
    <row r="2972" spans="91:91" x14ac:dyDescent="0.25">
      <c r="CM2972" s="361"/>
    </row>
    <row r="2973" spans="91:91" x14ac:dyDescent="0.25">
      <c r="CM2973" s="361"/>
    </row>
    <row r="2974" spans="91:91" x14ac:dyDescent="0.25">
      <c r="CM2974" s="361"/>
    </row>
    <row r="2975" spans="91:91" x14ac:dyDescent="0.25">
      <c r="CM2975" s="361"/>
    </row>
    <row r="2976" spans="91:91" x14ac:dyDescent="0.25">
      <c r="CM2976" s="361"/>
    </row>
    <row r="2977" spans="91:91" x14ac:dyDescent="0.25">
      <c r="CM2977" s="361"/>
    </row>
    <row r="2978" spans="91:91" x14ac:dyDescent="0.25">
      <c r="CM2978" s="361"/>
    </row>
    <row r="2979" spans="91:91" x14ac:dyDescent="0.25">
      <c r="CM2979" s="361"/>
    </row>
    <row r="2980" spans="91:91" x14ac:dyDescent="0.25">
      <c r="CM2980" s="361"/>
    </row>
    <row r="2981" spans="91:91" x14ac:dyDescent="0.25">
      <c r="CM2981" s="361"/>
    </row>
    <row r="2982" spans="91:91" x14ac:dyDescent="0.25">
      <c r="CM2982" s="361"/>
    </row>
    <row r="2983" spans="91:91" x14ac:dyDescent="0.25">
      <c r="CM2983" s="361"/>
    </row>
    <row r="2984" spans="91:91" x14ac:dyDescent="0.25">
      <c r="CM2984" s="361"/>
    </row>
    <row r="2985" spans="91:91" x14ac:dyDescent="0.25">
      <c r="CM2985" s="361"/>
    </row>
    <row r="2986" spans="91:91" x14ac:dyDescent="0.25">
      <c r="CM2986" s="361"/>
    </row>
    <row r="2987" spans="91:91" x14ac:dyDescent="0.25">
      <c r="CM2987" s="361"/>
    </row>
    <row r="2988" spans="91:91" x14ac:dyDescent="0.25">
      <c r="CM2988" s="361"/>
    </row>
    <row r="2989" spans="91:91" x14ac:dyDescent="0.25">
      <c r="CM2989" s="361"/>
    </row>
    <row r="2990" spans="91:91" x14ac:dyDescent="0.25">
      <c r="CM2990" s="361"/>
    </row>
    <row r="2991" spans="91:91" x14ac:dyDescent="0.25">
      <c r="CM2991" s="361"/>
    </row>
    <row r="2992" spans="91:91" x14ac:dyDescent="0.25">
      <c r="CM2992" s="361"/>
    </row>
    <row r="2993" spans="91:91" x14ac:dyDescent="0.25">
      <c r="CM2993" s="361"/>
    </row>
    <row r="2994" spans="91:91" x14ac:dyDescent="0.25">
      <c r="CM2994" s="361"/>
    </row>
    <row r="2995" spans="91:91" x14ac:dyDescent="0.25">
      <c r="CM2995" s="361"/>
    </row>
    <row r="2996" spans="91:91" x14ac:dyDescent="0.25">
      <c r="CM2996" s="361"/>
    </row>
    <row r="2997" spans="91:91" x14ac:dyDescent="0.25">
      <c r="CM2997" s="361"/>
    </row>
    <row r="2998" spans="91:91" x14ac:dyDescent="0.25">
      <c r="CM2998" s="361"/>
    </row>
    <row r="2999" spans="91:91" x14ac:dyDescent="0.25">
      <c r="CM2999" s="361"/>
    </row>
    <row r="3000" spans="91:91" x14ac:dyDescent="0.25">
      <c r="CM3000" s="361"/>
    </row>
    <row r="3001" spans="91:91" x14ac:dyDescent="0.25">
      <c r="CM3001" s="361"/>
    </row>
    <row r="3002" spans="91:91" x14ac:dyDescent="0.25">
      <c r="CM3002" s="361"/>
    </row>
    <row r="3003" spans="91:91" x14ac:dyDescent="0.25">
      <c r="CM3003" s="361"/>
    </row>
    <row r="3004" spans="91:91" x14ac:dyDescent="0.25">
      <c r="CM3004" s="361"/>
    </row>
    <row r="3005" spans="91:91" x14ac:dyDescent="0.25">
      <c r="CM3005" s="361"/>
    </row>
    <row r="3006" spans="91:91" x14ac:dyDescent="0.25">
      <c r="CM3006" s="361"/>
    </row>
    <row r="3007" spans="91:91" x14ac:dyDescent="0.25">
      <c r="CM3007" s="361"/>
    </row>
    <row r="3008" spans="91:91" x14ac:dyDescent="0.25">
      <c r="CM3008" s="361"/>
    </row>
    <row r="3009" spans="91:91" x14ac:dyDescent="0.25">
      <c r="CM3009" s="361"/>
    </row>
    <row r="3010" spans="91:91" x14ac:dyDescent="0.25">
      <c r="CM3010" s="361"/>
    </row>
    <row r="3011" spans="91:91" x14ac:dyDescent="0.25">
      <c r="CM3011" s="361"/>
    </row>
    <row r="3012" spans="91:91" x14ac:dyDescent="0.25">
      <c r="CM3012" s="361"/>
    </row>
    <row r="3013" spans="91:91" x14ac:dyDescent="0.25">
      <c r="CM3013" s="361"/>
    </row>
    <row r="3014" spans="91:91" x14ac:dyDescent="0.25">
      <c r="CM3014" s="361"/>
    </row>
    <row r="3015" spans="91:91" x14ac:dyDescent="0.25">
      <c r="CM3015" s="361"/>
    </row>
    <row r="3016" spans="91:91" x14ac:dyDescent="0.25">
      <c r="CM3016" s="361"/>
    </row>
    <row r="3017" spans="91:91" x14ac:dyDescent="0.25">
      <c r="CM3017" s="361"/>
    </row>
    <row r="3018" spans="91:91" x14ac:dyDescent="0.25">
      <c r="CM3018" s="361"/>
    </row>
    <row r="3019" spans="91:91" x14ac:dyDescent="0.25">
      <c r="CM3019" s="361"/>
    </row>
    <row r="3020" spans="91:91" x14ac:dyDescent="0.25">
      <c r="CM3020" s="361"/>
    </row>
    <row r="3021" spans="91:91" x14ac:dyDescent="0.25">
      <c r="CM3021" s="361"/>
    </row>
    <row r="3022" spans="91:91" x14ac:dyDescent="0.25">
      <c r="CM3022" s="361"/>
    </row>
    <row r="3023" spans="91:91" x14ac:dyDescent="0.25">
      <c r="CM3023" s="361"/>
    </row>
    <row r="3024" spans="91:91" x14ac:dyDescent="0.25">
      <c r="CM3024" s="361"/>
    </row>
    <row r="3025" spans="91:91" x14ac:dyDescent="0.25">
      <c r="CM3025" s="361"/>
    </row>
    <row r="3026" spans="91:91" x14ac:dyDescent="0.25">
      <c r="CM3026" s="361"/>
    </row>
    <row r="3027" spans="91:91" x14ac:dyDescent="0.25">
      <c r="CM3027" s="361"/>
    </row>
    <row r="3028" spans="91:91" x14ac:dyDescent="0.25">
      <c r="CM3028" s="361"/>
    </row>
    <row r="3029" spans="91:91" x14ac:dyDescent="0.25">
      <c r="CM3029" s="361"/>
    </row>
    <row r="3030" spans="91:91" x14ac:dyDescent="0.25">
      <c r="CM3030" s="361"/>
    </row>
    <row r="3031" spans="91:91" x14ac:dyDescent="0.25">
      <c r="CM3031" s="361"/>
    </row>
    <row r="3032" spans="91:91" x14ac:dyDescent="0.25">
      <c r="CM3032" s="361"/>
    </row>
    <row r="3033" spans="91:91" x14ac:dyDescent="0.25">
      <c r="CM3033" s="361"/>
    </row>
    <row r="3034" spans="91:91" x14ac:dyDescent="0.25">
      <c r="CM3034" s="361"/>
    </row>
    <row r="3035" spans="91:91" x14ac:dyDescent="0.25">
      <c r="CM3035" s="361"/>
    </row>
    <row r="3036" spans="91:91" x14ac:dyDescent="0.25">
      <c r="CM3036" s="361"/>
    </row>
    <row r="3037" spans="91:91" x14ac:dyDescent="0.25">
      <c r="CM3037" s="361"/>
    </row>
    <row r="3038" spans="91:91" x14ac:dyDescent="0.25">
      <c r="CM3038" s="361"/>
    </row>
    <row r="3039" spans="91:91" x14ac:dyDescent="0.25">
      <c r="CM3039" s="361"/>
    </row>
    <row r="3040" spans="91:91" x14ac:dyDescent="0.25">
      <c r="CM3040" s="361"/>
    </row>
    <row r="3041" spans="91:91" x14ac:dyDescent="0.25">
      <c r="CM3041" s="361"/>
    </row>
    <row r="3042" spans="91:91" x14ac:dyDescent="0.25">
      <c r="CM3042" s="361"/>
    </row>
    <row r="3043" spans="91:91" x14ac:dyDescent="0.25">
      <c r="CM3043" s="361"/>
    </row>
    <row r="3044" spans="91:91" x14ac:dyDescent="0.25">
      <c r="CM3044" s="361"/>
    </row>
    <row r="3045" spans="91:91" x14ac:dyDescent="0.25">
      <c r="CM3045" s="361"/>
    </row>
    <row r="3046" spans="91:91" x14ac:dyDescent="0.25">
      <c r="CM3046" s="361"/>
    </row>
    <row r="3047" spans="91:91" x14ac:dyDescent="0.25">
      <c r="CM3047" s="361"/>
    </row>
    <row r="3048" spans="91:91" x14ac:dyDescent="0.25">
      <c r="CM3048" s="361"/>
    </row>
    <row r="3049" spans="91:91" x14ac:dyDescent="0.25">
      <c r="CM3049" s="361"/>
    </row>
    <row r="3050" spans="91:91" x14ac:dyDescent="0.25">
      <c r="CM3050" s="361"/>
    </row>
    <row r="3051" spans="91:91" x14ac:dyDescent="0.25">
      <c r="CM3051" s="361"/>
    </row>
    <row r="3052" spans="91:91" x14ac:dyDescent="0.25">
      <c r="CM3052" s="361"/>
    </row>
    <row r="3053" spans="91:91" x14ac:dyDescent="0.25">
      <c r="CM3053" s="361"/>
    </row>
    <row r="3054" spans="91:91" x14ac:dyDescent="0.25">
      <c r="CM3054" s="361"/>
    </row>
    <row r="3055" spans="91:91" x14ac:dyDescent="0.25">
      <c r="CM3055" s="361"/>
    </row>
    <row r="3056" spans="91:91" x14ac:dyDescent="0.25">
      <c r="CM3056" s="361"/>
    </row>
    <row r="3057" spans="91:91" x14ac:dyDescent="0.25">
      <c r="CM3057" s="361"/>
    </row>
    <row r="3058" spans="91:91" x14ac:dyDescent="0.25">
      <c r="CM3058" s="361"/>
    </row>
    <row r="3059" spans="91:91" x14ac:dyDescent="0.25">
      <c r="CM3059" s="361"/>
    </row>
    <row r="3060" spans="91:91" x14ac:dyDescent="0.25">
      <c r="CM3060" s="361"/>
    </row>
    <row r="3061" spans="91:91" x14ac:dyDescent="0.25">
      <c r="CM3061" s="361"/>
    </row>
    <row r="3062" spans="91:91" x14ac:dyDescent="0.25">
      <c r="CM3062" s="361"/>
    </row>
    <row r="3063" spans="91:91" x14ac:dyDescent="0.25">
      <c r="CM3063" s="361"/>
    </row>
    <row r="3064" spans="91:91" x14ac:dyDescent="0.25">
      <c r="CM3064" s="361"/>
    </row>
    <row r="3065" spans="91:91" x14ac:dyDescent="0.25">
      <c r="CM3065" s="361"/>
    </row>
    <row r="3066" spans="91:91" x14ac:dyDescent="0.25">
      <c r="CM3066" s="361"/>
    </row>
    <row r="3067" spans="91:91" x14ac:dyDescent="0.25">
      <c r="CM3067" s="361"/>
    </row>
    <row r="3068" spans="91:91" x14ac:dyDescent="0.25">
      <c r="CM3068" s="361"/>
    </row>
    <row r="3069" spans="91:91" x14ac:dyDescent="0.25">
      <c r="CM3069" s="361"/>
    </row>
    <row r="3070" spans="91:91" x14ac:dyDescent="0.25">
      <c r="CM3070" s="361"/>
    </row>
    <row r="3071" spans="91:91" x14ac:dyDescent="0.25">
      <c r="CM3071" s="361"/>
    </row>
    <row r="3072" spans="91:91" x14ac:dyDescent="0.25">
      <c r="CM3072" s="361"/>
    </row>
    <row r="3073" spans="91:91" x14ac:dyDescent="0.25">
      <c r="CM3073" s="361"/>
    </row>
    <row r="3074" spans="91:91" x14ac:dyDescent="0.25">
      <c r="CM3074" s="361"/>
    </row>
    <row r="3075" spans="91:91" x14ac:dyDescent="0.25">
      <c r="CM3075" s="361"/>
    </row>
    <row r="3076" spans="91:91" x14ac:dyDescent="0.25">
      <c r="CM3076" s="361"/>
    </row>
    <row r="3077" spans="91:91" x14ac:dyDescent="0.25">
      <c r="CM3077" s="361"/>
    </row>
    <row r="3078" spans="91:91" x14ac:dyDescent="0.25">
      <c r="CM3078" s="361"/>
    </row>
    <row r="3079" spans="91:91" x14ac:dyDescent="0.25">
      <c r="CM3079" s="361"/>
    </row>
    <row r="3080" spans="91:91" x14ac:dyDescent="0.25">
      <c r="CM3080" s="361"/>
    </row>
    <row r="3081" spans="91:91" x14ac:dyDescent="0.25">
      <c r="CM3081" s="361"/>
    </row>
    <row r="3082" spans="91:91" x14ac:dyDescent="0.25">
      <c r="CM3082" s="361"/>
    </row>
    <row r="3083" spans="91:91" x14ac:dyDescent="0.25">
      <c r="CM3083" s="361"/>
    </row>
    <row r="3084" spans="91:91" x14ac:dyDescent="0.25">
      <c r="CM3084" s="361"/>
    </row>
    <row r="3085" spans="91:91" x14ac:dyDescent="0.25">
      <c r="CM3085" s="361"/>
    </row>
    <row r="3086" spans="91:91" x14ac:dyDescent="0.25">
      <c r="CM3086" s="361"/>
    </row>
    <row r="3087" spans="91:91" x14ac:dyDescent="0.25">
      <c r="CM3087" s="361"/>
    </row>
    <row r="3088" spans="91:91" x14ac:dyDescent="0.25">
      <c r="CM3088" s="361"/>
    </row>
    <row r="3089" spans="91:91" x14ac:dyDescent="0.25">
      <c r="CM3089" s="361"/>
    </row>
    <row r="3090" spans="91:91" x14ac:dyDescent="0.25">
      <c r="CM3090" s="361"/>
    </row>
    <row r="3091" spans="91:91" x14ac:dyDescent="0.25">
      <c r="CM3091" s="361"/>
    </row>
    <row r="3092" spans="91:91" x14ac:dyDescent="0.25">
      <c r="CM3092" s="361"/>
    </row>
    <row r="3093" spans="91:91" x14ac:dyDescent="0.25">
      <c r="CM3093" s="361"/>
    </row>
    <row r="3094" spans="91:91" x14ac:dyDescent="0.25">
      <c r="CM3094" s="361"/>
    </row>
    <row r="3095" spans="91:91" x14ac:dyDescent="0.25">
      <c r="CM3095" s="361"/>
    </row>
    <row r="3096" spans="91:91" x14ac:dyDescent="0.25">
      <c r="CM3096" s="361"/>
    </row>
    <row r="3097" spans="91:91" x14ac:dyDescent="0.25">
      <c r="CM3097" s="361"/>
    </row>
    <row r="3098" spans="91:91" x14ac:dyDescent="0.25">
      <c r="CM3098" s="361"/>
    </row>
    <row r="3099" spans="91:91" x14ac:dyDescent="0.25">
      <c r="CM3099" s="361"/>
    </row>
    <row r="3100" spans="91:91" x14ac:dyDescent="0.25">
      <c r="CM3100" s="361"/>
    </row>
    <row r="3101" spans="91:91" x14ac:dyDescent="0.25">
      <c r="CM3101" s="361"/>
    </row>
    <row r="3102" spans="91:91" x14ac:dyDescent="0.25">
      <c r="CM3102" s="361"/>
    </row>
    <row r="3103" spans="91:91" x14ac:dyDescent="0.25">
      <c r="CM3103" s="361"/>
    </row>
    <row r="3104" spans="91:91" x14ac:dyDescent="0.25">
      <c r="CM3104" s="361"/>
    </row>
    <row r="3105" spans="91:91" x14ac:dyDescent="0.25">
      <c r="CM3105" s="361"/>
    </row>
    <row r="3106" spans="91:91" x14ac:dyDescent="0.25">
      <c r="CM3106" s="361"/>
    </row>
    <row r="3107" spans="91:91" x14ac:dyDescent="0.25">
      <c r="CM3107" s="361"/>
    </row>
    <row r="3108" spans="91:91" x14ac:dyDescent="0.25">
      <c r="CM3108" s="361"/>
    </row>
    <row r="3109" spans="91:91" x14ac:dyDescent="0.25">
      <c r="CM3109" s="361"/>
    </row>
    <row r="3110" spans="91:91" x14ac:dyDescent="0.25">
      <c r="CM3110" s="361"/>
    </row>
    <row r="3111" spans="91:91" x14ac:dyDescent="0.25">
      <c r="CM3111" s="361"/>
    </row>
    <row r="3112" spans="91:91" x14ac:dyDescent="0.25">
      <c r="CM3112" s="361"/>
    </row>
    <row r="3113" spans="91:91" x14ac:dyDescent="0.25">
      <c r="CM3113" s="361"/>
    </row>
    <row r="3114" spans="91:91" x14ac:dyDescent="0.25">
      <c r="CM3114" s="361"/>
    </row>
    <row r="3115" spans="91:91" x14ac:dyDescent="0.25">
      <c r="CM3115" s="361"/>
    </row>
    <row r="3116" spans="91:91" x14ac:dyDescent="0.25">
      <c r="CM3116" s="361"/>
    </row>
    <row r="3117" spans="91:91" x14ac:dyDescent="0.25">
      <c r="CM3117" s="361"/>
    </row>
    <row r="3118" spans="91:91" x14ac:dyDescent="0.25">
      <c r="CM3118" s="361"/>
    </row>
    <row r="3119" spans="91:91" x14ac:dyDescent="0.25">
      <c r="CM3119" s="361"/>
    </row>
    <row r="3120" spans="91:91" x14ac:dyDescent="0.25">
      <c r="CM3120" s="361"/>
    </row>
    <row r="3121" spans="91:91" x14ac:dyDescent="0.25">
      <c r="CM3121" s="361"/>
    </row>
    <row r="3122" spans="91:91" x14ac:dyDescent="0.25">
      <c r="CM3122" s="361"/>
    </row>
    <row r="3123" spans="91:91" x14ac:dyDescent="0.25">
      <c r="CM3123" s="361"/>
    </row>
    <row r="3124" spans="91:91" x14ac:dyDescent="0.25">
      <c r="CM3124" s="361"/>
    </row>
    <row r="3125" spans="91:91" x14ac:dyDescent="0.25">
      <c r="CM3125" s="361"/>
    </row>
    <row r="3126" spans="91:91" x14ac:dyDescent="0.25">
      <c r="CM3126" s="361"/>
    </row>
    <row r="3127" spans="91:91" x14ac:dyDescent="0.25">
      <c r="CM3127" s="361"/>
    </row>
    <row r="3128" spans="91:91" x14ac:dyDescent="0.25">
      <c r="CM3128" s="361"/>
    </row>
    <row r="3129" spans="91:91" x14ac:dyDescent="0.25">
      <c r="CM3129" s="361"/>
    </row>
    <row r="3130" spans="91:91" x14ac:dyDescent="0.25">
      <c r="CM3130" s="361"/>
    </row>
    <row r="3131" spans="91:91" x14ac:dyDescent="0.25">
      <c r="CM3131" s="361"/>
    </row>
    <row r="3132" spans="91:91" x14ac:dyDescent="0.25">
      <c r="CM3132" s="361"/>
    </row>
    <row r="3133" spans="91:91" x14ac:dyDescent="0.25">
      <c r="CM3133" s="361"/>
    </row>
    <row r="3134" spans="91:91" x14ac:dyDescent="0.25">
      <c r="CM3134" s="361"/>
    </row>
    <row r="3135" spans="91:91" x14ac:dyDescent="0.25">
      <c r="CM3135" s="361"/>
    </row>
    <row r="3136" spans="91:91" x14ac:dyDescent="0.25">
      <c r="CM3136" s="361"/>
    </row>
    <row r="3137" spans="91:91" x14ac:dyDescent="0.25">
      <c r="CM3137" s="361"/>
    </row>
    <row r="3138" spans="91:91" x14ac:dyDescent="0.25">
      <c r="CM3138" s="361"/>
    </row>
    <row r="3139" spans="91:91" x14ac:dyDescent="0.25">
      <c r="CM3139" s="361"/>
    </row>
    <row r="3140" spans="91:91" x14ac:dyDescent="0.25">
      <c r="CM3140" s="361"/>
    </row>
    <row r="3141" spans="91:91" x14ac:dyDescent="0.25">
      <c r="CM3141" s="361"/>
    </row>
    <row r="3142" spans="91:91" x14ac:dyDescent="0.25">
      <c r="CM3142" s="361"/>
    </row>
    <row r="3143" spans="91:91" x14ac:dyDescent="0.25">
      <c r="CM3143" s="361"/>
    </row>
    <row r="3144" spans="91:91" x14ac:dyDescent="0.25">
      <c r="CM3144" s="361"/>
    </row>
    <row r="3145" spans="91:91" x14ac:dyDescent="0.25">
      <c r="CM3145" s="361"/>
    </row>
    <row r="3146" spans="91:91" x14ac:dyDescent="0.25">
      <c r="CM3146" s="361"/>
    </row>
    <row r="3147" spans="91:91" x14ac:dyDescent="0.25">
      <c r="CM3147" s="361"/>
    </row>
    <row r="3148" spans="91:91" x14ac:dyDescent="0.25">
      <c r="CM3148" s="361"/>
    </row>
    <row r="3149" spans="91:91" x14ac:dyDescent="0.25">
      <c r="CM3149" s="361"/>
    </row>
    <row r="3150" spans="91:91" x14ac:dyDescent="0.25">
      <c r="CM3150" s="361"/>
    </row>
    <row r="3151" spans="91:91" x14ac:dyDescent="0.25">
      <c r="CM3151" s="361"/>
    </row>
    <row r="3152" spans="91:91" x14ac:dyDescent="0.25">
      <c r="CM3152" s="361"/>
    </row>
    <row r="3153" spans="91:91" x14ac:dyDescent="0.25">
      <c r="CM3153" s="361"/>
    </row>
    <row r="3154" spans="91:91" x14ac:dyDescent="0.25">
      <c r="CM3154" s="361"/>
    </row>
    <row r="3155" spans="91:91" x14ac:dyDescent="0.25">
      <c r="CM3155" s="361"/>
    </row>
    <row r="3156" spans="91:91" x14ac:dyDescent="0.25">
      <c r="CM3156" s="361"/>
    </row>
    <row r="3157" spans="91:91" x14ac:dyDescent="0.25">
      <c r="CM3157" s="361"/>
    </row>
    <row r="3158" spans="91:91" x14ac:dyDescent="0.25">
      <c r="CM3158" s="361"/>
    </row>
    <row r="3159" spans="91:91" x14ac:dyDescent="0.25">
      <c r="CM3159" s="361"/>
    </row>
    <row r="3160" spans="91:91" x14ac:dyDescent="0.25">
      <c r="CM3160" s="361"/>
    </row>
    <row r="3161" spans="91:91" x14ac:dyDescent="0.25">
      <c r="CM3161" s="361"/>
    </row>
    <row r="3162" spans="91:91" x14ac:dyDescent="0.25">
      <c r="CM3162" s="361"/>
    </row>
    <row r="3163" spans="91:91" x14ac:dyDescent="0.25">
      <c r="CM3163" s="361"/>
    </row>
    <row r="3164" spans="91:91" x14ac:dyDescent="0.25">
      <c r="CM3164" s="361"/>
    </row>
    <row r="3165" spans="91:91" x14ac:dyDescent="0.25">
      <c r="CM3165" s="361"/>
    </row>
    <row r="3166" spans="91:91" x14ac:dyDescent="0.25">
      <c r="CM3166" s="361"/>
    </row>
    <row r="3167" spans="91:91" x14ac:dyDescent="0.25">
      <c r="CM3167" s="361"/>
    </row>
    <row r="3168" spans="91:91" x14ac:dyDescent="0.25">
      <c r="CM3168" s="361"/>
    </row>
    <row r="3169" spans="91:91" x14ac:dyDescent="0.25">
      <c r="CM3169" s="361"/>
    </row>
    <row r="3170" spans="91:91" x14ac:dyDescent="0.25">
      <c r="CM3170" s="361"/>
    </row>
    <row r="3171" spans="91:91" x14ac:dyDescent="0.25">
      <c r="CM3171" s="361"/>
    </row>
    <row r="3172" spans="91:91" x14ac:dyDescent="0.25">
      <c r="CM3172" s="361"/>
    </row>
    <row r="3173" spans="91:91" x14ac:dyDescent="0.25">
      <c r="CM3173" s="361"/>
    </row>
    <row r="3174" spans="91:91" x14ac:dyDescent="0.25">
      <c r="CM3174" s="361"/>
    </row>
    <row r="3175" spans="91:91" x14ac:dyDescent="0.25">
      <c r="CM3175" s="361"/>
    </row>
    <row r="3176" spans="91:91" x14ac:dyDescent="0.25">
      <c r="CM3176" s="361"/>
    </row>
    <row r="3177" spans="91:91" x14ac:dyDescent="0.25">
      <c r="CM3177" s="361"/>
    </row>
    <row r="3178" spans="91:91" x14ac:dyDescent="0.25">
      <c r="CM3178" s="361"/>
    </row>
    <row r="3179" spans="91:91" x14ac:dyDescent="0.25">
      <c r="CM3179" s="361"/>
    </row>
    <row r="3180" spans="91:91" x14ac:dyDescent="0.25">
      <c r="CM3180" s="361"/>
    </row>
    <row r="3181" spans="91:91" x14ac:dyDescent="0.25">
      <c r="CM3181" s="361"/>
    </row>
    <row r="3182" spans="91:91" x14ac:dyDescent="0.25">
      <c r="CM3182" s="361"/>
    </row>
    <row r="3183" spans="91:91" x14ac:dyDescent="0.25">
      <c r="CM3183" s="361"/>
    </row>
    <row r="3184" spans="91:91" x14ac:dyDescent="0.25">
      <c r="CM3184" s="361"/>
    </row>
    <row r="3185" spans="91:91" x14ac:dyDescent="0.25">
      <c r="CM3185" s="361"/>
    </row>
    <row r="3186" spans="91:91" x14ac:dyDescent="0.25">
      <c r="CM3186" s="361"/>
    </row>
    <row r="3187" spans="91:91" x14ac:dyDescent="0.25">
      <c r="CM3187" s="361"/>
    </row>
    <row r="3188" spans="91:91" x14ac:dyDescent="0.25">
      <c r="CM3188" s="361"/>
    </row>
    <row r="3189" spans="91:91" x14ac:dyDescent="0.25">
      <c r="CM3189" s="361"/>
    </row>
    <row r="3190" spans="91:91" x14ac:dyDescent="0.25">
      <c r="CM3190" s="361"/>
    </row>
    <row r="3191" spans="91:91" x14ac:dyDescent="0.25">
      <c r="CM3191" s="361"/>
    </row>
    <row r="3192" spans="91:91" x14ac:dyDescent="0.25">
      <c r="CM3192" s="361"/>
    </row>
    <row r="3193" spans="91:91" x14ac:dyDescent="0.25">
      <c r="CM3193" s="361"/>
    </row>
    <row r="3194" spans="91:91" x14ac:dyDescent="0.25">
      <c r="CM3194" s="361"/>
    </row>
    <row r="3195" spans="91:91" x14ac:dyDescent="0.25">
      <c r="CM3195" s="361"/>
    </row>
    <row r="3196" spans="91:91" x14ac:dyDescent="0.25">
      <c r="CM3196" s="361"/>
    </row>
    <row r="3197" spans="91:91" x14ac:dyDescent="0.25">
      <c r="CM3197" s="361"/>
    </row>
    <row r="3198" spans="91:91" x14ac:dyDescent="0.25">
      <c r="CM3198" s="361"/>
    </row>
    <row r="3199" spans="91:91" x14ac:dyDescent="0.25">
      <c r="CM3199" s="361"/>
    </row>
    <row r="3200" spans="91:91" x14ac:dyDescent="0.25">
      <c r="CM3200" s="361"/>
    </row>
    <row r="3201" spans="91:91" x14ac:dyDescent="0.25">
      <c r="CM3201" s="361"/>
    </row>
    <row r="3202" spans="91:91" x14ac:dyDescent="0.25">
      <c r="CM3202" s="361"/>
    </row>
    <row r="3203" spans="91:91" x14ac:dyDescent="0.25">
      <c r="CM3203" s="361"/>
    </row>
    <row r="3204" spans="91:91" x14ac:dyDescent="0.25">
      <c r="CM3204" s="361"/>
    </row>
    <row r="3205" spans="91:91" x14ac:dyDescent="0.25">
      <c r="CM3205" s="361"/>
    </row>
    <row r="3206" spans="91:91" x14ac:dyDescent="0.25">
      <c r="CM3206" s="361"/>
    </row>
    <row r="3207" spans="91:91" x14ac:dyDescent="0.25">
      <c r="CM3207" s="361"/>
    </row>
    <row r="3208" spans="91:91" x14ac:dyDescent="0.25">
      <c r="CM3208" s="361"/>
    </row>
    <row r="3209" spans="91:91" x14ac:dyDescent="0.25">
      <c r="CM3209" s="361"/>
    </row>
    <row r="3210" spans="91:91" x14ac:dyDescent="0.25">
      <c r="CM3210" s="361"/>
    </row>
    <row r="3211" spans="91:91" x14ac:dyDescent="0.25">
      <c r="CM3211" s="361"/>
    </row>
    <row r="3212" spans="91:91" x14ac:dyDescent="0.25">
      <c r="CM3212" s="361"/>
    </row>
    <row r="3213" spans="91:91" x14ac:dyDescent="0.25">
      <c r="CM3213" s="361"/>
    </row>
    <row r="3214" spans="91:91" x14ac:dyDescent="0.25">
      <c r="CM3214" s="361"/>
    </row>
    <row r="3215" spans="91:91" x14ac:dyDescent="0.25">
      <c r="CM3215" s="361"/>
    </row>
    <row r="3216" spans="91:91" x14ac:dyDescent="0.25">
      <c r="CM3216" s="361"/>
    </row>
    <row r="3217" spans="91:91" x14ac:dyDescent="0.25">
      <c r="CM3217" s="361"/>
    </row>
    <row r="3218" spans="91:91" x14ac:dyDescent="0.25">
      <c r="CM3218" s="361"/>
    </row>
    <row r="3219" spans="91:91" x14ac:dyDescent="0.25">
      <c r="CM3219" s="361"/>
    </row>
    <row r="3220" spans="91:91" x14ac:dyDescent="0.25">
      <c r="CM3220" s="361"/>
    </row>
    <row r="3221" spans="91:91" x14ac:dyDescent="0.25">
      <c r="CM3221" s="361"/>
    </row>
    <row r="3222" spans="91:91" x14ac:dyDescent="0.25">
      <c r="CM3222" s="361"/>
    </row>
    <row r="3223" spans="91:91" x14ac:dyDescent="0.25">
      <c r="CM3223" s="361"/>
    </row>
    <row r="3224" spans="91:91" x14ac:dyDescent="0.25">
      <c r="CM3224" s="361"/>
    </row>
    <row r="3225" spans="91:91" x14ac:dyDescent="0.25">
      <c r="CM3225" s="361"/>
    </row>
    <row r="3226" spans="91:91" x14ac:dyDescent="0.25">
      <c r="CM3226" s="361"/>
    </row>
    <row r="3227" spans="91:91" x14ac:dyDescent="0.25">
      <c r="CM3227" s="361"/>
    </row>
    <row r="3228" spans="91:91" x14ac:dyDescent="0.25">
      <c r="CM3228" s="361"/>
    </row>
    <row r="3229" spans="91:91" x14ac:dyDescent="0.25">
      <c r="CM3229" s="361"/>
    </row>
    <row r="3230" spans="91:91" x14ac:dyDescent="0.25">
      <c r="CM3230" s="361"/>
    </row>
    <row r="3231" spans="91:91" x14ac:dyDescent="0.25">
      <c r="CM3231" s="361"/>
    </row>
    <row r="3232" spans="91:91" x14ac:dyDescent="0.25">
      <c r="CM3232" s="361"/>
    </row>
    <row r="3233" spans="91:91" x14ac:dyDescent="0.25">
      <c r="CM3233" s="361"/>
    </row>
    <row r="3234" spans="91:91" x14ac:dyDescent="0.25">
      <c r="CM3234" s="361"/>
    </row>
    <row r="3235" spans="91:91" x14ac:dyDescent="0.25">
      <c r="CM3235" s="361"/>
    </row>
    <row r="3236" spans="91:91" x14ac:dyDescent="0.25">
      <c r="CM3236" s="361"/>
    </row>
    <row r="3237" spans="91:91" x14ac:dyDescent="0.25">
      <c r="CM3237" s="361"/>
    </row>
    <row r="3238" spans="91:91" x14ac:dyDescent="0.25">
      <c r="CM3238" s="361"/>
    </row>
    <row r="3239" spans="91:91" x14ac:dyDescent="0.25">
      <c r="CM3239" s="361"/>
    </row>
    <row r="3240" spans="91:91" x14ac:dyDescent="0.25">
      <c r="CM3240" s="361"/>
    </row>
    <row r="3241" spans="91:91" x14ac:dyDescent="0.25">
      <c r="CM3241" s="361"/>
    </row>
    <row r="3242" spans="91:91" x14ac:dyDescent="0.25">
      <c r="CM3242" s="361"/>
    </row>
    <row r="3243" spans="91:91" x14ac:dyDescent="0.25">
      <c r="CM3243" s="361"/>
    </row>
    <row r="3244" spans="91:91" x14ac:dyDescent="0.25">
      <c r="CM3244" s="361"/>
    </row>
    <row r="3245" spans="91:91" x14ac:dyDescent="0.25">
      <c r="CM3245" s="361"/>
    </row>
    <row r="3246" spans="91:91" x14ac:dyDescent="0.25">
      <c r="CM3246" s="361"/>
    </row>
    <row r="3247" spans="91:91" x14ac:dyDescent="0.25">
      <c r="CM3247" s="361"/>
    </row>
    <row r="3248" spans="91:91" x14ac:dyDescent="0.25">
      <c r="CM3248" s="361"/>
    </row>
    <row r="3249" spans="91:91" x14ac:dyDescent="0.25">
      <c r="CM3249" s="361"/>
    </row>
    <row r="3250" spans="91:91" x14ac:dyDescent="0.25">
      <c r="CM3250" s="361"/>
    </row>
    <row r="3251" spans="91:91" x14ac:dyDescent="0.25">
      <c r="CM3251" s="361"/>
    </row>
    <row r="3252" spans="91:91" x14ac:dyDescent="0.25">
      <c r="CM3252" s="361"/>
    </row>
    <row r="3253" spans="91:91" x14ac:dyDescent="0.25">
      <c r="CM3253" s="361"/>
    </row>
    <row r="3254" spans="91:91" x14ac:dyDescent="0.25">
      <c r="CM3254" s="361"/>
    </row>
    <row r="3255" spans="91:91" x14ac:dyDescent="0.25">
      <c r="CM3255" s="361"/>
    </row>
    <row r="3256" spans="91:91" x14ac:dyDescent="0.25">
      <c r="CM3256" s="361"/>
    </row>
    <row r="3257" spans="91:91" x14ac:dyDescent="0.25">
      <c r="CM3257" s="361"/>
    </row>
    <row r="3258" spans="91:91" x14ac:dyDescent="0.25">
      <c r="CM3258" s="361"/>
    </row>
    <row r="3259" spans="91:91" x14ac:dyDescent="0.25">
      <c r="CM3259" s="361"/>
    </row>
    <row r="3260" spans="91:91" x14ac:dyDescent="0.25">
      <c r="CM3260" s="361"/>
    </row>
    <row r="3261" spans="91:91" x14ac:dyDescent="0.25">
      <c r="CM3261" s="361"/>
    </row>
    <row r="3262" spans="91:91" x14ac:dyDescent="0.25">
      <c r="CM3262" s="361"/>
    </row>
    <row r="3263" spans="91:91" x14ac:dyDescent="0.25">
      <c r="CM3263" s="361"/>
    </row>
    <row r="3264" spans="91:91" x14ac:dyDescent="0.25">
      <c r="CM3264" s="361"/>
    </row>
    <row r="3265" spans="91:91" x14ac:dyDescent="0.25">
      <c r="CM3265" s="361"/>
    </row>
    <row r="3266" spans="91:91" x14ac:dyDescent="0.25">
      <c r="CM3266" s="361"/>
    </row>
    <row r="3267" spans="91:91" x14ac:dyDescent="0.25">
      <c r="CM3267" s="361"/>
    </row>
    <row r="3268" spans="91:91" x14ac:dyDescent="0.25">
      <c r="CM3268" s="361"/>
    </row>
    <row r="3269" spans="91:91" x14ac:dyDescent="0.25">
      <c r="CM3269" s="361"/>
    </row>
    <row r="3270" spans="91:91" x14ac:dyDescent="0.25">
      <c r="CM3270" s="361"/>
    </row>
    <row r="3271" spans="91:91" x14ac:dyDescent="0.25">
      <c r="CM3271" s="361"/>
    </row>
    <row r="3272" spans="91:91" x14ac:dyDescent="0.25">
      <c r="CM3272" s="361"/>
    </row>
    <row r="3273" spans="91:91" x14ac:dyDescent="0.25">
      <c r="CM3273" s="361"/>
    </row>
    <row r="3274" spans="91:91" x14ac:dyDescent="0.25">
      <c r="CM3274" s="361"/>
    </row>
    <row r="3275" spans="91:91" x14ac:dyDescent="0.25">
      <c r="CM3275" s="361"/>
    </row>
    <row r="3276" spans="91:91" x14ac:dyDescent="0.25">
      <c r="CM3276" s="361"/>
    </row>
    <row r="3277" spans="91:91" x14ac:dyDescent="0.25">
      <c r="CM3277" s="361"/>
    </row>
    <row r="3278" spans="91:91" x14ac:dyDescent="0.25">
      <c r="CM3278" s="361"/>
    </row>
    <row r="3279" spans="91:91" x14ac:dyDescent="0.25">
      <c r="CM3279" s="361"/>
    </row>
    <row r="3280" spans="91:91" x14ac:dyDescent="0.25">
      <c r="CM3280" s="361"/>
    </row>
    <row r="3281" spans="91:91" x14ac:dyDescent="0.25">
      <c r="CM3281" s="361"/>
    </row>
    <row r="3282" spans="91:91" x14ac:dyDescent="0.25">
      <c r="CM3282" s="361"/>
    </row>
    <row r="3283" spans="91:91" x14ac:dyDescent="0.25">
      <c r="CM3283" s="361"/>
    </row>
    <row r="3284" spans="91:91" x14ac:dyDescent="0.25">
      <c r="CM3284" s="361"/>
    </row>
    <row r="3285" spans="91:91" x14ac:dyDescent="0.25">
      <c r="CM3285" s="361"/>
    </row>
    <row r="3286" spans="91:91" x14ac:dyDescent="0.25">
      <c r="CM3286" s="361"/>
    </row>
    <row r="3287" spans="91:91" x14ac:dyDescent="0.25">
      <c r="CM3287" s="361"/>
    </row>
    <row r="3288" spans="91:91" x14ac:dyDescent="0.25">
      <c r="CM3288" s="361"/>
    </row>
    <row r="3289" spans="91:91" x14ac:dyDescent="0.25">
      <c r="CM3289" s="361"/>
    </row>
    <row r="3290" spans="91:91" x14ac:dyDescent="0.25">
      <c r="CM3290" s="361"/>
    </row>
    <row r="3291" spans="91:91" x14ac:dyDescent="0.25">
      <c r="CM3291" s="361"/>
    </row>
    <row r="3292" spans="91:91" x14ac:dyDescent="0.25">
      <c r="CM3292" s="361"/>
    </row>
    <row r="3293" spans="91:91" x14ac:dyDescent="0.25">
      <c r="CM3293" s="361"/>
    </row>
    <row r="3294" spans="91:91" x14ac:dyDescent="0.25">
      <c r="CM3294" s="361"/>
    </row>
    <row r="3295" spans="91:91" x14ac:dyDescent="0.25">
      <c r="CM3295" s="361"/>
    </row>
    <row r="3296" spans="91:91" x14ac:dyDescent="0.25">
      <c r="CM3296" s="361"/>
    </row>
    <row r="3297" spans="91:91" x14ac:dyDescent="0.25">
      <c r="CM3297" s="361"/>
    </row>
    <row r="3298" spans="91:91" x14ac:dyDescent="0.25">
      <c r="CM3298" s="361"/>
    </row>
    <row r="3299" spans="91:91" x14ac:dyDescent="0.25">
      <c r="CM3299" s="361"/>
    </row>
    <row r="3300" spans="91:91" x14ac:dyDescent="0.25">
      <c r="CM3300" s="361"/>
    </row>
    <row r="3301" spans="91:91" x14ac:dyDescent="0.25">
      <c r="CM3301" s="361"/>
    </row>
    <row r="3302" spans="91:91" x14ac:dyDescent="0.25">
      <c r="CM3302" s="361"/>
    </row>
    <row r="3303" spans="91:91" x14ac:dyDescent="0.25">
      <c r="CM3303" s="361"/>
    </row>
    <row r="3304" spans="91:91" x14ac:dyDescent="0.25">
      <c r="CM3304" s="361"/>
    </row>
    <row r="3305" spans="91:91" x14ac:dyDescent="0.25">
      <c r="CM3305" s="361"/>
    </row>
    <row r="3306" spans="91:91" x14ac:dyDescent="0.25">
      <c r="CM3306" s="361"/>
    </row>
    <row r="3307" spans="91:91" x14ac:dyDescent="0.25">
      <c r="CM3307" s="361"/>
    </row>
    <row r="3308" spans="91:91" x14ac:dyDescent="0.25">
      <c r="CM3308" s="361"/>
    </row>
    <row r="3309" spans="91:91" x14ac:dyDescent="0.25">
      <c r="CM3309" s="361"/>
    </row>
    <row r="3310" spans="91:91" x14ac:dyDescent="0.25">
      <c r="CM3310" s="361"/>
    </row>
    <row r="3311" spans="91:91" x14ac:dyDescent="0.25">
      <c r="CM3311" s="361"/>
    </row>
    <row r="3312" spans="91:91" x14ac:dyDescent="0.25">
      <c r="CM3312" s="361"/>
    </row>
    <row r="3313" spans="91:91" x14ac:dyDescent="0.25">
      <c r="CM3313" s="361"/>
    </row>
    <row r="3314" spans="91:91" x14ac:dyDescent="0.25">
      <c r="CM3314" s="361"/>
    </row>
    <row r="3315" spans="91:91" x14ac:dyDescent="0.25">
      <c r="CM3315" s="361"/>
    </row>
    <row r="3316" spans="91:91" x14ac:dyDescent="0.25">
      <c r="CM3316" s="361"/>
    </row>
    <row r="3317" spans="91:91" x14ac:dyDescent="0.25">
      <c r="CM3317" s="361"/>
    </row>
    <row r="3318" spans="91:91" x14ac:dyDescent="0.25">
      <c r="CM3318" s="361"/>
    </row>
    <row r="3319" spans="91:91" x14ac:dyDescent="0.25">
      <c r="CM3319" s="361"/>
    </row>
    <row r="3320" spans="91:91" x14ac:dyDescent="0.25">
      <c r="CM3320" s="361"/>
    </row>
    <row r="3321" spans="91:91" x14ac:dyDescent="0.25">
      <c r="CM3321" s="361"/>
    </row>
    <row r="3322" spans="91:91" x14ac:dyDescent="0.25">
      <c r="CM3322" s="361"/>
    </row>
    <row r="3323" spans="91:91" x14ac:dyDescent="0.25">
      <c r="CM3323" s="361"/>
    </row>
    <row r="3324" spans="91:91" x14ac:dyDescent="0.25">
      <c r="CM3324" s="361"/>
    </row>
    <row r="3325" spans="91:91" x14ac:dyDescent="0.25">
      <c r="CM3325" s="361"/>
    </row>
    <row r="3326" spans="91:91" x14ac:dyDescent="0.25">
      <c r="CM3326" s="361"/>
    </row>
    <row r="3327" spans="91:91" x14ac:dyDescent="0.25">
      <c r="CM3327" s="361"/>
    </row>
    <row r="3328" spans="91:91" x14ac:dyDescent="0.25">
      <c r="CM3328" s="361"/>
    </row>
    <row r="3329" spans="91:91" x14ac:dyDescent="0.25">
      <c r="CM3329" s="361"/>
    </row>
    <row r="3330" spans="91:91" x14ac:dyDescent="0.25">
      <c r="CM3330" s="361"/>
    </row>
    <row r="3331" spans="91:91" x14ac:dyDescent="0.25">
      <c r="CM3331" s="361"/>
    </row>
    <row r="3332" spans="91:91" x14ac:dyDescent="0.25">
      <c r="CM3332" s="361"/>
    </row>
    <row r="3333" spans="91:91" x14ac:dyDescent="0.25">
      <c r="CM3333" s="361"/>
    </row>
    <row r="3334" spans="91:91" x14ac:dyDescent="0.25">
      <c r="CM3334" s="361"/>
    </row>
    <row r="3335" spans="91:91" x14ac:dyDescent="0.25">
      <c r="CM3335" s="361"/>
    </row>
    <row r="3336" spans="91:91" x14ac:dyDescent="0.25">
      <c r="CM3336" s="361"/>
    </row>
    <row r="3337" spans="91:91" x14ac:dyDescent="0.25">
      <c r="CM3337" s="361"/>
    </row>
    <row r="3338" spans="91:91" x14ac:dyDescent="0.25">
      <c r="CM3338" s="361"/>
    </row>
    <row r="3339" spans="91:91" x14ac:dyDescent="0.25">
      <c r="CM3339" s="361"/>
    </row>
    <row r="3340" spans="91:91" x14ac:dyDescent="0.25">
      <c r="CM3340" s="361"/>
    </row>
    <row r="3341" spans="91:91" x14ac:dyDescent="0.25">
      <c r="CM3341" s="361"/>
    </row>
    <row r="3342" spans="91:91" x14ac:dyDescent="0.25">
      <c r="CM3342" s="361"/>
    </row>
    <row r="3343" spans="91:91" x14ac:dyDescent="0.25">
      <c r="CM3343" s="361"/>
    </row>
    <row r="3344" spans="91:91" x14ac:dyDescent="0.25">
      <c r="CM3344" s="361"/>
    </row>
    <row r="3345" spans="91:91" x14ac:dyDescent="0.25">
      <c r="CM3345" s="361"/>
    </row>
    <row r="3346" spans="91:91" x14ac:dyDescent="0.25">
      <c r="CM3346" s="361"/>
    </row>
    <row r="3347" spans="91:91" x14ac:dyDescent="0.25">
      <c r="CM3347" s="361"/>
    </row>
    <row r="3348" spans="91:91" x14ac:dyDescent="0.25">
      <c r="CM3348" s="361"/>
    </row>
    <row r="3349" spans="91:91" x14ac:dyDescent="0.25">
      <c r="CM3349" s="361"/>
    </row>
    <row r="3350" spans="91:91" x14ac:dyDescent="0.25">
      <c r="CM3350" s="361"/>
    </row>
    <row r="3351" spans="91:91" x14ac:dyDescent="0.25">
      <c r="CM3351" s="361"/>
    </row>
    <row r="3352" spans="91:91" x14ac:dyDescent="0.25">
      <c r="CM3352" s="361"/>
    </row>
    <row r="3353" spans="91:91" x14ac:dyDescent="0.25">
      <c r="CM3353" s="361"/>
    </row>
    <row r="3354" spans="91:91" x14ac:dyDescent="0.25">
      <c r="CM3354" s="361"/>
    </row>
    <row r="3355" spans="91:91" x14ac:dyDescent="0.25">
      <c r="CM3355" s="361"/>
    </row>
    <row r="3356" spans="91:91" x14ac:dyDescent="0.25">
      <c r="CM3356" s="361"/>
    </row>
    <row r="3357" spans="91:91" x14ac:dyDescent="0.25">
      <c r="CM3357" s="361"/>
    </row>
    <row r="3358" spans="91:91" x14ac:dyDescent="0.25">
      <c r="CM3358" s="361"/>
    </row>
    <row r="3359" spans="91:91" x14ac:dyDescent="0.25">
      <c r="CM3359" s="361"/>
    </row>
    <row r="3360" spans="91:91" x14ac:dyDescent="0.25">
      <c r="CM3360" s="361"/>
    </row>
    <row r="3361" spans="91:91" x14ac:dyDescent="0.25">
      <c r="CM3361" s="361"/>
    </row>
    <row r="3362" spans="91:91" x14ac:dyDescent="0.25">
      <c r="CM3362" s="361"/>
    </row>
    <row r="3363" spans="91:91" x14ac:dyDescent="0.25">
      <c r="CM3363" s="361"/>
    </row>
    <row r="3364" spans="91:91" x14ac:dyDescent="0.25">
      <c r="CM3364" s="361"/>
    </row>
    <row r="3365" spans="91:91" x14ac:dyDescent="0.25">
      <c r="CM3365" s="361"/>
    </row>
    <row r="3366" spans="91:91" x14ac:dyDescent="0.25">
      <c r="CM3366" s="361"/>
    </row>
    <row r="3367" spans="91:91" x14ac:dyDescent="0.25">
      <c r="CM3367" s="361"/>
    </row>
    <row r="3368" spans="91:91" x14ac:dyDescent="0.25">
      <c r="CM3368" s="361"/>
    </row>
    <row r="3369" spans="91:91" x14ac:dyDescent="0.25">
      <c r="CM3369" s="361"/>
    </row>
    <row r="3370" spans="91:91" x14ac:dyDescent="0.25">
      <c r="CM3370" s="361"/>
    </row>
    <row r="3371" spans="91:91" x14ac:dyDescent="0.25">
      <c r="CM3371" s="361"/>
    </row>
    <row r="3372" spans="91:91" x14ac:dyDescent="0.25">
      <c r="CM3372" s="361"/>
    </row>
    <row r="3373" spans="91:91" x14ac:dyDescent="0.25">
      <c r="CM3373" s="361"/>
    </row>
    <row r="3374" spans="91:91" x14ac:dyDescent="0.25">
      <c r="CM3374" s="361"/>
    </row>
    <row r="3375" spans="91:91" x14ac:dyDescent="0.25">
      <c r="CM3375" s="361"/>
    </row>
    <row r="3376" spans="91:91" x14ac:dyDescent="0.25">
      <c r="CM3376" s="361"/>
    </row>
    <row r="3377" spans="91:91" x14ac:dyDescent="0.25">
      <c r="CM3377" s="361"/>
    </row>
    <row r="3378" spans="91:91" x14ac:dyDescent="0.25">
      <c r="CM3378" s="361"/>
    </row>
    <row r="3379" spans="91:91" x14ac:dyDescent="0.25">
      <c r="CM3379" s="361"/>
    </row>
    <row r="3380" spans="91:91" x14ac:dyDescent="0.25">
      <c r="CM3380" s="361"/>
    </row>
    <row r="3381" spans="91:91" x14ac:dyDescent="0.25">
      <c r="CM3381" s="361"/>
    </row>
    <row r="3382" spans="91:91" x14ac:dyDescent="0.25">
      <c r="CM3382" s="361"/>
    </row>
    <row r="3383" spans="91:91" x14ac:dyDescent="0.25">
      <c r="CM3383" s="361"/>
    </row>
    <row r="3384" spans="91:91" x14ac:dyDescent="0.25">
      <c r="CM3384" s="361"/>
    </row>
    <row r="3385" spans="91:91" x14ac:dyDescent="0.25">
      <c r="CM3385" s="361"/>
    </row>
    <row r="3386" spans="91:91" x14ac:dyDescent="0.25">
      <c r="CM3386" s="361"/>
    </row>
    <row r="3387" spans="91:91" x14ac:dyDescent="0.25">
      <c r="CM3387" s="361"/>
    </row>
    <row r="3388" spans="91:91" x14ac:dyDescent="0.25">
      <c r="CM3388" s="361"/>
    </row>
    <row r="3389" spans="91:91" x14ac:dyDescent="0.25">
      <c r="CM3389" s="361"/>
    </row>
    <row r="3390" spans="91:91" x14ac:dyDescent="0.25">
      <c r="CM3390" s="361"/>
    </row>
    <row r="3391" spans="91:91" x14ac:dyDescent="0.25">
      <c r="CM3391" s="361"/>
    </row>
    <row r="3392" spans="91:91" x14ac:dyDescent="0.25">
      <c r="CM3392" s="361"/>
    </row>
    <row r="3393" spans="91:91" x14ac:dyDescent="0.25">
      <c r="CM3393" s="361"/>
    </row>
    <row r="3394" spans="91:91" x14ac:dyDescent="0.25">
      <c r="CM3394" s="361"/>
    </row>
    <row r="3395" spans="91:91" x14ac:dyDescent="0.25">
      <c r="CM3395" s="361"/>
    </row>
    <row r="3396" spans="91:91" x14ac:dyDescent="0.25">
      <c r="CM3396" s="361"/>
    </row>
    <row r="3397" spans="91:91" x14ac:dyDescent="0.25">
      <c r="CM3397" s="361"/>
    </row>
    <row r="3398" spans="91:91" x14ac:dyDescent="0.25">
      <c r="CM3398" s="361"/>
    </row>
    <row r="3399" spans="91:91" x14ac:dyDescent="0.25">
      <c r="CM3399" s="361"/>
    </row>
    <row r="3400" spans="91:91" x14ac:dyDescent="0.25">
      <c r="CM3400" s="361"/>
    </row>
    <row r="3401" spans="91:91" x14ac:dyDescent="0.25">
      <c r="CM3401" s="361"/>
    </row>
    <row r="3402" spans="91:91" x14ac:dyDescent="0.25">
      <c r="CM3402" s="361"/>
    </row>
    <row r="3403" spans="91:91" x14ac:dyDescent="0.25">
      <c r="CM3403" s="361"/>
    </row>
    <row r="3404" spans="91:91" x14ac:dyDescent="0.25">
      <c r="CM3404" s="361"/>
    </row>
    <row r="3405" spans="91:91" x14ac:dyDescent="0.25">
      <c r="CM3405" s="361"/>
    </row>
    <row r="3406" spans="91:91" x14ac:dyDescent="0.25">
      <c r="CM3406" s="361"/>
    </row>
    <row r="3407" spans="91:91" x14ac:dyDescent="0.25">
      <c r="CM3407" s="361"/>
    </row>
    <row r="3408" spans="91:91" x14ac:dyDescent="0.25">
      <c r="CM3408" s="361"/>
    </row>
    <row r="3409" spans="91:91" x14ac:dyDescent="0.25">
      <c r="CM3409" s="361"/>
    </row>
    <row r="3410" spans="91:91" x14ac:dyDescent="0.25">
      <c r="CM3410" s="361"/>
    </row>
    <row r="3411" spans="91:91" x14ac:dyDescent="0.25">
      <c r="CM3411" s="361"/>
    </row>
    <row r="3412" spans="91:91" x14ac:dyDescent="0.25">
      <c r="CM3412" s="361"/>
    </row>
    <row r="3413" spans="91:91" x14ac:dyDescent="0.25">
      <c r="CM3413" s="361"/>
    </row>
    <row r="3414" spans="91:91" x14ac:dyDescent="0.25">
      <c r="CM3414" s="361"/>
    </row>
    <row r="3415" spans="91:91" x14ac:dyDescent="0.25">
      <c r="CM3415" s="361"/>
    </row>
    <row r="3416" spans="91:91" x14ac:dyDescent="0.25">
      <c r="CM3416" s="361"/>
    </row>
    <row r="3417" spans="91:91" x14ac:dyDescent="0.25">
      <c r="CM3417" s="361"/>
    </row>
    <row r="3418" spans="91:91" x14ac:dyDescent="0.25">
      <c r="CM3418" s="361"/>
    </row>
    <row r="3419" spans="91:91" x14ac:dyDescent="0.25">
      <c r="CM3419" s="361"/>
    </row>
    <row r="3420" spans="91:91" x14ac:dyDescent="0.25">
      <c r="CM3420" s="361"/>
    </row>
    <row r="3421" spans="91:91" x14ac:dyDescent="0.25">
      <c r="CM3421" s="361"/>
    </row>
    <row r="3422" spans="91:91" x14ac:dyDescent="0.25">
      <c r="CM3422" s="361"/>
    </row>
    <row r="3423" spans="91:91" x14ac:dyDescent="0.25">
      <c r="CM3423" s="361"/>
    </row>
    <row r="3424" spans="91:91" x14ac:dyDescent="0.25">
      <c r="CM3424" s="361"/>
    </row>
    <row r="3425" spans="91:91" x14ac:dyDescent="0.25">
      <c r="CM3425" s="361"/>
    </row>
    <row r="3426" spans="91:91" x14ac:dyDescent="0.25">
      <c r="CM3426" s="361"/>
    </row>
    <row r="3427" spans="91:91" x14ac:dyDescent="0.25">
      <c r="CM3427" s="361"/>
    </row>
    <row r="3428" spans="91:91" x14ac:dyDescent="0.25">
      <c r="CM3428" s="361"/>
    </row>
    <row r="3429" spans="91:91" x14ac:dyDescent="0.25">
      <c r="CM3429" s="361"/>
    </row>
    <row r="3430" spans="91:91" x14ac:dyDescent="0.25">
      <c r="CM3430" s="361"/>
    </row>
    <row r="3431" spans="91:91" x14ac:dyDescent="0.25">
      <c r="CM3431" s="361"/>
    </row>
    <row r="3432" spans="91:91" x14ac:dyDescent="0.25">
      <c r="CM3432" s="361"/>
    </row>
    <row r="3433" spans="91:91" x14ac:dyDescent="0.25">
      <c r="CM3433" s="361"/>
    </row>
    <row r="3434" spans="91:91" x14ac:dyDescent="0.25">
      <c r="CM3434" s="361"/>
    </row>
    <row r="3435" spans="91:91" x14ac:dyDescent="0.25">
      <c r="CM3435" s="361"/>
    </row>
    <row r="3436" spans="91:91" x14ac:dyDescent="0.25">
      <c r="CM3436" s="361"/>
    </row>
    <row r="3437" spans="91:91" x14ac:dyDescent="0.25">
      <c r="CM3437" s="361"/>
    </row>
    <row r="3438" spans="91:91" x14ac:dyDescent="0.25">
      <c r="CM3438" s="361"/>
    </row>
    <row r="3439" spans="91:91" x14ac:dyDescent="0.25">
      <c r="CM3439" s="361"/>
    </row>
    <row r="3440" spans="91:91" x14ac:dyDescent="0.25">
      <c r="CM3440" s="361"/>
    </row>
    <row r="3441" spans="91:91" x14ac:dyDescent="0.25">
      <c r="CM3441" s="361"/>
    </row>
    <row r="3442" spans="91:91" x14ac:dyDescent="0.25">
      <c r="CM3442" s="361"/>
    </row>
    <row r="3443" spans="91:91" x14ac:dyDescent="0.25">
      <c r="CM3443" s="361"/>
    </row>
    <row r="3444" spans="91:91" x14ac:dyDescent="0.25">
      <c r="CM3444" s="361"/>
    </row>
    <row r="3445" spans="91:91" x14ac:dyDescent="0.25">
      <c r="CM3445" s="361"/>
    </row>
    <row r="3446" spans="91:91" x14ac:dyDescent="0.25">
      <c r="CM3446" s="361"/>
    </row>
    <row r="3447" spans="91:91" x14ac:dyDescent="0.25">
      <c r="CM3447" s="361"/>
    </row>
    <row r="3448" spans="91:91" x14ac:dyDescent="0.25">
      <c r="CM3448" s="361"/>
    </row>
    <row r="3449" spans="91:91" x14ac:dyDescent="0.25">
      <c r="CM3449" s="361"/>
    </row>
    <row r="3450" spans="91:91" x14ac:dyDescent="0.25">
      <c r="CM3450" s="361"/>
    </row>
    <row r="3451" spans="91:91" x14ac:dyDescent="0.25">
      <c r="CM3451" s="361"/>
    </row>
    <row r="3452" spans="91:91" x14ac:dyDescent="0.25">
      <c r="CM3452" s="361"/>
    </row>
    <row r="3453" spans="91:91" x14ac:dyDescent="0.25">
      <c r="CM3453" s="361"/>
    </row>
    <row r="3454" spans="91:91" x14ac:dyDescent="0.25">
      <c r="CM3454" s="361"/>
    </row>
    <row r="3455" spans="91:91" x14ac:dyDescent="0.25">
      <c r="CM3455" s="361"/>
    </row>
    <row r="3456" spans="91:91" x14ac:dyDescent="0.25">
      <c r="CM3456" s="361"/>
    </row>
    <row r="3457" spans="91:91" x14ac:dyDescent="0.25">
      <c r="CM3457" s="361"/>
    </row>
    <row r="3458" spans="91:91" x14ac:dyDescent="0.25">
      <c r="CM3458" s="361"/>
    </row>
    <row r="3459" spans="91:91" x14ac:dyDescent="0.25">
      <c r="CM3459" s="361"/>
    </row>
    <row r="3460" spans="91:91" x14ac:dyDescent="0.25">
      <c r="CM3460" s="361"/>
    </row>
    <row r="3461" spans="91:91" x14ac:dyDescent="0.25">
      <c r="CM3461" s="361"/>
    </row>
    <row r="3462" spans="91:91" x14ac:dyDescent="0.25">
      <c r="CM3462" s="361"/>
    </row>
    <row r="3463" spans="91:91" x14ac:dyDescent="0.25">
      <c r="CM3463" s="361"/>
    </row>
    <row r="3464" spans="91:91" x14ac:dyDescent="0.25">
      <c r="CM3464" s="361"/>
    </row>
    <row r="3465" spans="91:91" x14ac:dyDescent="0.25">
      <c r="CM3465" s="361"/>
    </row>
    <row r="3466" spans="91:91" x14ac:dyDescent="0.25">
      <c r="CM3466" s="361"/>
    </row>
    <row r="3467" spans="91:91" x14ac:dyDescent="0.25">
      <c r="CM3467" s="361"/>
    </row>
    <row r="3468" spans="91:91" x14ac:dyDescent="0.25">
      <c r="CM3468" s="361"/>
    </row>
    <row r="3469" spans="91:91" x14ac:dyDescent="0.25">
      <c r="CM3469" s="361"/>
    </row>
    <row r="3470" spans="91:91" x14ac:dyDescent="0.25">
      <c r="CM3470" s="361"/>
    </row>
    <row r="3471" spans="91:91" x14ac:dyDescent="0.25">
      <c r="CM3471" s="361"/>
    </row>
    <row r="3472" spans="91:91" x14ac:dyDescent="0.25">
      <c r="CM3472" s="361"/>
    </row>
    <row r="3473" spans="91:91" x14ac:dyDescent="0.25">
      <c r="CM3473" s="361"/>
    </row>
    <row r="3474" spans="91:91" x14ac:dyDescent="0.25">
      <c r="CM3474" s="361"/>
    </row>
    <row r="3475" spans="91:91" x14ac:dyDescent="0.25">
      <c r="CM3475" s="361"/>
    </row>
    <row r="3476" spans="91:91" x14ac:dyDescent="0.25">
      <c r="CM3476" s="361"/>
    </row>
    <row r="3477" spans="91:91" x14ac:dyDescent="0.25">
      <c r="CM3477" s="361"/>
    </row>
    <row r="3478" spans="91:91" x14ac:dyDescent="0.25">
      <c r="CM3478" s="361"/>
    </row>
    <row r="3479" spans="91:91" x14ac:dyDescent="0.25">
      <c r="CM3479" s="361"/>
    </row>
    <row r="3480" spans="91:91" x14ac:dyDescent="0.25">
      <c r="CM3480" s="361"/>
    </row>
    <row r="3481" spans="91:91" x14ac:dyDescent="0.25">
      <c r="CM3481" s="361"/>
    </row>
    <row r="3482" spans="91:91" x14ac:dyDescent="0.25">
      <c r="CM3482" s="361"/>
    </row>
    <row r="3483" spans="91:91" x14ac:dyDescent="0.25">
      <c r="CM3483" s="361"/>
    </row>
    <row r="3484" spans="91:91" x14ac:dyDescent="0.25">
      <c r="CM3484" s="361"/>
    </row>
    <row r="3485" spans="91:91" x14ac:dyDescent="0.25">
      <c r="CM3485" s="361"/>
    </row>
    <row r="3486" spans="91:91" x14ac:dyDescent="0.25">
      <c r="CM3486" s="361"/>
    </row>
    <row r="3487" spans="91:91" x14ac:dyDescent="0.25">
      <c r="CM3487" s="361"/>
    </row>
    <row r="3488" spans="91:91" x14ac:dyDescent="0.25">
      <c r="CM3488" s="361"/>
    </row>
    <row r="3489" spans="91:91" x14ac:dyDescent="0.25">
      <c r="CM3489" s="361"/>
    </row>
    <row r="3490" spans="91:91" x14ac:dyDescent="0.25">
      <c r="CM3490" s="361"/>
    </row>
    <row r="3491" spans="91:91" x14ac:dyDescent="0.25">
      <c r="CM3491" s="361"/>
    </row>
    <row r="3492" spans="91:91" x14ac:dyDescent="0.25">
      <c r="CM3492" s="361"/>
    </row>
    <row r="3493" spans="91:91" x14ac:dyDescent="0.25">
      <c r="CM3493" s="361"/>
    </row>
    <row r="3494" spans="91:91" x14ac:dyDescent="0.25">
      <c r="CM3494" s="361"/>
    </row>
    <row r="3495" spans="91:91" x14ac:dyDescent="0.25">
      <c r="CM3495" s="361"/>
    </row>
    <row r="3496" spans="91:91" x14ac:dyDescent="0.25">
      <c r="CM3496" s="361"/>
    </row>
    <row r="3497" spans="91:91" x14ac:dyDescent="0.25">
      <c r="CM3497" s="361"/>
    </row>
    <row r="3498" spans="91:91" x14ac:dyDescent="0.25">
      <c r="CM3498" s="361"/>
    </row>
    <row r="3499" spans="91:91" x14ac:dyDescent="0.25">
      <c r="CM3499" s="361"/>
    </row>
    <row r="3500" spans="91:91" x14ac:dyDescent="0.25">
      <c r="CM3500" s="361"/>
    </row>
    <row r="3501" spans="91:91" x14ac:dyDescent="0.25">
      <c r="CM3501" s="361"/>
    </row>
    <row r="3502" spans="91:91" x14ac:dyDescent="0.25">
      <c r="CM3502" s="361"/>
    </row>
    <row r="3503" spans="91:91" x14ac:dyDescent="0.25">
      <c r="CM3503" s="361"/>
    </row>
    <row r="3504" spans="91:91" x14ac:dyDescent="0.25">
      <c r="CM3504" s="361"/>
    </row>
    <row r="3505" spans="91:91" x14ac:dyDescent="0.25">
      <c r="CM3505" s="361"/>
    </row>
    <row r="3506" spans="91:91" x14ac:dyDescent="0.25">
      <c r="CM3506" s="361"/>
    </row>
    <row r="3507" spans="91:91" x14ac:dyDescent="0.25">
      <c r="CM3507" s="361"/>
    </row>
    <row r="3508" spans="91:91" x14ac:dyDescent="0.25">
      <c r="CM3508" s="361"/>
    </row>
    <row r="3509" spans="91:91" x14ac:dyDescent="0.25">
      <c r="CM3509" s="361"/>
    </row>
    <row r="3510" spans="91:91" x14ac:dyDescent="0.25">
      <c r="CM3510" s="361"/>
    </row>
    <row r="3511" spans="91:91" x14ac:dyDescent="0.25">
      <c r="CM3511" s="361"/>
    </row>
    <row r="3512" spans="91:91" x14ac:dyDescent="0.25">
      <c r="CM3512" s="361"/>
    </row>
    <row r="3513" spans="91:91" x14ac:dyDescent="0.25">
      <c r="CM3513" s="361"/>
    </row>
    <row r="3514" spans="91:91" x14ac:dyDescent="0.25">
      <c r="CM3514" s="361"/>
    </row>
    <row r="3515" spans="91:91" x14ac:dyDescent="0.25">
      <c r="CM3515" s="361"/>
    </row>
    <row r="3516" spans="91:91" x14ac:dyDescent="0.25">
      <c r="CM3516" s="361"/>
    </row>
    <row r="3517" spans="91:91" x14ac:dyDescent="0.25">
      <c r="CM3517" s="361"/>
    </row>
    <row r="3518" spans="91:91" x14ac:dyDescent="0.25">
      <c r="CM3518" s="361"/>
    </row>
    <row r="3519" spans="91:91" x14ac:dyDescent="0.25">
      <c r="CM3519" s="361"/>
    </row>
    <row r="3520" spans="91:91" x14ac:dyDescent="0.25">
      <c r="CM3520" s="361"/>
    </row>
    <row r="3521" spans="91:91" x14ac:dyDescent="0.25">
      <c r="CM3521" s="361"/>
    </row>
    <row r="3522" spans="91:91" x14ac:dyDescent="0.25">
      <c r="CM3522" s="361"/>
    </row>
    <row r="3523" spans="91:91" x14ac:dyDescent="0.25">
      <c r="CM3523" s="361"/>
    </row>
    <row r="3524" spans="91:91" x14ac:dyDescent="0.25">
      <c r="CM3524" s="361"/>
    </row>
    <row r="3525" spans="91:91" x14ac:dyDescent="0.25">
      <c r="CM3525" s="361"/>
    </row>
    <row r="3526" spans="91:91" x14ac:dyDescent="0.25">
      <c r="CM3526" s="361"/>
    </row>
    <row r="3527" spans="91:91" x14ac:dyDescent="0.25">
      <c r="CM3527" s="361"/>
    </row>
    <row r="3528" spans="91:91" x14ac:dyDescent="0.25">
      <c r="CM3528" s="361"/>
    </row>
    <row r="3529" spans="91:91" x14ac:dyDescent="0.25">
      <c r="CM3529" s="361"/>
    </row>
    <row r="3530" spans="91:91" x14ac:dyDescent="0.25">
      <c r="CM3530" s="361"/>
    </row>
    <row r="3531" spans="91:91" x14ac:dyDescent="0.25">
      <c r="CM3531" s="361"/>
    </row>
    <row r="3532" spans="91:91" x14ac:dyDescent="0.25">
      <c r="CM3532" s="361"/>
    </row>
    <row r="3533" spans="91:91" x14ac:dyDescent="0.25">
      <c r="CM3533" s="361"/>
    </row>
    <row r="3534" spans="91:91" x14ac:dyDescent="0.25">
      <c r="CM3534" s="361"/>
    </row>
    <row r="3535" spans="91:91" x14ac:dyDescent="0.25">
      <c r="CM3535" s="361"/>
    </row>
    <row r="3536" spans="91:91" x14ac:dyDescent="0.25">
      <c r="CM3536" s="361"/>
    </row>
    <row r="3537" spans="91:91" x14ac:dyDescent="0.25">
      <c r="CM3537" s="361"/>
    </row>
    <row r="3538" spans="91:91" x14ac:dyDescent="0.25">
      <c r="CM3538" s="361"/>
    </row>
    <row r="3539" spans="91:91" x14ac:dyDescent="0.25">
      <c r="CM3539" s="361"/>
    </row>
    <row r="3540" spans="91:91" x14ac:dyDescent="0.25">
      <c r="CM3540" s="361"/>
    </row>
    <row r="3541" spans="91:91" x14ac:dyDescent="0.25">
      <c r="CM3541" s="361"/>
    </row>
    <row r="3542" spans="91:91" x14ac:dyDescent="0.25">
      <c r="CM3542" s="361"/>
    </row>
    <row r="3543" spans="91:91" x14ac:dyDescent="0.25">
      <c r="CM3543" s="361"/>
    </row>
    <row r="3544" spans="91:91" x14ac:dyDescent="0.25">
      <c r="CM3544" s="361"/>
    </row>
    <row r="3545" spans="91:91" x14ac:dyDescent="0.25">
      <c r="CM3545" s="361"/>
    </row>
    <row r="3546" spans="91:91" x14ac:dyDescent="0.25">
      <c r="CM3546" s="361"/>
    </row>
    <row r="3547" spans="91:91" x14ac:dyDescent="0.25">
      <c r="CM3547" s="361"/>
    </row>
    <row r="3548" spans="91:91" x14ac:dyDescent="0.25">
      <c r="CM3548" s="361"/>
    </row>
    <row r="3549" spans="91:91" x14ac:dyDescent="0.25">
      <c r="CM3549" s="361"/>
    </row>
    <row r="3550" spans="91:91" x14ac:dyDescent="0.25">
      <c r="CM3550" s="361"/>
    </row>
    <row r="3551" spans="91:91" x14ac:dyDescent="0.25">
      <c r="CM3551" s="361"/>
    </row>
    <row r="3552" spans="91:91" x14ac:dyDescent="0.25">
      <c r="CM3552" s="361"/>
    </row>
    <row r="3553" spans="91:91" x14ac:dyDescent="0.25">
      <c r="CM3553" s="361"/>
    </row>
    <row r="3554" spans="91:91" x14ac:dyDescent="0.25">
      <c r="CM3554" s="361"/>
    </row>
    <row r="3555" spans="91:91" x14ac:dyDescent="0.25">
      <c r="CM3555" s="361"/>
    </row>
    <row r="3556" spans="91:91" x14ac:dyDescent="0.25">
      <c r="CM3556" s="361"/>
    </row>
    <row r="3557" spans="91:91" x14ac:dyDescent="0.25">
      <c r="CM3557" s="361"/>
    </row>
    <row r="3558" spans="91:91" x14ac:dyDescent="0.25">
      <c r="CM3558" s="361"/>
    </row>
    <row r="3559" spans="91:91" x14ac:dyDescent="0.25">
      <c r="CM3559" s="361"/>
    </row>
    <row r="3560" spans="91:91" x14ac:dyDescent="0.25">
      <c r="CM3560" s="361"/>
    </row>
    <row r="3561" spans="91:91" x14ac:dyDescent="0.25">
      <c r="CM3561" s="361"/>
    </row>
    <row r="3562" spans="91:91" x14ac:dyDescent="0.25">
      <c r="CM3562" s="361"/>
    </row>
    <row r="3563" spans="91:91" x14ac:dyDescent="0.25">
      <c r="CM3563" s="361"/>
    </row>
    <row r="3564" spans="91:91" x14ac:dyDescent="0.25">
      <c r="CM3564" s="361"/>
    </row>
    <row r="3565" spans="91:91" x14ac:dyDescent="0.25">
      <c r="CM3565" s="361"/>
    </row>
    <row r="3566" spans="91:91" x14ac:dyDescent="0.25">
      <c r="CM3566" s="361"/>
    </row>
    <row r="3567" spans="91:91" x14ac:dyDescent="0.25">
      <c r="CM3567" s="361"/>
    </row>
    <row r="3568" spans="91:91" x14ac:dyDescent="0.25">
      <c r="CM3568" s="361"/>
    </row>
    <row r="3569" spans="91:91" x14ac:dyDescent="0.25">
      <c r="CM3569" s="361"/>
    </row>
    <row r="3570" spans="91:91" x14ac:dyDescent="0.25">
      <c r="CM3570" s="361"/>
    </row>
    <row r="3571" spans="91:91" x14ac:dyDescent="0.25">
      <c r="CM3571" s="361"/>
    </row>
    <row r="3572" spans="91:91" x14ac:dyDescent="0.25">
      <c r="CM3572" s="361"/>
    </row>
    <row r="3573" spans="91:91" x14ac:dyDescent="0.25">
      <c r="CM3573" s="361"/>
    </row>
    <row r="3574" spans="91:91" x14ac:dyDescent="0.25">
      <c r="CM3574" s="361"/>
    </row>
    <row r="3575" spans="91:91" x14ac:dyDescent="0.25">
      <c r="CM3575" s="361"/>
    </row>
    <row r="3576" spans="91:91" x14ac:dyDescent="0.25">
      <c r="CM3576" s="361"/>
    </row>
    <row r="3577" spans="91:91" x14ac:dyDescent="0.25">
      <c r="CM3577" s="361"/>
    </row>
    <row r="3578" spans="91:91" x14ac:dyDescent="0.25">
      <c r="CM3578" s="361"/>
    </row>
    <row r="3579" spans="91:91" x14ac:dyDescent="0.25">
      <c r="CM3579" s="361"/>
    </row>
    <row r="3580" spans="91:91" x14ac:dyDescent="0.25">
      <c r="CM3580" s="361"/>
    </row>
    <row r="3581" spans="91:91" x14ac:dyDescent="0.25">
      <c r="CM3581" s="361"/>
    </row>
    <row r="3582" spans="91:91" x14ac:dyDescent="0.25">
      <c r="CM3582" s="361"/>
    </row>
    <row r="3583" spans="91:91" x14ac:dyDescent="0.25">
      <c r="CM3583" s="361"/>
    </row>
    <row r="3584" spans="91:91" x14ac:dyDescent="0.25">
      <c r="CM3584" s="361"/>
    </row>
    <row r="3585" spans="91:91" x14ac:dyDescent="0.25">
      <c r="CM3585" s="361"/>
    </row>
    <row r="3586" spans="91:91" x14ac:dyDescent="0.25">
      <c r="CM3586" s="361"/>
    </row>
    <row r="3587" spans="91:91" x14ac:dyDescent="0.25">
      <c r="CM3587" s="361"/>
    </row>
    <row r="3588" spans="91:91" x14ac:dyDescent="0.25">
      <c r="CM3588" s="361"/>
    </row>
    <row r="3589" spans="91:91" x14ac:dyDescent="0.25">
      <c r="CM3589" s="361"/>
    </row>
    <row r="3590" spans="91:91" x14ac:dyDescent="0.25">
      <c r="CM3590" s="361"/>
    </row>
    <row r="3591" spans="91:91" x14ac:dyDescent="0.25">
      <c r="CM3591" s="361"/>
    </row>
    <row r="3592" spans="91:91" x14ac:dyDescent="0.25">
      <c r="CM3592" s="361"/>
    </row>
    <row r="3593" spans="91:91" x14ac:dyDescent="0.25">
      <c r="CM3593" s="361"/>
    </row>
    <row r="3594" spans="91:91" x14ac:dyDescent="0.25">
      <c r="CM3594" s="361"/>
    </row>
    <row r="3595" spans="91:91" x14ac:dyDescent="0.25">
      <c r="CM3595" s="361"/>
    </row>
    <row r="3596" spans="91:91" x14ac:dyDescent="0.25">
      <c r="CM3596" s="361"/>
    </row>
    <row r="3597" spans="91:91" x14ac:dyDescent="0.25">
      <c r="CM3597" s="361"/>
    </row>
    <row r="3598" spans="91:91" x14ac:dyDescent="0.25">
      <c r="CM3598" s="361"/>
    </row>
    <row r="3599" spans="91:91" x14ac:dyDescent="0.25">
      <c r="CM3599" s="361"/>
    </row>
    <row r="3600" spans="91:91" x14ac:dyDescent="0.25">
      <c r="CM3600" s="361"/>
    </row>
    <row r="3601" spans="91:91" x14ac:dyDescent="0.25">
      <c r="CM3601" s="361"/>
    </row>
    <row r="3602" spans="91:91" x14ac:dyDescent="0.25">
      <c r="CM3602" s="361"/>
    </row>
    <row r="3603" spans="91:91" x14ac:dyDescent="0.25">
      <c r="CM3603" s="361"/>
    </row>
    <row r="3604" spans="91:91" x14ac:dyDescent="0.25">
      <c r="CM3604" s="361"/>
    </row>
    <row r="3605" spans="91:91" x14ac:dyDescent="0.25">
      <c r="CM3605" s="361"/>
    </row>
    <row r="3606" spans="91:91" x14ac:dyDescent="0.25">
      <c r="CM3606" s="361"/>
    </row>
    <row r="3607" spans="91:91" x14ac:dyDescent="0.25">
      <c r="CM3607" s="361"/>
    </row>
    <row r="3608" spans="91:91" x14ac:dyDescent="0.25">
      <c r="CM3608" s="361"/>
    </row>
    <row r="3609" spans="91:91" x14ac:dyDescent="0.25">
      <c r="CM3609" s="361"/>
    </row>
    <row r="3610" spans="91:91" x14ac:dyDescent="0.25">
      <c r="CM3610" s="361"/>
    </row>
    <row r="3611" spans="91:91" x14ac:dyDescent="0.25">
      <c r="CM3611" s="361"/>
    </row>
    <row r="3612" spans="91:91" x14ac:dyDescent="0.25">
      <c r="CM3612" s="361"/>
    </row>
    <row r="3613" spans="91:91" x14ac:dyDescent="0.25">
      <c r="CM3613" s="361"/>
    </row>
    <row r="3614" spans="91:91" x14ac:dyDescent="0.25">
      <c r="CM3614" s="361"/>
    </row>
    <row r="3615" spans="91:91" x14ac:dyDescent="0.25">
      <c r="CM3615" s="361"/>
    </row>
    <row r="3616" spans="91:91" x14ac:dyDescent="0.25">
      <c r="CM3616" s="361"/>
    </row>
    <row r="3617" spans="91:91" x14ac:dyDescent="0.25">
      <c r="CM3617" s="361"/>
    </row>
    <row r="3618" spans="91:91" x14ac:dyDescent="0.25">
      <c r="CM3618" s="361"/>
    </row>
    <row r="3619" spans="91:91" x14ac:dyDescent="0.25">
      <c r="CM3619" s="361"/>
    </row>
    <row r="3620" spans="91:91" x14ac:dyDescent="0.25">
      <c r="CM3620" s="361"/>
    </row>
    <row r="3621" spans="91:91" x14ac:dyDescent="0.25">
      <c r="CM3621" s="361"/>
    </row>
    <row r="3622" spans="91:91" x14ac:dyDescent="0.25">
      <c r="CM3622" s="361"/>
    </row>
    <row r="3623" spans="91:91" x14ac:dyDescent="0.25">
      <c r="CM3623" s="361"/>
    </row>
    <row r="3624" spans="91:91" x14ac:dyDescent="0.25">
      <c r="CM3624" s="361"/>
    </row>
    <row r="3625" spans="91:91" x14ac:dyDescent="0.25">
      <c r="CM3625" s="361"/>
    </row>
    <row r="3626" spans="91:91" x14ac:dyDescent="0.25">
      <c r="CM3626" s="361"/>
    </row>
    <row r="3627" spans="91:91" x14ac:dyDescent="0.25">
      <c r="CM3627" s="361"/>
    </row>
    <row r="3628" spans="91:91" x14ac:dyDescent="0.25">
      <c r="CM3628" s="361"/>
    </row>
    <row r="3629" spans="91:91" x14ac:dyDescent="0.25">
      <c r="CM3629" s="361"/>
    </row>
    <row r="3630" spans="91:91" x14ac:dyDescent="0.25">
      <c r="CM3630" s="361"/>
    </row>
    <row r="3631" spans="91:91" x14ac:dyDescent="0.25">
      <c r="CM3631" s="361"/>
    </row>
    <row r="3632" spans="91:91" x14ac:dyDescent="0.25">
      <c r="CM3632" s="361"/>
    </row>
    <row r="3633" spans="91:91" x14ac:dyDescent="0.25">
      <c r="CM3633" s="361"/>
    </row>
    <row r="3634" spans="91:91" x14ac:dyDescent="0.25">
      <c r="CM3634" s="361"/>
    </row>
    <row r="3635" spans="91:91" x14ac:dyDescent="0.25">
      <c r="CM3635" s="361"/>
    </row>
    <row r="3636" spans="91:91" x14ac:dyDescent="0.25">
      <c r="CM3636" s="361"/>
    </row>
    <row r="3637" spans="91:91" x14ac:dyDescent="0.25">
      <c r="CM3637" s="361"/>
    </row>
    <row r="3638" spans="91:91" x14ac:dyDescent="0.25">
      <c r="CM3638" s="361"/>
    </row>
    <row r="3639" spans="91:91" x14ac:dyDescent="0.25">
      <c r="CM3639" s="361"/>
    </row>
    <row r="3640" spans="91:91" x14ac:dyDescent="0.25">
      <c r="CM3640" s="361"/>
    </row>
    <row r="3641" spans="91:91" x14ac:dyDescent="0.25">
      <c r="CM3641" s="361"/>
    </row>
    <row r="3642" spans="91:91" x14ac:dyDescent="0.25">
      <c r="CM3642" s="361"/>
    </row>
    <row r="3643" spans="91:91" x14ac:dyDescent="0.25">
      <c r="CM3643" s="361"/>
    </row>
    <row r="3644" spans="91:91" x14ac:dyDescent="0.25">
      <c r="CM3644" s="361"/>
    </row>
    <row r="3645" spans="91:91" x14ac:dyDescent="0.25">
      <c r="CM3645" s="361"/>
    </row>
    <row r="3646" spans="91:91" x14ac:dyDescent="0.25">
      <c r="CM3646" s="361"/>
    </row>
    <row r="3647" spans="91:91" x14ac:dyDescent="0.25">
      <c r="CM3647" s="361"/>
    </row>
    <row r="3648" spans="91:91" x14ac:dyDescent="0.25">
      <c r="CM3648" s="361"/>
    </row>
    <row r="3649" spans="91:91" x14ac:dyDescent="0.25">
      <c r="CM3649" s="361"/>
    </row>
    <row r="3650" spans="91:91" x14ac:dyDescent="0.25">
      <c r="CM3650" s="361"/>
    </row>
    <row r="3651" spans="91:91" x14ac:dyDescent="0.25">
      <c r="CM3651" s="361"/>
    </row>
    <row r="3652" spans="91:91" x14ac:dyDescent="0.25">
      <c r="CM3652" s="361"/>
    </row>
    <row r="3653" spans="91:91" x14ac:dyDescent="0.25">
      <c r="CM3653" s="361"/>
    </row>
    <row r="3654" spans="91:91" x14ac:dyDescent="0.25">
      <c r="CM3654" s="361"/>
    </row>
    <row r="3655" spans="91:91" x14ac:dyDescent="0.25">
      <c r="CM3655" s="361"/>
    </row>
    <row r="3656" spans="91:91" x14ac:dyDescent="0.25">
      <c r="CM3656" s="361"/>
    </row>
    <row r="3657" spans="91:91" x14ac:dyDescent="0.25">
      <c r="CM3657" s="361"/>
    </row>
    <row r="3658" spans="91:91" x14ac:dyDescent="0.25">
      <c r="CM3658" s="361"/>
    </row>
    <row r="3659" spans="91:91" x14ac:dyDescent="0.25">
      <c r="CM3659" s="361"/>
    </row>
    <row r="3660" spans="91:91" x14ac:dyDescent="0.25">
      <c r="CM3660" s="361"/>
    </row>
    <row r="3661" spans="91:91" x14ac:dyDescent="0.25">
      <c r="CM3661" s="361"/>
    </row>
    <row r="3662" spans="91:91" x14ac:dyDescent="0.25">
      <c r="CM3662" s="361"/>
    </row>
    <row r="3663" spans="91:91" x14ac:dyDescent="0.25">
      <c r="CM3663" s="361"/>
    </row>
    <row r="3664" spans="91:91" x14ac:dyDescent="0.25">
      <c r="CM3664" s="361"/>
    </row>
    <row r="3665" spans="91:91" x14ac:dyDescent="0.25">
      <c r="CM3665" s="361"/>
    </row>
    <row r="3666" spans="91:91" x14ac:dyDescent="0.25">
      <c r="CM3666" s="361"/>
    </row>
    <row r="3667" spans="91:91" x14ac:dyDescent="0.25">
      <c r="CM3667" s="361"/>
    </row>
    <row r="3668" spans="91:91" x14ac:dyDescent="0.25">
      <c r="CM3668" s="361"/>
    </row>
    <row r="3669" spans="91:91" x14ac:dyDescent="0.25">
      <c r="CM3669" s="361"/>
    </row>
    <row r="3670" spans="91:91" x14ac:dyDescent="0.25">
      <c r="CM3670" s="361"/>
    </row>
    <row r="3671" spans="91:91" x14ac:dyDescent="0.25">
      <c r="CM3671" s="361"/>
    </row>
    <row r="3672" spans="91:91" x14ac:dyDescent="0.25">
      <c r="CM3672" s="361"/>
    </row>
    <row r="3673" spans="91:91" x14ac:dyDescent="0.25">
      <c r="CM3673" s="361"/>
    </row>
    <row r="3674" spans="91:91" x14ac:dyDescent="0.25">
      <c r="CM3674" s="361"/>
    </row>
    <row r="3675" spans="91:91" x14ac:dyDescent="0.25">
      <c r="CM3675" s="361"/>
    </row>
    <row r="3676" spans="91:91" x14ac:dyDescent="0.25">
      <c r="CM3676" s="361"/>
    </row>
    <row r="3677" spans="91:91" x14ac:dyDescent="0.25">
      <c r="CM3677" s="361"/>
    </row>
    <row r="3678" spans="91:91" x14ac:dyDescent="0.25">
      <c r="CM3678" s="361"/>
    </row>
    <row r="3679" spans="91:91" x14ac:dyDescent="0.25">
      <c r="CM3679" s="361"/>
    </row>
    <row r="3680" spans="91:91" x14ac:dyDescent="0.25">
      <c r="CM3680" s="361"/>
    </row>
    <row r="3681" spans="91:91" x14ac:dyDescent="0.25">
      <c r="CM3681" s="361"/>
    </row>
    <row r="3682" spans="91:91" x14ac:dyDescent="0.25">
      <c r="CM3682" s="361"/>
    </row>
    <row r="3683" spans="91:91" x14ac:dyDescent="0.25">
      <c r="CM3683" s="361"/>
    </row>
    <row r="3684" spans="91:91" x14ac:dyDescent="0.25">
      <c r="CM3684" s="361"/>
    </row>
    <row r="3685" spans="91:91" x14ac:dyDescent="0.25">
      <c r="CM3685" s="361"/>
    </row>
    <row r="3686" spans="91:91" x14ac:dyDescent="0.25">
      <c r="CM3686" s="361"/>
    </row>
    <row r="3687" spans="91:91" x14ac:dyDescent="0.25">
      <c r="CM3687" s="361"/>
    </row>
    <row r="3688" spans="91:91" x14ac:dyDescent="0.25">
      <c r="CM3688" s="361"/>
    </row>
    <row r="3689" spans="91:91" x14ac:dyDescent="0.25">
      <c r="CM3689" s="361"/>
    </row>
    <row r="3690" spans="91:91" x14ac:dyDescent="0.25">
      <c r="CM3690" s="361"/>
    </row>
    <row r="3691" spans="91:91" x14ac:dyDescent="0.25">
      <c r="CM3691" s="361"/>
    </row>
    <row r="3692" spans="91:91" x14ac:dyDescent="0.25">
      <c r="CM3692" s="361"/>
    </row>
    <row r="3693" spans="91:91" x14ac:dyDescent="0.25">
      <c r="CM3693" s="361"/>
    </row>
    <row r="3694" spans="91:91" x14ac:dyDescent="0.25">
      <c r="CM3694" s="361"/>
    </row>
    <row r="3695" spans="91:91" x14ac:dyDescent="0.25">
      <c r="CM3695" s="361"/>
    </row>
    <row r="3696" spans="91:91" x14ac:dyDescent="0.25">
      <c r="CM3696" s="361"/>
    </row>
  </sheetData>
  <pageMargins left="0.7" right="0.7" top="0.75" bottom="0.75" header="0.3" footer="0.3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/>
  <dimension ref="A1:AU330"/>
  <sheetViews>
    <sheetView zoomScale="80" zoomScaleNormal="80" workbookViewId="0">
      <pane ySplit="9" topLeftCell="A122" activePane="bottomLeft" state="frozen"/>
      <selection activeCell="M22" sqref="M22"/>
      <selection pane="bottomLeft" activeCell="K128" sqref="K128"/>
    </sheetView>
  </sheetViews>
  <sheetFormatPr defaultRowHeight="15.75" x14ac:dyDescent="0.25"/>
  <cols>
    <col min="1" max="1" width="3.140625" style="316" customWidth="1"/>
    <col min="2" max="2" width="16.5703125" style="316" customWidth="1"/>
    <col min="3" max="3" width="13.5703125" style="316" customWidth="1"/>
    <col min="4" max="4" width="6.85546875" style="374" customWidth="1"/>
    <col min="5" max="5" width="12.7109375" style="316" customWidth="1"/>
    <col min="6" max="6" width="15.28515625" style="316" customWidth="1"/>
    <col min="7" max="7" width="7.42578125" style="316" customWidth="1"/>
    <col min="8" max="8" width="17.42578125" style="316" customWidth="1"/>
    <col min="9" max="11" width="16" style="316" customWidth="1"/>
    <col min="12" max="12" width="3.140625" style="316" customWidth="1"/>
    <col min="13" max="13" width="4" style="316" customWidth="1"/>
    <col min="14" max="14" width="15.85546875" style="316" customWidth="1"/>
    <col min="15" max="15" width="14.140625" style="316" bestFit="1" customWidth="1"/>
    <col min="16" max="16" width="9.140625" style="316"/>
    <col min="17" max="17" width="15.85546875" style="316" customWidth="1"/>
    <col min="18" max="18" width="13.42578125" style="316" customWidth="1"/>
    <col min="19" max="19" width="6.140625" style="316" customWidth="1"/>
    <col min="20" max="20" width="15.85546875" style="316" customWidth="1"/>
    <col min="21" max="21" width="14.28515625" style="316" customWidth="1"/>
    <col min="22" max="22" width="15.42578125" style="316" customWidth="1"/>
    <col min="23" max="23" width="16" style="316" customWidth="1"/>
    <col min="24" max="24" width="3.140625" style="316" customWidth="1"/>
    <col min="25" max="25" width="5.7109375" style="316" customWidth="1"/>
    <col min="26" max="26" width="16.28515625" style="316" customWidth="1"/>
    <col min="27" max="27" width="14.140625" style="316" bestFit="1" customWidth="1"/>
    <col min="28" max="28" width="11.42578125" style="374" customWidth="1"/>
    <col min="29" max="29" width="14.85546875" style="316" customWidth="1"/>
    <col min="30" max="30" width="14" style="316" customWidth="1"/>
    <col min="31" max="31" width="5.5703125" style="316" customWidth="1"/>
    <col min="32" max="32" width="14.7109375" style="316" customWidth="1"/>
    <col min="33" max="33" width="13.85546875" style="316" customWidth="1"/>
    <col min="34" max="34" width="14.85546875" style="316" customWidth="1"/>
    <col min="35" max="35" width="16" style="316" customWidth="1"/>
    <col min="36" max="36" width="3.140625" style="316" customWidth="1"/>
    <col min="37" max="37" width="5.28515625" style="316" customWidth="1"/>
    <col min="38" max="38" width="16.42578125" style="316" customWidth="1"/>
    <col min="39" max="39" width="14.140625" style="316" bestFit="1" customWidth="1"/>
    <col min="40" max="40" width="8.7109375" style="316" customWidth="1"/>
    <col min="41" max="41" width="15.5703125" style="316" customWidth="1"/>
    <col min="42" max="42" width="14.28515625" style="316" customWidth="1"/>
    <col min="43" max="43" width="4.85546875" style="316" customWidth="1"/>
    <col min="44" max="44" width="13.85546875" style="316" customWidth="1"/>
    <col min="45" max="45" width="16.28515625" style="316" customWidth="1"/>
    <col min="46" max="46" width="14" style="316" customWidth="1"/>
    <col min="47" max="256" width="9.140625" style="316"/>
    <col min="257" max="257" width="3.140625" style="316" customWidth="1"/>
    <col min="258" max="258" width="16.5703125" style="316" customWidth="1"/>
    <col min="259" max="259" width="13.5703125" style="316" customWidth="1"/>
    <col min="260" max="260" width="6.85546875" style="316" customWidth="1"/>
    <col min="261" max="261" width="12.7109375" style="316" customWidth="1"/>
    <col min="262" max="262" width="15.28515625" style="316" customWidth="1"/>
    <col min="263" max="263" width="7.42578125" style="316" customWidth="1"/>
    <col min="264" max="264" width="17.42578125" style="316" customWidth="1"/>
    <col min="265" max="267" width="16" style="316" customWidth="1"/>
    <col min="268" max="268" width="3.140625" style="316" customWidth="1"/>
    <col min="269" max="269" width="4" style="316" customWidth="1"/>
    <col min="270" max="270" width="15.85546875" style="316" customWidth="1"/>
    <col min="271" max="271" width="14.140625" style="316" bestFit="1" customWidth="1"/>
    <col min="272" max="272" width="9.140625" style="316"/>
    <col min="273" max="273" width="15.85546875" style="316" customWidth="1"/>
    <col min="274" max="274" width="13.42578125" style="316" customWidth="1"/>
    <col min="275" max="275" width="6.140625" style="316" customWidth="1"/>
    <col min="276" max="276" width="15.85546875" style="316" customWidth="1"/>
    <col min="277" max="277" width="14.28515625" style="316" customWidth="1"/>
    <col min="278" max="278" width="15.42578125" style="316" customWidth="1"/>
    <col min="279" max="279" width="16" style="316" customWidth="1"/>
    <col min="280" max="280" width="3.140625" style="316" customWidth="1"/>
    <col min="281" max="281" width="5.7109375" style="316" customWidth="1"/>
    <col min="282" max="282" width="16.28515625" style="316" customWidth="1"/>
    <col min="283" max="283" width="14.140625" style="316" bestFit="1" customWidth="1"/>
    <col min="284" max="284" width="11.42578125" style="316" customWidth="1"/>
    <col min="285" max="285" width="14.85546875" style="316" customWidth="1"/>
    <col min="286" max="286" width="14" style="316" customWidth="1"/>
    <col min="287" max="287" width="5.5703125" style="316" customWidth="1"/>
    <col min="288" max="288" width="14.7109375" style="316" customWidth="1"/>
    <col min="289" max="289" width="13.85546875" style="316" customWidth="1"/>
    <col min="290" max="290" width="14.85546875" style="316" customWidth="1"/>
    <col min="291" max="291" width="16" style="316" customWidth="1"/>
    <col min="292" max="292" width="3.140625" style="316" customWidth="1"/>
    <col min="293" max="293" width="5.28515625" style="316" customWidth="1"/>
    <col min="294" max="294" width="16.42578125" style="316" customWidth="1"/>
    <col min="295" max="295" width="14.140625" style="316" bestFit="1" customWidth="1"/>
    <col min="296" max="296" width="8.7109375" style="316" customWidth="1"/>
    <col min="297" max="297" width="15.5703125" style="316" customWidth="1"/>
    <col min="298" max="298" width="14.28515625" style="316" customWidth="1"/>
    <col min="299" max="299" width="4.85546875" style="316" customWidth="1"/>
    <col min="300" max="300" width="13.85546875" style="316" customWidth="1"/>
    <col min="301" max="301" width="16.28515625" style="316" customWidth="1"/>
    <col min="302" max="302" width="14" style="316" customWidth="1"/>
    <col min="303" max="512" width="9.140625" style="316"/>
    <col min="513" max="513" width="3.140625" style="316" customWidth="1"/>
    <col min="514" max="514" width="16.5703125" style="316" customWidth="1"/>
    <col min="515" max="515" width="13.5703125" style="316" customWidth="1"/>
    <col min="516" max="516" width="6.85546875" style="316" customWidth="1"/>
    <col min="517" max="517" width="12.7109375" style="316" customWidth="1"/>
    <col min="518" max="518" width="15.28515625" style="316" customWidth="1"/>
    <col min="519" max="519" width="7.42578125" style="316" customWidth="1"/>
    <col min="520" max="520" width="17.42578125" style="316" customWidth="1"/>
    <col min="521" max="523" width="16" style="316" customWidth="1"/>
    <col min="524" max="524" width="3.140625" style="316" customWidth="1"/>
    <col min="525" max="525" width="4" style="316" customWidth="1"/>
    <col min="526" max="526" width="15.85546875" style="316" customWidth="1"/>
    <col min="527" max="527" width="14.140625" style="316" bestFit="1" customWidth="1"/>
    <col min="528" max="528" width="9.140625" style="316"/>
    <col min="529" max="529" width="15.85546875" style="316" customWidth="1"/>
    <col min="530" max="530" width="13.42578125" style="316" customWidth="1"/>
    <col min="531" max="531" width="6.140625" style="316" customWidth="1"/>
    <col min="532" max="532" width="15.85546875" style="316" customWidth="1"/>
    <col min="533" max="533" width="14.28515625" style="316" customWidth="1"/>
    <col min="534" max="534" width="15.42578125" style="316" customWidth="1"/>
    <col min="535" max="535" width="16" style="316" customWidth="1"/>
    <col min="536" max="536" width="3.140625" style="316" customWidth="1"/>
    <col min="537" max="537" width="5.7109375" style="316" customWidth="1"/>
    <col min="538" max="538" width="16.28515625" style="316" customWidth="1"/>
    <col min="539" max="539" width="14.140625" style="316" bestFit="1" customWidth="1"/>
    <col min="540" max="540" width="11.42578125" style="316" customWidth="1"/>
    <col min="541" max="541" width="14.85546875" style="316" customWidth="1"/>
    <col min="542" max="542" width="14" style="316" customWidth="1"/>
    <col min="543" max="543" width="5.5703125" style="316" customWidth="1"/>
    <col min="544" max="544" width="14.7109375" style="316" customWidth="1"/>
    <col min="545" max="545" width="13.85546875" style="316" customWidth="1"/>
    <col min="546" max="546" width="14.85546875" style="316" customWidth="1"/>
    <col min="547" max="547" width="16" style="316" customWidth="1"/>
    <col min="548" max="548" width="3.140625" style="316" customWidth="1"/>
    <col min="549" max="549" width="5.28515625" style="316" customWidth="1"/>
    <col min="550" max="550" width="16.42578125" style="316" customWidth="1"/>
    <col min="551" max="551" width="14.140625" style="316" bestFit="1" customWidth="1"/>
    <col min="552" max="552" width="8.7109375" style="316" customWidth="1"/>
    <col min="553" max="553" width="15.5703125" style="316" customWidth="1"/>
    <col min="554" max="554" width="14.28515625" style="316" customWidth="1"/>
    <col min="555" max="555" width="4.85546875" style="316" customWidth="1"/>
    <col min="556" max="556" width="13.85546875" style="316" customWidth="1"/>
    <col min="557" max="557" width="16.28515625" style="316" customWidth="1"/>
    <col min="558" max="558" width="14" style="316" customWidth="1"/>
    <col min="559" max="768" width="9.140625" style="316"/>
    <col min="769" max="769" width="3.140625" style="316" customWidth="1"/>
    <col min="770" max="770" width="16.5703125" style="316" customWidth="1"/>
    <col min="771" max="771" width="13.5703125" style="316" customWidth="1"/>
    <col min="772" max="772" width="6.85546875" style="316" customWidth="1"/>
    <col min="773" max="773" width="12.7109375" style="316" customWidth="1"/>
    <col min="774" max="774" width="15.28515625" style="316" customWidth="1"/>
    <col min="775" max="775" width="7.42578125" style="316" customWidth="1"/>
    <col min="776" max="776" width="17.42578125" style="316" customWidth="1"/>
    <col min="777" max="779" width="16" style="316" customWidth="1"/>
    <col min="780" max="780" width="3.140625" style="316" customWidth="1"/>
    <col min="781" max="781" width="4" style="316" customWidth="1"/>
    <col min="782" max="782" width="15.85546875" style="316" customWidth="1"/>
    <col min="783" max="783" width="14.140625" style="316" bestFit="1" customWidth="1"/>
    <col min="784" max="784" width="9.140625" style="316"/>
    <col min="785" max="785" width="15.85546875" style="316" customWidth="1"/>
    <col min="786" max="786" width="13.42578125" style="316" customWidth="1"/>
    <col min="787" max="787" width="6.140625" style="316" customWidth="1"/>
    <col min="788" max="788" width="15.85546875" style="316" customWidth="1"/>
    <col min="789" max="789" width="14.28515625" style="316" customWidth="1"/>
    <col min="790" max="790" width="15.42578125" style="316" customWidth="1"/>
    <col min="791" max="791" width="16" style="316" customWidth="1"/>
    <col min="792" max="792" width="3.140625" style="316" customWidth="1"/>
    <col min="793" max="793" width="5.7109375" style="316" customWidth="1"/>
    <col min="794" max="794" width="16.28515625" style="316" customWidth="1"/>
    <col min="795" max="795" width="14.140625" style="316" bestFit="1" customWidth="1"/>
    <col min="796" max="796" width="11.42578125" style="316" customWidth="1"/>
    <col min="797" max="797" width="14.85546875" style="316" customWidth="1"/>
    <col min="798" max="798" width="14" style="316" customWidth="1"/>
    <col min="799" max="799" width="5.5703125" style="316" customWidth="1"/>
    <col min="800" max="800" width="14.7109375" style="316" customWidth="1"/>
    <col min="801" max="801" width="13.85546875" style="316" customWidth="1"/>
    <col min="802" max="802" width="14.85546875" style="316" customWidth="1"/>
    <col min="803" max="803" width="16" style="316" customWidth="1"/>
    <col min="804" max="804" width="3.140625" style="316" customWidth="1"/>
    <col min="805" max="805" width="5.28515625" style="316" customWidth="1"/>
    <col min="806" max="806" width="16.42578125" style="316" customWidth="1"/>
    <col min="807" max="807" width="14.140625" style="316" bestFit="1" customWidth="1"/>
    <col min="808" max="808" width="8.7109375" style="316" customWidth="1"/>
    <col min="809" max="809" width="15.5703125" style="316" customWidth="1"/>
    <col min="810" max="810" width="14.28515625" style="316" customWidth="1"/>
    <col min="811" max="811" width="4.85546875" style="316" customWidth="1"/>
    <col min="812" max="812" width="13.85546875" style="316" customWidth="1"/>
    <col min="813" max="813" width="16.28515625" style="316" customWidth="1"/>
    <col min="814" max="814" width="14" style="316" customWidth="1"/>
    <col min="815" max="1024" width="9.140625" style="316"/>
    <col min="1025" max="1025" width="3.140625" style="316" customWidth="1"/>
    <col min="1026" max="1026" width="16.5703125" style="316" customWidth="1"/>
    <col min="1027" max="1027" width="13.5703125" style="316" customWidth="1"/>
    <col min="1028" max="1028" width="6.85546875" style="316" customWidth="1"/>
    <col min="1029" max="1029" width="12.7109375" style="316" customWidth="1"/>
    <col min="1030" max="1030" width="15.28515625" style="316" customWidth="1"/>
    <col min="1031" max="1031" width="7.42578125" style="316" customWidth="1"/>
    <col min="1032" max="1032" width="17.42578125" style="316" customWidth="1"/>
    <col min="1033" max="1035" width="16" style="316" customWidth="1"/>
    <col min="1036" max="1036" width="3.140625" style="316" customWidth="1"/>
    <col min="1037" max="1037" width="4" style="316" customWidth="1"/>
    <col min="1038" max="1038" width="15.85546875" style="316" customWidth="1"/>
    <col min="1039" max="1039" width="14.140625" style="316" bestFit="1" customWidth="1"/>
    <col min="1040" max="1040" width="9.140625" style="316"/>
    <col min="1041" max="1041" width="15.85546875" style="316" customWidth="1"/>
    <col min="1042" max="1042" width="13.42578125" style="316" customWidth="1"/>
    <col min="1043" max="1043" width="6.140625" style="316" customWidth="1"/>
    <col min="1044" max="1044" width="15.85546875" style="316" customWidth="1"/>
    <col min="1045" max="1045" width="14.28515625" style="316" customWidth="1"/>
    <col min="1046" max="1046" width="15.42578125" style="316" customWidth="1"/>
    <col min="1047" max="1047" width="16" style="316" customWidth="1"/>
    <col min="1048" max="1048" width="3.140625" style="316" customWidth="1"/>
    <col min="1049" max="1049" width="5.7109375" style="316" customWidth="1"/>
    <col min="1050" max="1050" width="16.28515625" style="316" customWidth="1"/>
    <col min="1051" max="1051" width="14.140625" style="316" bestFit="1" customWidth="1"/>
    <col min="1052" max="1052" width="11.42578125" style="316" customWidth="1"/>
    <col min="1053" max="1053" width="14.85546875" style="316" customWidth="1"/>
    <col min="1054" max="1054" width="14" style="316" customWidth="1"/>
    <col min="1055" max="1055" width="5.5703125" style="316" customWidth="1"/>
    <col min="1056" max="1056" width="14.7109375" style="316" customWidth="1"/>
    <col min="1057" max="1057" width="13.85546875" style="316" customWidth="1"/>
    <col min="1058" max="1058" width="14.85546875" style="316" customWidth="1"/>
    <col min="1059" max="1059" width="16" style="316" customWidth="1"/>
    <col min="1060" max="1060" width="3.140625" style="316" customWidth="1"/>
    <col min="1061" max="1061" width="5.28515625" style="316" customWidth="1"/>
    <col min="1062" max="1062" width="16.42578125" style="316" customWidth="1"/>
    <col min="1063" max="1063" width="14.140625" style="316" bestFit="1" customWidth="1"/>
    <col min="1064" max="1064" width="8.7109375" style="316" customWidth="1"/>
    <col min="1065" max="1065" width="15.5703125" style="316" customWidth="1"/>
    <col min="1066" max="1066" width="14.28515625" style="316" customWidth="1"/>
    <col min="1067" max="1067" width="4.85546875" style="316" customWidth="1"/>
    <col min="1068" max="1068" width="13.85546875" style="316" customWidth="1"/>
    <col min="1069" max="1069" width="16.28515625" style="316" customWidth="1"/>
    <col min="1070" max="1070" width="14" style="316" customWidth="1"/>
    <col min="1071" max="1280" width="9.140625" style="316"/>
    <col min="1281" max="1281" width="3.140625" style="316" customWidth="1"/>
    <col min="1282" max="1282" width="16.5703125" style="316" customWidth="1"/>
    <col min="1283" max="1283" width="13.5703125" style="316" customWidth="1"/>
    <col min="1284" max="1284" width="6.85546875" style="316" customWidth="1"/>
    <col min="1285" max="1285" width="12.7109375" style="316" customWidth="1"/>
    <col min="1286" max="1286" width="15.28515625" style="316" customWidth="1"/>
    <col min="1287" max="1287" width="7.42578125" style="316" customWidth="1"/>
    <col min="1288" max="1288" width="17.42578125" style="316" customWidth="1"/>
    <col min="1289" max="1291" width="16" style="316" customWidth="1"/>
    <col min="1292" max="1292" width="3.140625" style="316" customWidth="1"/>
    <col min="1293" max="1293" width="4" style="316" customWidth="1"/>
    <col min="1294" max="1294" width="15.85546875" style="316" customWidth="1"/>
    <col min="1295" max="1295" width="14.140625" style="316" bestFit="1" customWidth="1"/>
    <col min="1296" max="1296" width="9.140625" style="316"/>
    <col min="1297" max="1297" width="15.85546875" style="316" customWidth="1"/>
    <col min="1298" max="1298" width="13.42578125" style="316" customWidth="1"/>
    <col min="1299" max="1299" width="6.140625" style="316" customWidth="1"/>
    <col min="1300" max="1300" width="15.85546875" style="316" customWidth="1"/>
    <col min="1301" max="1301" width="14.28515625" style="316" customWidth="1"/>
    <col min="1302" max="1302" width="15.42578125" style="316" customWidth="1"/>
    <col min="1303" max="1303" width="16" style="316" customWidth="1"/>
    <col min="1304" max="1304" width="3.140625" style="316" customWidth="1"/>
    <col min="1305" max="1305" width="5.7109375" style="316" customWidth="1"/>
    <col min="1306" max="1306" width="16.28515625" style="316" customWidth="1"/>
    <col min="1307" max="1307" width="14.140625" style="316" bestFit="1" customWidth="1"/>
    <col min="1308" max="1308" width="11.42578125" style="316" customWidth="1"/>
    <col min="1309" max="1309" width="14.85546875" style="316" customWidth="1"/>
    <col min="1310" max="1310" width="14" style="316" customWidth="1"/>
    <col min="1311" max="1311" width="5.5703125" style="316" customWidth="1"/>
    <col min="1312" max="1312" width="14.7109375" style="316" customWidth="1"/>
    <col min="1313" max="1313" width="13.85546875" style="316" customWidth="1"/>
    <col min="1314" max="1314" width="14.85546875" style="316" customWidth="1"/>
    <col min="1315" max="1315" width="16" style="316" customWidth="1"/>
    <col min="1316" max="1316" width="3.140625" style="316" customWidth="1"/>
    <col min="1317" max="1317" width="5.28515625" style="316" customWidth="1"/>
    <col min="1318" max="1318" width="16.42578125" style="316" customWidth="1"/>
    <col min="1319" max="1319" width="14.140625" style="316" bestFit="1" customWidth="1"/>
    <col min="1320" max="1320" width="8.7109375" style="316" customWidth="1"/>
    <col min="1321" max="1321" width="15.5703125" style="316" customWidth="1"/>
    <col min="1322" max="1322" width="14.28515625" style="316" customWidth="1"/>
    <col min="1323" max="1323" width="4.85546875" style="316" customWidth="1"/>
    <col min="1324" max="1324" width="13.85546875" style="316" customWidth="1"/>
    <col min="1325" max="1325" width="16.28515625" style="316" customWidth="1"/>
    <col min="1326" max="1326" width="14" style="316" customWidth="1"/>
    <col min="1327" max="1536" width="9.140625" style="316"/>
    <col min="1537" max="1537" width="3.140625" style="316" customWidth="1"/>
    <col min="1538" max="1538" width="16.5703125" style="316" customWidth="1"/>
    <col min="1539" max="1539" width="13.5703125" style="316" customWidth="1"/>
    <col min="1540" max="1540" width="6.85546875" style="316" customWidth="1"/>
    <col min="1541" max="1541" width="12.7109375" style="316" customWidth="1"/>
    <col min="1542" max="1542" width="15.28515625" style="316" customWidth="1"/>
    <col min="1543" max="1543" width="7.42578125" style="316" customWidth="1"/>
    <col min="1544" max="1544" width="17.42578125" style="316" customWidth="1"/>
    <col min="1545" max="1547" width="16" style="316" customWidth="1"/>
    <col min="1548" max="1548" width="3.140625" style="316" customWidth="1"/>
    <col min="1549" max="1549" width="4" style="316" customWidth="1"/>
    <col min="1550" max="1550" width="15.85546875" style="316" customWidth="1"/>
    <col min="1551" max="1551" width="14.140625" style="316" bestFit="1" customWidth="1"/>
    <col min="1552" max="1552" width="9.140625" style="316"/>
    <col min="1553" max="1553" width="15.85546875" style="316" customWidth="1"/>
    <col min="1554" max="1554" width="13.42578125" style="316" customWidth="1"/>
    <col min="1555" max="1555" width="6.140625" style="316" customWidth="1"/>
    <col min="1556" max="1556" width="15.85546875" style="316" customWidth="1"/>
    <col min="1557" max="1557" width="14.28515625" style="316" customWidth="1"/>
    <col min="1558" max="1558" width="15.42578125" style="316" customWidth="1"/>
    <col min="1559" max="1559" width="16" style="316" customWidth="1"/>
    <col min="1560" max="1560" width="3.140625" style="316" customWidth="1"/>
    <col min="1561" max="1561" width="5.7109375" style="316" customWidth="1"/>
    <col min="1562" max="1562" width="16.28515625" style="316" customWidth="1"/>
    <col min="1563" max="1563" width="14.140625" style="316" bestFit="1" customWidth="1"/>
    <col min="1564" max="1564" width="11.42578125" style="316" customWidth="1"/>
    <col min="1565" max="1565" width="14.85546875" style="316" customWidth="1"/>
    <col min="1566" max="1566" width="14" style="316" customWidth="1"/>
    <col min="1567" max="1567" width="5.5703125" style="316" customWidth="1"/>
    <col min="1568" max="1568" width="14.7109375" style="316" customWidth="1"/>
    <col min="1569" max="1569" width="13.85546875" style="316" customWidth="1"/>
    <col min="1570" max="1570" width="14.85546875" style="316" customWidth="1"/>
    <col min="1571" max="1571" width="16" style="316" customWidth="1"/>
    <col min="1572" max="1572" width="3.140625" style="316" customWidth="1"/>
    <col min="1573" max="1573" width="5.28515625" style="316" customWidth="1"/>
    <col min="1574" max="1574" width="16.42578125" style="316" customWidth="1"/>
    <col min="1575" max="1575" width="14.140625" style="316" bestFit="1" customWidth="1"/>
    <col min="1576" max="1576" width="8.7109375" style="316" customWidth="1"/>
    <col min="1577" max="1577" width="15.5703125" style="316" customWidth="1"/>
    <col min="1578" max="1578" width="14.28515625" style="316" customWidth="1"/>
    <col min="1579" max="1579" width="4.85546875" style="316" customWidth="1"/>
    <col min="1580" max="1580" width="13.85546875" style="316" customWidth="1"/>
    <col min="1581" max="1581" width="16.28515625" style="316" customWidth="1"/>
    <col min="1582" max="1582" width="14" style="316" customWidth="1"/>
    <col min="1583" max="1792" width="9.140625" style="316"/>
    <col min="1793" max="1793" width="3.140625" style="316" customWidth="1"/>
    <col min="1794" max="1794" width="16.5703125" style="316" customWidth="1"/>
    <col min="1795" max="1795" width="13.5703125" style="316" customWidth="1"/>
    <col min="1796" max="1796" width="6.85546875" style="316" customWidth="1"/>
    <col min="1797" max="1797" width="12.7109375" style="316" customWidth="1"/>
    <col min="1798" max="1798" width="15.28515625" style="316" customWidth="1"/>
    <col min="1799" max="1799" width="7.42578125" style="316" customWidth="1"/>
    <col min="1800" max="1800" width="17.42578125" style="316" customWidth="1"/>
    <col min="1801" max="1803" width="16" style="316" customWidth="1"/>
    <col min="1804" max="1804" width="3.140625" style="316" customWidth="1"/>
    <col min="1805" max="1805" width="4" style="316" customWidth="1"/>
    <col min="1806" max="1806" width="15.85546875" style="316" customWidth="1"/>
    <col min="1807" max="1807" width="14.140625" style="316" bestFit="1" customWidth="1"/>
    <col min="1808" max="1808" width="9.140625" style="316"/>
    <col min="1809" max="1809" width="15.85546875" style="316" customWidth="1"/>
    <col min="1810" max="1810" width="13.42578125" style="316" customWidth="1"/>
    <col min="1811" max="1811" width="6.140625" style="316" customWidth="1"/>
    <col min="1812" max="1812" width="15.85546875" style="316" customWidth="1"/>
    <col min="1813" max="1813" width="14.28515625" style="316" customWidth="1"/>
    <col min="1814" max="1814" width="15.42578125" style="316" customWidth="1"/>
    <col min="1815" max="1815" width="16" style="316" customWidth="1"/>
    <col min="1816" max="1816" width="3.140625" style="316" customWidth="1"/>
    <col min="1817" max="1817" width="5.7109375" style="316" customWidth="1"/>
    <col min="1818" max="1818" width="16.28515625" style="316" customWidth="1"/>
    <col min="1819" max="1819" width="14.140625" style="316" bestFit="1" customWidth="1"/>
    <col min="1820" max="1820" width="11.42578125" style="316" customWidth="1"/>
    <col min="1821" max="1821" width="14.85546875" style="316" customWidth="1"/>
    <col min="1822" max="1822" width="14" style="316" customWidth="1"/>
    <col min="1823" max="1823" width="5.5703125" style="316" customWidth="1"/>
    <col min="1824" max="1824" width="14.7109375" style="316" customWidth="1"/>
    <col min="1825" max="1825" width="13.85546875" style="316" customWidth="1"/>
    <col min="1826" max="1826" width="14.85546875" style="316" customWidth="1"/>
    <col min="1827" max="1827" width="16" style="316" customWidth="1"/>
    <col min="1828" max="1828" width="3.140625" style="316" customWidth="1"/>
    <col min="1829" max="1829" width="5.28515625" style="316" customWidth="1"/>
    <col min="1830" max="1830" width="16.42578125" style="316" customWidth="1"/>
    <col min="1831" max="1831" width="14.140625" style="316" bestFit="1" customWidth="1"/>
    <col min="1832" max="1832" width="8.7109375" style="316" customWidth="1"/>
    <col min="1833" max="1833" width="15.5703125" style="316" customWidth="1"/>
    <col min="1834" max="1834" width="14.28515625" style="316" customWidth="1"/>
    <col min="1835" max="1835" width="4.85546875" style="316" customWidth="1"/>
    <col min="1836" max="1836" width="13.85546875" style="316" customWidth="1"/>
    <col min="1837" max="1837" width="16.28515625" style="316" customWidth="1"/>
    <col min="1838" max="1838" width="14" style="316" customWidth="1"/>
    <col min="1839" max="2048" width="9.140625" style="316"/>
    <col min="2049" max="2049" width="3.140625" style="316" customWidth="1"/>
    <col min="2050" max="2050" width="16.5703125" style="316" customWidth="1"/>
    <col min="2051" max="2051" width="13.5703125" style="316" customWidth="1"/>
    <col min="2052" max="2052" width="6.85546875" style="316" customWidth="1"/>
    <col min="2053" max="2053" width="12.7109375" style="316" customWidth="1"/>
    <col min="2054" max="2054" width="15.28515625" style="316" customWidth="1"/>
    <col min="2055" max="2055" width="7.42578125" style="316" customWidth="1"/>
    <col min="2056" max="2056" width="17.42578125" style="316" customWidth="1"/>
    <col min="2057" max="2059" width="16" style="316" customWidth="1"/>
    <col min="2060" max="2060" width="3.140625" style="316" customWidth="1"/>
    <col min="2061" max="2061" width="4" style="316" customWidth="1"/>
    <col min="2062" max="2062" width="15.85546875" style="316" customWidth="1"/>
    <col min="2063" max="2063" width="14.140625" style="316" bestFit="1" customWidth="1"/>
    <col min="2064" max="2064" width="9.140625" style="316"/>
    <col min="2065" max="2065" width="15.85546875" style="316" customWidth="1"/>
    <col min="2066" max="2066" width="13.42578125" style="316" customWidth="1"/>
    <col min="2067" max="2067" width="6.140625" style="316" customWidth="1"/>
    <col min="2068" max="2068" width="15.85546875" style="316" customWidth="1"/>
    <col min="2069" max="2069" width="14.28515625" style="316" customWidth="1"/>
    <col min="2070" max="2070" width="15.42578125" style="316" customWidth="1"/>
    <col min="2071" max="2071" width="16" style="316" customWidth="1"/>
    <col min="2072" max="2072" width="3.140625" style="316" customWidth="1"/>
    <col min="2073" max="2073" width="5.7109375" style="316" customWidth="1"/>
    <col min="2074" max="2074" width="16.28515625" style="316" customWidth="1"/>
    <col min="2075" max="2075" width="14.140625" style="316" bestFit="1" customWidth="1"/>
    <col min="2076" max="2076" width="11.42578125" style="316" customWidth="1"/>
    <col min="2077" max="2077" width="14.85546875" style="316" customWidth="1"/>
    <col min="2078" max="2078" width="14" style="316" customWidth="1"/>
    <col min="2079" max="2079" width="5.5703125" style="316" customWidth="1"/>
    <col min="2080" max="2080" width="14.7109375" style="316" customWidth="1"/>
    <col min="2081" max="2081" width="13.85546875" style="316" customWidth="1"/>
    <col min="2082" max="2082" width="14.85546875" style="316" customWidth="1"/>
    <col min="2083" max="2083" width="16" style="316" customWidth="1"/>
    <col min="2084" max="2084" width="3.140625" style="316" customWidth="1"/>
    <col min="2085" max="2085" width="5.28515625" style="316" customWidth="1"/>
    <col min="2086" max="2086" width="16.42578125" style="316" customWidth="1"/>
    <col min="2087" max="2087" width="14.140625" style="316" bestFit="1" customWidth="1"/>
    <col min="2088" max="2088" width="8.7109375" style="316" customWidth="1"/>
    <col min="2089" max="2089" width="15.5703125" style="316" customWidth="1"/>
    <col min="2090" max="2090" width="14.28515625" style="316" customWidth="1"/>
    <col min="2091" max="2091" width="4.85546875" style="316" customWidth="1"/>
    <col min="2092" max="2092" width="13.85546875" style="316" customWidth="1"/>
    <col min="2093" max="2093" width="16.28515625" style="316" customWidth="1"/>
    <col min="2094" max="2094" width="14" style="316" customWidth="1"/>
    <col min="2095" max="2304" width="9.140625" style="316"/>
    <col min="2305" max="2305" width="3.140625" style="316" customWidth="1"/>
    <col min="2306" max="2306" width="16.5703125" style="316" customWidth="1"/>
    <col min="2307" max="2307" width="13.5703125" style="316" customWidth="1"/>
    <col min="2308" max="2308" width="6.85546875" style="316" customWidth="1"/>
    <col min="2309" max="2309" width="12.7109375" style="316" customWidth="1"/>
    <col min="2310" max="2310" width="15.28515625" style="316" customWidth="1"/>
    <col min="2311" max="2311" width="7.42578125" style="316" customWidth="1"/>
    <col min="2312" max="2312" width="17.42578125" style="316" customWidth="1"/>
    <col min="2313" max="2315" width="16" style="316" customWidth="1"/>
    <col min="2316" max="2316" width="3.140625" style="316" customWidth="1"/>
    <col min="2317" max="2317" width="4" style="316" customWidth="1"/>
    <col min="2318" max="2318" width="15.85546875" style="316" customWidth="1"/>
    <col min="2319" max="2319" width="14.140625" style="316" bestFit="1" customWidth="1"/>
    <col min="2320" max="2320" width="9.140625" style="316"/>
    <col min="2321" max="2321" width="15.85546875" style="316" customWidth="1"/>
    <col min="2322" max="2322" width="13.42578125" style="316" customWidth="1"/>
    <col min="2323" max="2323" width="6.140625" style="316" customWidth="1"/>
    <col min="2324" max="2324" width="15.85546875" style="316" customWidth="1"/>
    <col min="2325" max="2325" width="14.28515625" style="316" customWidth="1"/>
    <col min="2326" max="2326" width="15.42578125" style="316" customWidth="1"/>
    <col min="2327" max="2327" width="16" style="316" customWidth="1"/>
    <col min="2328" max="2328" width="3.140625" style="316" customWidth="1"/>
    <col min="2329" max="2329" width="5.7109375" style="316" customWidth="1"/>
    <col min="2330" max="2330" width="16.28515625" style="316" customWidth="1"/>
    <col min="2331" max="2331" width="14.140625" style="316" bestFit="1" customWidth="1"/>
    <col min="2332" max="2332" width="11.42578125" style="316" customWidth="1"/>
    <col min="2333" max="2333" width="14.85546875" style="316" customWidth="1"/>
    <col min="2334" max="2334" width="14" style="316" customWidth="1"/>
    <col min="2335" max="2335" width="5.5703125" style="316" customWidth="1"/>
    <col min="2336" max="2336" width="14.7109375" style="316" customWidth="1"/>
    <col min="2337" max="2337" width="13.85546875" style="316" customWidth="1"/>
    <col min="2338" max="2338" width="14.85546875" style="316" customWidth="1"/>
    <col min="2339" max="2339" width="16" style="316" customWidth="1"/>
    <col min="2340" max="2340" width="3.140625" style="316" customWidth="1"/>
    <col min="2341" max="2341" width="5.28515625" style="316" customWidth="1"/>
    <col min="2342" max="2342" width="16.42578125" style="316" customWidth="1"/>
    <col min="2343" max="2343" width="14.140625" style="316" bestFit="1" customWidth="1"/>
    <col min="2344" max="2344" width="8.7109375" style="316" customWidth="1"/>
    <col min="2345" max="2345" width="15.5703125" style="316" customWidth="1"/>
    <col min="2346" max="2346" width="14.28515625" style="316" customWidth="1"/>
    <col min="2347" max="2347" width="4.85546875" style="316" customWidth="1"/>
    <col min="2348" max="2348" width="13.85546875" style="316" customWidth="1"/>
    <col min="2349" max="2349" width="16.28515625" style="316" customWidth="1"/>
    <col min="2350" max="2350" width="14" style="316" customWidth="1"/>
    <col min="2351" max="2560" width="9.140625" style="316"/>
    <col min="2561" max="2561" width="3.140625" style="316" customWidth="1"/>
    <col min="2562" max="2562" width="16.5703125" style="316" customWidth="1"/>
    <col min="2563" max="2563" width="13.5703125" style="316" customWidth="1"/>
    <col min="2564" max="2564" width="6.85546875" style="316" customWidth="1"/>
    <col min="2565" max="2565" width="12.7109375" style="316" customWidth="1"/>
    <col min="2566" max="2566" width="15.28515625" style="316" customWidth="1"/>
    <col min="2567" max="2567" width="7.42578125" style="316" customWidth="1"/>
    <col min="2568" max="2568" width="17.42578125" style="316" customWidth="1"/>
    <col min="2569" max="2571" width="16" style="316" customWidth="1"/>
    <col min="2572" max="2572" width="3.140625" style="316" customWidth="1"/>
    <col min="2573" max="2573" width="4" style="316" customWidth="1"/>
    <col min="2574" max="2574" width="15.85546875" style="316" customWidth="1"/>
    <col min="2575" max="2575" width="14.140625" style="316" bestFit="1" customWidth="1"/>
    <col min="2576" max="2576" width="9.140625" style="316"/>
    <col min="2577" max="2577" width="15.85546875" style="316" customWidth="1"/>
    <col min="2578" max="2578" width="13.42578125" style="316" customWidth="1"/>
    <col min="2579" max="2579" width="6.140625" style="316" customWidth="1"/>
    <col min="2580" max="2580" width="15.85546875" style="316" customWidth="1"/>
    <col min="2581" max="2581" width="14.28515625" style="316" customWidth="1"/>
    <col min="2582" max="2582" width="15.42578125" style="316" customWidth="1"/>
    <col min="2583" max="2583" width="16" style="316" customWidth="1"/>
    <col min="2584" max="2584" width="3.140625" style="316" customWidth="1"/>
    <col min="2585" max="2585" width="5.7109375" style="316" customWidth="1"/>
    <col min="2586" max="2586" width="16.28515625" style="316" customWidth="1"/>
    <col min="2587" max="2587" width="14.140625" style="316" bestFit="1" customWidth="1"/>
    <col min="2588" max="2588" width="11.42578125" style="316" customWidth="1"/>
    <col min="2589" max="2589" width="14.85546875" style="316" customWidth="1"/>
    <col min="2590" max="2590" width="14" style="316" customWidth="1"/>
    <col min="2591" max="2591" width="5.5703125" style="316" customWidth="1"/>
    <col min="2592" max="2592" width="14.7109375" style="316" customWidth="1"/>
    <col min="2593" max="2593" width="13.85546875" style="316" customWidth="1"/>
    <col min="2594" max="2594" width="14.85546875" style="316" customWidth="1"/>
    <col min="2595" max="2595" width="16" style="316" customWidth="1"/>
    <col min="2596" max="2596" width="3.140625" style="316" customWidth="1"/>
    <col min="2597" max="2597" width="5.28515625" style="316" customWidth="1"/>
    <col min="2598" max="2598" width="16.42578125" style="316" customWidth="1"/>
    <col min="2599" max="2599" width="14.140625" style="316" bestFit="1" customWidth="1"/>
    <col min="2600" max="2600" width="8.7109375" style="316" customWidth="1"/>
    <col min="2601" max="2601" width="15.5703125" style="316" customWidth="1"/>
    <col min="2602" max="2602" width="14.28515625" style="316" customWidth="1"/>
    <col min="2603" max="2603" width="4.85546875" style="316" customWidth="1"/>
    <col min="2604" max="2604" width="13.85546875" style="316" customWidth="1"/>
    <col min="2605" max="2605" width="16.28515625" style="316" customWidth="1"/>
    <col min="2606" max="2606" width="14" style="316" customWidth="1"/>
    <col min="2607" max="2816" width="9.140625" style="316"/>
    <col min="2817" max="2817" width="3.140625" style="316" customWidth="1"/>
    <col min="2818" max="2818" width="16.5703125" style="316" customWidth="1"/>
    <col min="2819" max="2819" width="13.5703125" style="316" customWidth="1"/>
    <col min="2820" max="2820" width="6.85546875" style="316" customWidth="1"/>
    <col min="2821" max="2821" width="12.7109375" style="316" customWidth="1"/>
    <col min="2822" max="2822" width="15.28515625" style="316" customWidth="1"/>
    <col min="2823" max="2823" width="7.42578125" style="316" customWidth="1"/>
    <col min="2824" max="2824" width="17.42578125" style="316" customWidth="1"/>
    <col min="2825" max="2827" width="16" style="316" customWidth="1"/>
    <col min="2828" max="2828" width="3.140625" style="316" customWidth="1"/>
    <col min="2829" max="2829" width="4" style="316" customWidth="1"/>
    <col min="2830" max="2830" width="15.85546875" style="316" customWidth="1"/>
    <col min="2831" max="2831" width="14.140625" style="316" bestFit="1" customWidth="1"/>
    <col min="2832" max="2832" width="9.140625" style="316"/>
    <col min="2833" max="2833" width="15.85546875" style="316" customWidth="1"/>
    <col min="2834" max="2834" width="13.42578125" style="316" customWidth="1"/>
    <col min="2835" max="2835" width="6.140625" style="316" customWidth="1"/>
    <col min="2836" max="2836" width="15.85546875" style="316" customWidth="1"/>
    <col min="2837" max="2837" width="14.28515625" style="316" customWidth="1"/>
    <col min="2838" max="2838" width="15.42578125" style="316" customWidth="1"/>
    <col min="2839" max="2839" width="16" style="316" customWidth="1"/>
    <col min="2840" max="2840" width="3.140625" style="316" customWidth="1"/>
    <col min="2841" max="2841" width="5.7109375" style="316" customWidth="1"/>
    <col min="2842" max="2842" width="16.28515625" style="316" customWidth="1"/>
    <col min="2843" max="2843" width="14.140625" style="316" bestFit="1" customWidth="1"/>
    <col min="2844" max="2844" width="11.42578125" style="316" customWidth="1"/>
    <col min="2845" max="2845" width="14.85546875" style="316" customWidth="1"/>
    <col min="2846" max="2846" width="14" style="316" customWidth="1"/>
    <col min="2847" max="2847" width="5.5703125" style="316" customWidth="1"/>
    <col min="2848" max="2848" width="14.7109375" style="316" customWidth="1"/>
    <col min="2849" max="2849" width="13.85546875" style="316" customWidth="1"/>
    <col min="2850" max="2850" width="14.85546875" style="316" customWidth="1"/>
    <col min="2851" max="2851" width="16" style="316" customWidth="1"/>
    <col min="2852" max="2852" width="3.140625" style="316" customWidth="1"/>
    <col min="2853" max="2853" width="5.28515625" style="316" customWidth="1"/>
    <col min="2854" max="2854" width="16.42578125" style="316" customWidth="1"/>
    <col min="2855" max="2855" width="14.140625" style="316" bestFit="1" customWidth="1"/>
    <col min="2856" max="2856" width="8.7109375" style="316" customWidth="1"/>
    <col min="2857" max="2857" width="15.5703125" style="316" customWidth="1"/>
    <col min="2858" max="2858" width="14.28515625" style="316" customWidth="1"/>
    <col min="2859" max="2859" width="4.85546875" style="316" customWidth="1"/>
    <col min="2860" max="2860" width="13.85546875" style="316" customWidth="1"/>
    <col min="2861" max="2861" width="16.28515625" style="316" customWidth="1"/>
    <col min="2862" max="2862" width="14" style="316" customWidth="1"/>
    <col min="2863" max="3072" width="9.140625" style="316"/>
    <col min="3073" max="3073" width="3.140625" style="316" customWidth="1"/>
    <col min="3074" max="3074" width="16.5703125" style="316" customWidth="1"/>
    <col min="3075" max="3075" width="13.5703125" style="316" customWidth="1"/>
    <col min="3076" max="3076" width="6.85546875" style="316" customWidth="1"/>
    <col min="3077" max="3077" width="12.7109375" style="316" customWidth="1"/>
    <col min="3078" max="3078" width="15.28515625" style="316" customWidth="1"/>
    <col min="3079" max="3079" width="7.42578125" style="316" customWidth="1"/>
    <col min="3080" max="3080" width="17.42578125" style="316" customWidth="1"/>
    <col min="3081" max="3083" width="16" style="316" customWidth="1"/>
    <col min="3084" max="3084" width="3.140625" style="316" customWidth="1"/>
    <col min="3085" max="3085" width="4" style="316" customWidth="1"/>
    <col min="3086" max="3086" width="15.85546875" style="316" customWidth="1"/>
    <col min="3087" max="3087" width="14.140625" style="316" bestFit="1" customWidth="1"/>
    <col min="3088" max="3088" width="9.140625" style="316"/>
    <col min="3089" max="3089" width="15.85546875" style="316" customWidth="1"/>
    <col min="3090" max="3090" width="13.42578125" style="316" customWidth="1"/>
    <col min="3091" max="3091" width="6.140625" style="316" customWidth="1"/>
    <col min="3092" max="3092" width="15.85546875" style="316" customWidth="1"/>
    <col min="3093" max="3093" width="14.28515625" style="316" customWidth="1"/>
    <col min="3094" max="3094" width="15.42578125" style="316" customWidth="1"/>
    <col min="3095" max="3095" width="16" style="316" customWidth="1"/>
    <col min="3096" max="3096" width="3.140625" style="316" customWidth="1"/>
    <col min="3097" max="3097" width="5.7109375" style="316" customWidth="1"/>
    <col min="3098" max="3098" width="16.28515625" style="316" customWidth="1"/>
    <col min="3099" max="3099" width="14.140625" style="316" bestFit="1" customWidth="1"/>
    <col min="3100" max="3100" width="11.42578125" style="316" customWidth="1"/>
    <col min="3101" max="3101" width="14.85546875" style="316" customWidth="1"/>
    <col min="3102" max="3102" width="14" style="316" customWidth="1"/>
    <col min="3103" max="3103" width="5.5703125" style="316" customWidth="1"/>
    <col min="3104" max="3104" width="14.7109375" style="316" customWidth="1"/>
    <col min="3105" max="3105" width="13.85546875" style="316" customWidth="1"/>
    <col min="3106" max="3106" width="14.85546875" style="316" customWidth="1"/>
    <col min="3107" max="3107" width="16" style="316" customWidth="1"/>
    <col min="3108" max="3108" width="3.140625" style="316" customWidth="1"/>
    <col min="3109" max="3109" width="5.28515625" style="316" customWidth="1"/>
    <col min="3110" max="3110" width="16.42578125" style="316" customWidth="1"/>
    <col min="3111" max="3111" width="14.140625" style="316" bestFit="1" customWidth="1"/>
    <col min="3112" max="3112" width="8.7109375" style="316" customWidth="1"/>
    <col min="3113" max="3113" width="15.5703125" style="316" customWidth="1"/>
    <col min="3114" max="3114" width="14.28515625" style="316" customWidth="1"/>
    <col min="3115" max="3115" width="4.85546875" style="316" customWidth="1"/>
    <col min="3116" max="3116" width="13.85546875" style="316" customWidth="1"/>
    <col min="3117" max="3117" width="16.28515625" style="316" customWidth="1"/>
    <col min="3118" max="3118" width="14" style="316" customWidth="1"/>
    <col min="3119" max="3328" width="9.140625" style="316"/>
    <col min="3329" max="3329" width="3.140625" style="316" customWidth="1"/>
    <col min="3330" max="3330" width="16.5703125" style="316" customWidth="1"/>
    <col min="3331" max="3331" width="13.5703125" style="316" customWidth="1"/>
    <col min="3332" max="3332" width="6.85546875" style="316" customWidth="1"/>
    <col min="3333" max="3333" width="12.7109375" style="316" customWidth="1"/>
    <col min="3334" max="3334" width="15.28515625" style="316" customWidth="1"/>
    <col min="3335" max="3335" width="7.42578125" style="316" customWidth="1"/>
    <col min="3336" max="3336" width="17.42578125" style="316" customWidth="1"/>
    <col min="3337" max="3339" width="16" style="316" customWidth="1"/>
    <col min="3340" max="3340" width="3.140625" style="316" customWidth="1"/>
    <col min="3341" max="3341" width="4" style="316" customWidth="1"/>
    <col min="3342" max="3342" width="15.85546875" style="316" customWidth="1"/>
    <col min="3343" max="3343" width="14.140625" style="316" bestFit="1" customWidth="1"/>
    <col min="3344" max="3344" width="9.140625" style="316"/>
    <col min="3345" max="3345" width="15.85546875" style="316" customWidth="1"/>
    <col min="3346" max="3346" width="13.42578125" style="316" customWidth="1"/>
    <col min="3347" max="3347" width="6.140625" style="316" customWidth="1"/>
    <col min="3348" max="3348" width="15.85546875" style="316" customWidth="1"/>
    <col min="3349" max="3349" width="14.28515625" style="316" customWidth="1"/>
    <col min="3350" max="3350" width="15.42578125" style="316" customWidth="1"/>
    <col min="3351" max="3351" width="16" style="316" customWidth="1"/>
    <col min="3352" max="3352" width="3.140625" style="316" customWidth="1"/>
    <col min="3353" max="3353" width="5.7109375" style="316" customWidth="1"/>
    <col min="3354" max="3354" width="16.28515625" style="316" customWidth="1"/>
    <col min="3355" max="3355" width="14.140625" style="316" bestFit="1" customWidth="1"/>
    <col min="3356" max="3356" width="11.42578125" style="316" customWidth="1"/>
    <col min="3357" max="3357" width="14.85546875" style="316" customWidth="1"/>
    <col min="3358" max="3358" width="14" style="316" customWidth="1"/>
    <col min="3359" max="3359" width="5.5703125" style="316" customWidth="1"/>
    <col min="3360" max="3360" width="14.7109375" style="316" customWidth="1"/>
    <col min="3361" max="3361" width="13.85546875" style="316" customWidth="1"/>
    <col min="3362" max="3362" width="14.85546875" style="316" customWidth="1"/>
    <col min="3363" max="3363" width="16" style="316" customWidth="1"/>
    <col min="3364" max="3364" width="3.140625" style="316" customWidth="1"/>
    <col min="3365" max="3365" width="5.28515625" style="316" customWidth="1"/>
    <col min="3366" max="3366" width="16.42578125" style="316" customWidth="1"/>
    <col min="3367" max="3367" width="14.140625" style="316" bestFit="1" customWidth="1"/>
    <col min="3368" max="3368" width="8.7109375" style="316" customWidth="1"/>
    <col min="3369" max="3369" width="15.5703125" style="316" customWidth="1"/>
    <col min="3370" max="3370" width="14.28515625" style="316" customWidth="1"/>
    <col min="3371" max="3371" width="4.85546875" style="316" customWidth="1"/>
    <col min="3372" max="3372" width="13.85546875" style="316" customWidth="1"/>
    <col min="3373" max="3373" width="16.28515625" style="316" customWidth="1"/>
    <col min="3374" max="3374" width="14" style="316" customWidth="1"/>
    <col min="3375" max="3584" width="9.140625" style="316"/>
    <col min="3585" max="3585" width="3.140625" style="316" customWidth="1"/>
    <col min="3586" max="3586" width="16.5703125" style="316" customWidth="1"/>
    <col min="3587" max="3587" width="13.5703125" style="316" customWidth="1"/>
    <col min="3588" max="3588" width="6.85546875" style="316" customWidth="1"/>
    <col min="3589" max="3589" width="12.7109375" style="316" customWidth="1"/>
    <col min="3590" max="3590" width="15.28515625" style="316" customWidth="1"/>
    <col min="3591" max="3591" width="7.42578125" style="316" customWidth="1"/>
    <col min="3592" max="3592" width="17.42578125" style="316" customWidth="1"/>
    <col min="3593" max="3595" width="16" style="316" customWidth="1"/>
    <col min="3596" max="3596" width="3.140625" style="316" customWidth="1"/>
    <col min="3597" max="3597" width="4" style="316" customWidth="1"/>
    <col min="3598" max="3598" width="15.85546875" style="316" customWidth="1"/>
    <col min="3599" max="3599" width="14.140625" style="316" bestFit="1" customWidth="1"/>
    <col min="3600" max="3600" width="9.140625" style="316"/>
    <col min="3601" max="3601" width="15.85546875" style="316" customWidth="1"/>
    <col min="3602" max="3602" width="13.42578125" style="316" customWidth="1"/>
    <col min="3603" max="3603" width="6.140625" style="316" customWidth="1"/>
    <col min="3604" max="3604" width="15.85546875" style="316" customWidth="1"/>
    <col min="3605" max="3605" width="14.28515625" style="316" customWidth="1"/>
    <col min="3606" max="3606" width="15.42578125" style="316" customWidth="1"/>
    <col min="3607" max="3607" width="16" style="316" customWidth="1"/>
    <col min="3608" max="3608" width="3.140625" style="316" customWidth="1"/>
    <col min="3609" max="3609" width="5.7109375" style="316" customWidth="1"/>
    <col min="3610" max="3610" width="16.28515625" style="316" customWidth="1"/>
    <col min="3611" max="3611" width="14.140625" style="316" bestFit="1" customWidth="1"/>
    <col min="3612" max="3612" width="11.42578125" style="316" customWidth="1"/>
    <col min="3613" max="3613" width="14.85546875" style="316" customWidth="1"/>
    <col min="3614" max="3614" width="14" style="316" customWidth="1"/>
    <col min="3615" max="3615" width="5.5703125" style="316" customWidth="1"/>
    <col min="3616" max="3616" width="14.7109375" style="316" customWidth="1"/>
    <col min="3617" max="3617" width="13.85546875" style="316" customWidth="1"/>
    <col min="3618" max="3618" width="14.85546875" style="316" customWidth="1"/>
    <col min="3619" max="3619" width="16" style="316" customWidth="1"/>
    <col min="3620" max="3620" width="3.140625" style="316" customWidth="1"/>
    <col min="3621" max="3621" width="5.28515625" style="316" customWidth="1"/>
    <col min="3622" max="3622" width="16.42578125" style="316" customWidth="1"/>
    <col min="3623" max="3623" width="14.140625" style="316" bestFit="1" customWidth="1"/>
    <col min="3624" max="3624" width="8.7109375" style="316" customWidth="1"/>
    <col min="3625" max="3625" width="15.5703125" style="316" customWidth="1"/>
    <col min="3626" max="3626" width="14.28515625" style="316" customWidth="1"/>
    <col min="3627" max="3627" width="4.85546875" style="316" customWidth="1"/>
    <col min="3628" max="3628" width="13.85546875" style="316" customWidth="1"/>
    <col min="3629" max="3629" width="16.28515625" style="316" customWidth="1"/>
    <col min="3630" max="3630" width="14" style="316" customWidth="1"/>
    <col min="3631" max="3840" width="9.140625" style="316"/>
    <col min="3841" max="3841" width="3.140625" style="316" customWidth="1"/>
    <col min="3842" max="3842" width="16.5703125" style="316" customWidth="1"/>
    <col min="3843" max="3843" width="13.5703125" style="316" customWidth="1"/>
    <col min="3844" max="3844" width="6.85546875" style="316" customWidth="1"/>
    <col min="3845" max="3845" width="12.7109375" style="316" customWidth="1"/>
    <col min="3846" max="3846" width="15.28515625" style="316" customWidth="1"/>
    <col min="3847" max="3847" width="7.42578125" style="316" customWidth="1"/>
    <col min="3848" max="3848" width="17.42578125" style="316" customWidth="1"/>
    <col min="3849" max="3851" width="16" style="316" customWidth="1"/>
    <col min="3852" max="3852" width="3.140625" style="316" customWidth="1"/>
    <col min="3853" max="3853" width="4" style="316" customWidth="1"/>
    <col min="3854" max="3854" width="15.85546875" style="316" customWidth="1"/>
    <col min="3855" max="3855" width="14.140625" style="316" bestFit="1" customWidth="1"/>
    <col min="3856" max="3856" width="9.140625" style="316"/>
    <col min="3857" max="3857" width="15.85546875" style="316" customWidth="1"/>
    <col min="3858" max="3858" width="13.42578125" style="316" customWidth="1"/>
    <col min="3859" max="3859" width="6.140625" style="316" customWidth="1"/>
    <col min="3860" max="3860" width="15.85546875" style="316" customWidth="1"/>
    <col min="3861" max="3861" width="14.28515625" style="316" customWidth="1"/>
    <col min="3862" max="3862" width="15.42578125" style="316" customWidth="1"/>
    <col min="3863" max="3863" width="16" style="316" customWidth="1"/>
    <col min="3864" max="3864" width="3.140625" style="316" customWidth="1"/>
    <col min="3865" max="3865" width="5.7109375" style="316" customWidth="1"/>
    <col min="3866" max="3866" width="16.28515625" style="316" customWidth="1"/>
    <col min="3867" max="3867" width="14.140625" style="316" bestFit="1" customWidth="1"/>
    <col min="3868" max="3868" width="11.42578125" style="316" customWidth="1"/>
    <col min="3869" max="3869" width="14.85546875" style="316" customWidth="1"/>
    <col min="3870" max="3870" width="14" style="316" customWidth="1"/>
    <col min="3871" max="3871" width="5.5703125" style="316" customWidth="1"/>
    <col min="3872" max="3872" width="14.7109375" style="316" customWidth="1"/>
    <col min="3873" max="3873" width="13.85546875" style="316" customWidth="1"/>
    <col min="3874" max="3874" width="14.85546875" style="316" customWidth="1"/>
    <col min="3875" max="3875" width="16" style="316" customWidth="1"/>
    <col min="3876" max="3876" width="3.140625" style="316" customWidth="1"/>
    <col min="3877" max="3877" width="5.28515625" style="316" customWidth="1"/>
    <col min="3878" max="3878" width="16.42578125" style="316" customWidth="1"/>
    <col min="3879" max="3879" width="14.140625" style="316" bestFit="1" customWidth="1"/>
    <col min="3880" max="3880" width="8.7109375" style="316" customWidth="1"/>
    <col min="3881" max="3881" width="15.5703125" style="316" customWidth="1"/>
    <col min="3882" max="3882" width="14.28515625" style="316" customWidth="1"/>
    <col min="3883" max="3883" width="4.85546875" style="316" customWidth="1"/>
    <col min="3884" max="3884" width="13.85546875" style="316" customWidth="1"/>
    <col min="3885" max="3885" width="16.28515625" style="316" customWidth="1"/>
    <col min="3886" max="3886" width="14" style="316" customWidth="1"/>
    <col min="3887" max="4096" width="9.140625" style="316"/>
    <col min="4097" max="4097" width="3.140625" style="316" customWidth="1"/>
    <col min="4098" max="4098" width="16.5703125" style="316" customWidth="1"/>
    <col min="4099" max="4099" width="13.5703125" style="316" customWidth="1"/>
    <col min="4100" max="4100" width="6.85546875" style="316" customWidth="1"/>
    <col min="4101" max="4101" width="12.7109375" style="316" customWidth="1"/>
    <col min="4102" max="4102" width="15.28515625" style="316" customWidth="1"/>
    <col min="4103" max="4103" width="7.42578125" style="316" customWidth="1"/>
    <col min="4104" max="4104" width="17.42578125" style="316" customWidth="1"/>
    <col min="4105" max="4107" width="16" style="316" customWidth="1"/>
    <col min="4108" max="4108" width="3.140625" style="316" customWidth="1"/>
    <col min="4109" max="4109" width="4" style="316" customWidth="1"/>
    <col min="4110" max="4110" width="15.85546875" style="316" customWidth="1"/>
    <col min="4111" max="4111" width="14.140625" style="316" bestFit="1" customWidth="1"/>
    <col min="4112" max="4112" width="9.140625" style="316"/>
    <col min="4113" max="4113" width="15.85546875" style="316" customWidth="1"/>
    <col min="4114" max="4114" width="13.42578125" style="316" customWidth="1"/>
    <col min="4115" max="4115" width="6.140625" style="316" customWidth="1"/>
    <col min="4116" max="4116" width="15.85546875" style="316" customWidth="1"/>
    <col min="4117" max="4117" width="14.28515625" style="316" customWidth="1"/>
    <col min="4118" max="4118" width="15.42578125" style="316" customWidth="1"/>
    <col min="4119" max="4119" width="16" style="316" customWidth="1"/>
    <col min="4120" max="4120" width="3.140625" style="316" customWidth="1"/>
    <col min="4121" max="4121" width="5.7109375" style="316" customWidth="1"/>
    <col min="4122" max="4122" width="16.28515625" style="316" customWidth="1"/>
    <col min="4123" max="4123" width="14.140625" style="316" bestFit="1" customWidth="1"/>
    <col min="4124" max="4124" width="11.42578125" style="316" customWidth="1"/>
    <col min="4125" max="4125" width="14.85546875" style="316" customWidth="1"/>
    <col min="4126" max="4126" width="14" style="316" customWidth="1"/>
    <col min="4127" max="4127" width="5.5703125" style="316" customWidth="1"/>
    <col min="4128" max="4128" width="14.7109375" style="316" customWidth="1"/>
    <col min="4129" max="4129" width="13.85546875" style="316" customWidth="1"/>
    <col min="4130" max="4130" width="14.85546875" style="316" customWidth="1"/>
    <col min="4131" max="4131" width="16" style="316" customWidth="1"/>
    <col min="4132" max="4132" width="3.140625" style="316" customWidth="1"/>
    <col min="4133" max="4133" width="5.28515625" style="316" customWidth="1"/>
    <col min="4134" max="4134" width="16.42578125" style="316" customWidth="1"/>
    <col min="4135" max="4135" width="14.140625" style="316" bestFit="1" customWidth="1"/>
    <col min="4136" max="4136" width="8.7109375" style="316" customWidth="1"/>
    <col min="4137" max="4137" width="15.5703125" style="316" customWidth="1"/>
    <col min="4138" max="4138" width="14.28515625" style="316" customWidth="1"/>
    <col min="4139" max="4139" width="4.85546875" style="316" customWidth="1"/>
    <col min="4140" max="4140" width="13.85546875" style="316" customWidth="1"/>
    <col min="4141" max="4141" width="16.28515625" style="316" customWidth="1"/>
    <col min="4142" max="4142" width="14" style="316" customWidth="1"/>
    <col min="4143" max="4352" width="9.140625" style="316"/>
    <col min="4353" max="4353" width="3.140625" style="316" customWidth="1"/>
    <col min="4354" max="4354" width="16.5703125" style="316" customWidth="1"/>
    <col min="4355" max="4355" width="13.5703125" style="316" customWidth="1"/>
    <col min="4356" max="4356" width="6.85546875" style="316" customWidth="1"/>
    <col min="4357" max="4357" width="12.7109375" style="316" customWidth="1"/>
    <col min="4358" max="4358" width="15.28515625" style="316" customWidth="1"/>
    <col min="4359" max="4359" width="7.42578125" style="316" customWidth="1"/>
    <col min="4360" max="4360" width="17.42578125" style="316" customWidth="1"/>
    <col min="4361" max="4363" width="16" style="316" customWidth="1"/>
    <col min="4364" max="4364" width="3.140625" style="316" customWidth="1"/>
    <col min="4365" max="4365" width="4" style="316" customWidth="1"/>
    <col min="4366" max="4366" width="15.85546875" style="316" customWidth="1"/>
    <col min="4367" max="4367" width="14.140625" style="316" bestFit="1" customWidth="1"/>
    <col min="4368" max="4368" width="9.140625" style="316"/>
    <col min="4369" max="4369" width="15.85546875" style="316" customWidth="1"/>
    <col min="4370" max="4370" width="13.42578125" style="316" customWidth="1"/>
    <col min="4371" max="4371" width="6.140625" style="316" customWidth="1"/>
    <col min="4372" max="4372" width="15.85546875" style="316" customWidth="1"/>
    <col min="4373" max="4373" width="14.28515625" style="316" customWidth="1"/>
    <col min="4374" max="4374" width="15.42578125" style="316" customWidth="1"/>
    <col min="4375" max="4375" width="16" style="316" customWidth="1"/>
    <col min="4376" max="4376" width="3.140625" style="316" customWidth="1"/>
    <col min="4377" max="4377" width="5.7109375" style="316" customWidth="1"/>
    <col min="4378" max="4378" width="16.28515625" style="316" customWidth="1"/>
    <col min="4379" max="4379" width="14.140625" style="316" bestFit="1" customWidth="1"/>
    <col min="4380" max="4380" width="11.42578125" style="316" customWidth="1"/>
    <col min="4381" max="4381" width="14.85546875" style="316" customWidth="1"/>
    <col min="4382" max="4382" width="14" style="316" customWidth="1"/>
    <col min="4383" max="4383" width="5.5703125" style="316" customWidth="1"/>
    <col min="4384" max="4384" width="14.7109375" style="316" customWidth="1"/>
    <col min="4385" max="4385" width="13.85546875" style="316" customWidth="1"/>
    <col min="4386" max="4386" width="14.85546875" style="316" customWidth="1"/>
    <col min="4387" max="4387" width="16" style="316" customWidth="1"/>
    <col min="4388" max="4388" width="3.140625" style="316" customWidth="1"/>
    <col min="4389" max="4389" width="5.28515625" style="316" customWidth="1"/>
    <col min="4390" max="4390" width="16.42578125" style="316" customWidth="1"/>
    <col min="4391" max="4391" width="14.140625" style="316" bestFit="1" customWidth="1"/>
    <col min="4392" max="4392" width="8.7109375" style="316" customWidth="1"/>
    <col min="4393" max="4393" width="15.5703125" style="316" customWidth="1"/>
    <col min="4394" max="4394" width="14.28515625" style="316" customWidth="1"/>
    <col min="4395" max="4395" width="4.85546875" style="316" customWidth="1"/>
    <col min="4396" max="4396" width="13.85546875" style="316" customWidth="1"/>
    <col min="4397" max="4397" width="16.28515625" style="316" customWidth="1"/>
    <col min="4398" max="4398" width="14" style="316" customWidth="1"/>
    <col min="4399" max="4608" width="9.140625" style="316"/>
    <col min="4609" max="4609" width="3.140625" style="316" customWidth="1"/>
    <col min="4610" max="4610" width="16.5703125" style="316" customWidth="1"/>
    <col min="4611" max="4611" width="13.5703125" style="316" customWidth="1"/>
    <col min="4612" max="4612" width="6.85546875" style="316" customWidth="1"/>
    <col min="4613" max="4613" width="12.7109375" style="316" customWidth="1"/>
    <col min="4614" max="4614" width="15.28515625" style="316" customWidth="1"/>
    <col min="4615" max="4615" width="7.42578125" style="316" customWidth="1"/>
    <col min="4616" max="4616" width="17.42578125" style="316" customWidth="1"/>
    <col min="4617" max="4619" width="16" style="316" customWidth="1"/>
    <col min="4620" max="4620" width="3.140625" style="316" customWidth="1"/>
    <col min="4621" max="4621" width="4" style="316" customWidth="1"/>
    <col min="4622" max="4622" width="15.85546875" style="316" customWidth="1"/>
    <col min="4623" max="4623" width="14.140625" style="316" bestFit="1" customWidth="1"/>
    <col min="4624" max="4624" width="9.140625" style="316"/>
    <col min="4625" max="4625" width="15.85546875" style="316" customWidth="1"/>
    <col min="4626" max="4626" width="13.42578125" style="316" customWidth="1"/>
    <col min="4627" max="4627" width="6.140625" style="316" customWidth="1"/>
    <col min="4628" max="4628" width="15.85546875" style="316" customWidth="1"/>
    <col min="4629" max="4629" width="14.28515625" style="316" customWidth="1"/>
    <col min="4630" max="4630" width="15.42578125" style="316" customWidth="1"/>
    <col min="4631" max="4631" width="16" style="316" customWidth="1"/>
    <col min="4632" max="4632" width="3.140625" style="316" customWidth="1"/>
    <col min="4633" max="4633" width="5.7109375" style="316" customWidth="1"/>
    <col min="4634" max="4634" width="16.28515625" style="316" customWidth="1"/>
    <col min="4635" max="4635" width="14.140625" style="316" bestFit="1" customWidth="1"/>
    <col min="4636" max="4636" width="11.42578125" style="316" customWidth="1"/>
    <col min="4637" max="4637" width="14.85546875" style="316" customWidth="1"/>
    <col min="4638" max="4638" width="14" style="316" customWidth="1"/>
    <col min="4639" max="4639" width="5.5703125" style="316" customWidth="1"/>
    <col min="4640" max="4640" width="14.7109375" style="316" customWidth="1"/>
    <col min="4641" max="4641" width="13.85546875" style="316" customWidth="1"/>
    <col min="4642" max="4642" width="14.85546875" style="316" customWidth="1"/>
    <col min="4643" max="4643" width="16" style="316" customWidth="1"/>
    <col min="4644" max="4644" width="3.140625" style="316" customWidth="1"/>
    <col min="4645" max="4645" width="5.28515625" style="316" customWidth="1"/>
    <col min="4646" max="4646" width="16.42578125" style="316" customWidth="1"/>
    <col min="4647" max="4647" width="14.140625" style="316" bestFit="1" customWidth="1"/>
    <col min="4648" max="4648" width="8.7109375" style="316" customWidth="1"/>
    <col min="4649" max="4649" width="15.5703125" style="316" customWidth="1"/>
    <col min="4650" max="4650" width="14.28515625" style="316" customWidth="1"/>
    <col min="4651" max="4651" width="4.85546875" style="316" customWidth="1"/>
    <col min="4652" max="4652" width="13.85546875" style="316" customWidth="1"/>
    <col min="4653" max="4653" width="16.28515625" style="316" customWidth="1"/>
    <col min="4654" max="4654" width="14" style="316" customWidth="1"/>
    <col min="4655" max="4864" width="9.140625" style="316"/>
    <col min="4865" max="4865" width="3.140625" style="316" customWidth="1"/>
    <col min="4866" max="4866" width="16.5703125" style="316" customWidth="1"/>
    <col min="4867" max="4867" width="13.5703125" style="316" customWidth="1"/>
    <col min="4868" max="4868" width="6.85546875" style="316" customWidth="1"/>
    <col min="4869" max="4869" width="12.7109375" style="316" customWidth="1"/>
    <col min="4870" max="4870" width="15.28515625" style="316" customWidth="1"/>
    <col min="4871" max="4871" width="7.42578125" style="316" customWidth="1"/>
    <col min="4872" max="4872" width="17.42578125" style="316" customWidth="1"/>
    <col min="4873" max="4875" width="16" style="316" customWidth="1"/>
    <col min="4876" max="4876" width="3.140625" style="316" customWidth="1"/>
    <col min="4877" max="4877" width="4" style="316" customWidth="1"/>
    <col min="4878" max="4878" width="15.85546875" style="316" customWidth="1"/>
    <col min="4879" max="4879" width="14.140625" style="316" bestFit="1" customWidth="1"/>
    <col min="4880" max="4880" width="9.140625" style="316"/>
    <col min="4881" max="4881" width="15.85546875" style="316" customWidth="1"/>
    <col min="4882" max="4882" width="13.42578125" style="316" customWidth="1"/>
    <col min="4883" max="4883" width="6.140625" style="316" customWidth="1"/>
    <col min="4884" max="4884" width="15.85546875" style="316" customWidth="1"/>
    <col min="4885" max="4885" width="14.28515625" style="316" customWidth="1"/>
    <col min="4886" max="4886" width="15.42578125" style="316" customWidth="1"/>
    <col min="4887" max="4887" width="16" style="316" customWidth="1"/>
    <col min="4888" max="4888" width="3.140625" style="316" customWidth="1"/>
    <col min="4889" max="4889" width="5.7109375" style="316" customWidth="1"/>
    <col min="4890" max="4890" width="16.28515625" style="316" customWidth="1"/>
    <col min="4891" max="4891" width="14.140625" style="316" bestFit="1" customWidth="1"/>
    <col min="4892" max="4892" width="11.42578125" style="316" customWidth="1"/>
    <col min="4893" max="4893" width="14.85546875" style="316" customWidth="1"/>
    <col min="4894" max="4894" width="14" style="316" customWidth="1"/>
    <col min="4895" max="4895" width="5.5703125" style="316" customWidth="1"/>
    <col min="4896" max="4896" width="14.7109375" style="316" customWidth="1"/>
    <col min="4897" max="4897" width="13.85546875" style="316" customWidth="1"/>
    <col min="4898" max="4898" width="14.85546875" style="316" customWidth="1"/>
    <col min="4899" max="4899" width="16" style="316" customWidth="1"/>
    <col min="4900" max="4900" width="3.140625" style="316" customWidth="1"/>
    <col min="4901" max="4901" width="5.28515625" style="316" customWidth="1"/>
    <col min="4902" max="4902" width="16.42578125" style="316" customWidth="1"/>
    <col min="4903" max="4903" width="14.140625" style="316" bestFit="1" customWidth="1"/>
    <col min="4904" max="4904" width="8.7109375" style="316" customWidth="1"/>
    <col min="4905" max="4905" width="15.5703125" style="316" customWidth="1"/>
    <col min="4906" max="4906" width="14.28515625" style="316" customWidth="1"/>
    <col min="4907" max="4907" width="4.85546875" style="316" customWidth="1"/>
    <col min="4908" max="4908" width="13.85546875" style="316" customWidth="1"/>
    <col min="4909" max="4909" width="16.28515625" style="316" customWidth="1"/>
    <col min="4910" max="4910" width="14" style="316" customWidth="1"/>
    <col min="4911" max="5120" width="9.140625" style="316"/>
    <col min="5121" max="5121" width="3.140625" style="316" customWidth="1"/>
    <col min="5122" max="5122" width="16.5703125" style="316" customWidth="1"/>
    <col min="5123" max="5123" width="13.5703125" style="316" customWidth="1"/>
    <col min="5124" max="5124" width="6.85546875" style="316" customWidth="1"/>
    <col min="5125" max="5125" width="12.7109375" style="316" customWidth="1"/>
    <col min="5126" max="5126" width="15.28515625" style="316" customWidth="1"/>
    <col min="5127" max="5127" width="7.42578125" style="316" customWidth="1"/>
    <col min="5128" max="5128" width="17.42578125" style="316" customWidth="1"/>
    <col min="5129" max="5131" width="16" style="316" customWidth="1"/>
    <col min="5132" max="5132" width="3.140625" style="316" customWidth="1"/>
    <col min="5133" max="5133" width="4" style="316" customWidth="1"/>
    <col min="5134" max="5134" width="15.85546875" style="316" customWidth="1"/>
    <col min="5135" max="5135" width="14.140625" style="316" bestFit="1" customWidth="1"/>
    <col min="5136" max="5136" width="9.140625" style="316"/>
    <col min="5137" max="5137" width="15.85546875" style="316" customWidth="1"/>
    <col min="5138" max="5138" width="13.42578125" style="316" customWidth="1"/>
    <col min="5139" max="5139" width="6.140625" style="316" customWidth="1"/>
    <col min="5140" max="5140" width="15.85546875" style="316" customWidth="1"/>
    <col min="5141" max="5141" width="14.28515625" style="316" customWidth="1"/>
    <col min="5142" max="5142" width="15.42578125" style="316" customWidth="1"/>
    <col min="5143" max="5143" width="16" style="316" customWidth="1"/>
    <col min="5144" max="5144" width="3.140625" style="316" customWidth="1"/>
    <col min="5145" max="5145" width="5.7109375" style="316" customWidth="1"/>
    <col min="5146" max="5146" width="16.28515625" style="316" customWidth="1"/>
    <col min="5147" max="5147" width="14.140625" style="316" bestFit="1" customWidth="1"/>
    <col min="5148" max="5148" width="11.42578125" style="316" customWidth="1"/>
    <col min="5149" max="5149" width="14.85546875" style="316" customWidth="1"/>
    <col min="5150" max="5150" width="14" style="316" customWidth="1"/>
    <col min="5151" max="5151" width="5.5703125" style="316" customWidth="1"/>
    <col min="5152" max="5152" width="14.7109375" style="316" customWidth="1"/>
    <col min="5153" max="5153" width="13.85546875" style="316" customWidth="1"/>
    <col min="5154" max="5154" width="14.85546875" style="316" customWidth="1"/>
    <col min="5155" max="5155" width="16" style="316" customWidth="1"/>
    <col min="5156" max="5156" width="3.140625" style="316" customWidth="1"/>
    <col min="5157" max="5157" width="5.28515625" style="316" customWidth="1"/>
    <col min="5158" max="5158" width="16.42578125" style="316" customWidth="1"/>
    <col min="5159" max="5159" width="14.140625" style="316" bestFit="1" customWidth="1"/>
    <col min="5160" max="5160" width="8.7109375" style="316" customWidth="1"/>
    <col min="5161" max="5161" width="15.5703125" style="316" customWidth="1"/>
    <col min="5162" max="5162" width="14.28515625" style="316" customWidth="1"/>
    <col min="5163" max="5163" width="4.85546875" style="316" customWidth="1"/>
    <col min="5164" max="5164" width="13.85546875" style="316" customWidth="1"/>
    <col min="5165" max="5165" width="16.28515625" style="316" customWidth="1"/>
    <col min="5166" max="5166" width="14" style="316" customWidth="1"/>
    <col min="5167" max="5376" width="9.140625" style="316"/>
    <col min="5377" max="5377" width="3.140625" style="316" customWidth="1"/>
    <col min="5378" max="5378" width="16.5703125" style="316" customWidth="1"/>
    <col min="5379" max="5379" width="13.5703125" style="316" customWidth="1"/>
    <col min="5380" max="5380" width="6.85546875" style="316" customWidth="1"/>
    <col min="5381" max="5381" width="12.7109375" style="316" customWidth="1"/>
    <col min="5382" max="5382" width="15.28515625" style="316" customWidth="1"/>
    <col min="5383" max="5383" width="7.42578125" style="316" customWidth="1"/>
    <col min="5384" max="5384" width="17.42578125" style="316" customWidth="1"/>
    <col min="5385" max="5387" width="16" style="316" customWidth="1"/>
    <col min="5388" max="5388" width="3.140625" style="316" customWidth="1"/>
    <col min="5389" max="5389" width="4" style="316" customWidth="1"/>
    <col min="5390" max="5390" width="15.85546875" style="316" customWidth="1"/>
    <col min="5391" max="5391" width="14.140625" style="316" bestFit="1" customWidth="1"/>
    <col min="5392" max="5392" width="9.140625" style="316"/>
    <col min="5393" max="5393" width="15.85546875" style="316" customWidth="1"/>
    <col min="5394" max="5394" width="13.42578125" style="316" customWidth="1"/>
    <col min="5395" max="5395" width="6.140625" style="316" customWidth="1"/>
    <col min="5396" max="5396" width="15.85546875" style="316" customWidth="1"/>
    <col min="5397" max="5397" width="14.28515625" style="316" customWidth="1"/>
    <col min="5398" max="5398" width="15.42578125" style="316" customWidth="1"/>
    <col min="5399" max="5399" width="16" style="316" customWidth="1"/>
    <col min="5400" max="5400" width="3.140625" style="316" customWidth="1"/>
    <col min="5401" max="5401" width="5.7109375" style="316" customWidth="1"/>
    <col min="5402" max="5402" width="16.28515625" style="316" customWidth="1"/>
    <col min="5403" max="5403" width="14.140625" style="316" bestFit="1" customWidth="1"/>
    <col min="5404" max="5404" width="11.42578125" style="316" customWidth="1"/>
    <col min="5405" max="5405" width="14.85546875" style="316" customWidth="1"/>
    <col min="5406" max="5406" width="14" style="316" customWidth="1"/>
    <col min="5407" max="5407" width="5.5703125" style="316" customWidth="1"/>
    <col min="5408" max="5408" width="14.7109375" style="316" customWidth="1"/>
    <col min="5409" max="5409" width="13.85546875" style="316" customWidth="1"/>
    <col min="5410" max="5410" width="14.85546875" style="316" customWidth="1"/>
    <col min="5411" max="5411" width="16" style="316" customWidth="1"/>
    <col min="5412" max="5412" width="3.140625" style="316" customWidth="1"/>
    <col min="5413" max="5413" width="5.28515625" style="316" customWidth="1"/>
    <col min="5414" max="5414" width="16.42578125" style="316" customWidth="1"/>
    <col min="5415" max="5415" width="14.140625" style="316" bestFit="1" customWidth="1"/>
    <col min="5416" max="5416" width="8.7109375" style="316" customWidth="1"/>
    <col min="5417" max="5417" width="15.5703125" style="316" customWidth="1"/>
    <col min="5418" max="5418" width="14.28515625" style="316" customWidth="1"/>
    <col min="5419" max="5419" width="4.85546875" style="316" customWidth="1"/>
    <col min="5420" max="5420" width="13.85546875" style="316" customWidth="1"/>
    <col min="5421" max="5421" width="16.28515625" style="316" customWidth="1"/>
    <col min="5422" max="5422" width="14" style="316" customWidth="1"/>
    <col min="5423" max="5632" width="9.140625" style="316"/>
    <col min="5633" max="5633" width="3.140625" style="316" customWidth="1"/>
    <col min="5634" max="5634" width="16.5703125" style="316" customWidth="1"/>
    <col min="5635" max="5635" width="13.5703125" style="316" customWidth="1"/>
    <col min="5636" max="5636" width="6.85546875" style="316" customWidth="1"/>
    <col min="5637" max="5637" width="12.7109375" style="316" customWidth="1"/>
    <col min="5638" max="5638" width="15.28515625" style="316" customWidth="1"/>
    <col min="5639" max="5639" width="7.42578125" style="316" customWidth="1"/>
    <col min="5640" max="5640" width="17.42578125" style="316" customWidth="1"/>
    <col min="5641" max="5643" width="16" style="316" customWidth="1"/>
    <col min="5644" max="5644" width="3.140625" style="316" customWidth="1"/>
    <col min="5645" max="5645" width="4" style="316" customWidth="1"/>
    <col min="5646" max="5646" width="15.85546875" style="316" customWidth="1"/>
    <col min="5647" max="5647" width="14.140625" style="316" bestFit="1" customWidth="1"/>
    <col min="5648" max="5648" width="9.140625" style="316"/>
    <col min="5649" max="5649" width="15.85546875" style="316" customWidth="1"/>
    <col min="5650" max="5650" width="13.42578125" style="316" customWidth="1"/>
    <col min="5651" max="5651" width="6.140625" style="316" customWidth="1"/>
    <col min="5652" max="5652" width="15.85546875" style="316" customWidth="1"/>
    <col min="5653" max="5653" width="14.28515625" style="316" customWidth="1"/>
    <col min="5654" max="5654" width="15.42578125" style="316" customWidth="1"/>
    <col min="5655" max="5655" width="16" style="316" customWidth="1"/>
    <col min="5656" max="5656" width="3.140625" style="316" customWidth="1"/>
    <col min="5657" max="5657" width="5.7109375" style="316" customWidth="1"/>
    <col min="5658" max="5658" width="16.28515625" style="316" customWidth="1"/>
    <col min="5659" max="5659" width="14.140625" style="316" bestFit="1" customWidth="1"/>
    <col min="5660" max="5660" width="11.42578125" style="316" customWidth="1"/>
    <col min="5661" max="5661" width="14.85546875" style="316" customWidth="1"/>
    <col min="5662" max="5662" width="14" style="316" customWidth="1"/>
    <col min="5663" max="5663" width="5.5703125" style="316" customWidth="1"/>
    <col min="5664" max="5664" width="14.7109375" style="316" customWidth="1"/>
    <col min="5665" max="5665" width="13.85546875" style="316" customWidth="1"/>
    <col min="5666" max="5666" width="14.85546875" style="316" customWidth="1"/>
    <col min="5667" max="5667" width="16" style="316" customWidth="1"/>
    <col min="5668" max="5668" width="3.140625" style="316" customWidth="1"/>
    <col min="5669" max="5669" width="5.28515625" style="316" customWidth="1"/>
    <col min="5670" max="5670" width="16.42578125" style="316" customWidth="1"/>
    <col min="5671" max="5671" width="14.140625" style="316" bestFit="1" customWidth="1"/>
    <col min="5672" max="5672" width="8.7109375" style="316" customWidth="1"/>
    <col min="5673" max="5673" width="15.5703125" style="316" customWidth="1"/>
    <col min="5674" max="5674" width="14.28515625" style="316" customWidth="1"/>
    <col min="5675" max="5675" width="4.85546875" style="316" customWidth="1"/>
    <col min="5676" max="5676" width="13.85546875" style="316" customWidth="1"/>
    <col min="5677" max="5677" width="16.28515625" style="316" customWidth="1"/>
    <col min="5678" max="5678" width="14" style="316" customWidth="1"/>
    <col min="5679" max="5888" width="9.140625" style="316"/>
    <col min="5889" max="5889" width="3.140625" style="316" customWidth="1"/>
    <col min="5890" max="5890" width="16.5703125" style="316" customWidth="1"/>
    <col min="5891" max="5891" width="13.5703125" style="316" customWidth="1"/>
    <col min="5892" max="5892" width="6.85546875" style="316" customWidth="1"/>
    <col min="5893" max="5893" width="12.7109375" style="316" customWidth="1"/>
    <col min="5894" max="5894" width="15.28515625" style="316" customWidth="1"/>
    <col min="5895" max="5895" width="7.42578125" style="316" customWidth="1"/>
    <col min="5896" max="5896" width="17.42578125" style="316" customWidth="1"/>
    <col min="5897" max="5899" width="16" style="316" customWidth="1"/>
    <col min="5900" max="5900" width="3.140625" style="316" customWidth="1"/>
    <col min="5901" max="5901" width="4" style="316" customWidth="1"/>
    <col min="5902" max="5902" width="15.85546875" style="316" customWidth="1"/>
    <col min="5903" max="5903" width="14.140625" style="316" bestFit="1" customWidth="1"/>
    <col min="5904" max="5904" width="9.140625" style="316"/>
    <col min="5905" max="5905" width="15.85546875" style="316" customWidth="1"/>
    <col min="5906" max="5906" width="13.42578125" style="316" customWidth="1"/>
    <col min="5907" max="5907" width="6.140625" style="316" customWidth="1"/>
    <col min="5908" max="5908" width="15.85546875" style="316" customWidth="1"/>
    <col min="5909" max="5909" width="14.28515625" style="316" customWidth="1"/>
    <col min="5910" max="5910" width="15.42578125" style="316" customWidth="1"/>
    <col min="5911" max="5911" width="16" style="316" customWidth="1"/>
    <col min="5912" max="5912" width="3.140625" style="316" customWidth="1"/>
    <col min="5913" max="5913" width="5.7109375" style="316" customWidth="1"/>
    <col min="5914" max="5914" width="16.28515625" style="316" customWidth="1"/>
    <col min="5915" max="5915" width="14.140625" style="316" bestFit="1" customWidth="1"/>
    <col min="5916" max="5916" width="11.42578125" style="316" customWidth="1"/>
    <col min="5917" max="5917" width="14.85546875" style="316" customWidth="1"/>
    <col min="5918" max="5918" width="14" style="316" customWidth="1"/>
    <col min="5919" max="5919" width="5.5703125" style="316" customWidth="1"/>
    <col min="5920" max="5920" width="14.7109375" style="316" customWidth="1"/>
    <col min="5921" max="5921" width="13.85546875" style="316" customWidth="1"/>
    <col min="5922" max="5922" width="14.85546875" style="316" customWidth="1"/>
    <col min="5923" max="5923" width="16" style="316" customWidth="1"/>
    <col min="5924" max="5924" width="3.140625" style="316" customWidth="1"/>
    <col min="5925" max="5925" width="5.28515625" style="316" customWidth="1"/>
    <col min="5926" max="5926" width="16.42578125" style="316" customWidth="1"/>
    <col min="5927" max="5927" width="14.140625" style="316" bestFit="1" customWidth="1"/>
    <col min="5928" max="5928" width="8.7109375" style="316" customWidth="1"/>
    <col min="5929" max="5929" width="15.5703125" style="316" customWidth="1"/>
    <col min="5930" max="5930" width="14.28515625" style="316" customWidth="1"/>
    <col min="5931" max="5931" width="4.85546875" style="316" customWidth="1"/>
    <col min="5932" max="5932" width="13.85546875" style="316" customWidth="1"/>
    <col min="5933" max="5933" width="16.28515625" style="316" customWidth="1"/>
    <col min="5934" max="5934" width="14" style="316" customWidth="1"/>
    <col min="5935" max="6144" width="9.140625" style="316"/>
    <col min="6145" max="6145" width="3.140625" style="316" customWidth="1"/>
    <col min="6146" max="6146" width="16.5703125" style="316" customWidth="1"/>
    <col min="6147" max="6147" width="13.5703125" style="316" customWidth="1"/>
    <col min="6148" max="6148" width="6.85546875" style="316" customWidth="1"/>
    <col min="6149" max="6149" width="12.7109375" style="316" customWidth="1"/>
    <col min="6150" max="6150" width="15.28515625" style="316" customWidth="1"/>
    <col min="6151" max="6151" width="7.42578125" style="316" customWidth="1"/>
    <col min="6152" max="6152" width="17.42578125" style="316" customWidth="1"/>
    <col min="6153" max="6155" width="16" style="316" customWidth="1"/>
    <col min="6156" max="6156" width="3.140625" style="316" customWidth="1"/>
    <col min="6157" max="6157" width="4" style="316" customWidth="1"/>
    <col min="6158" max="6158" width="15.85546875" style="316" customWidth="1"/>
    <col min="6159" max="6159" width="14.140625" style="316" bestFit="1" customWidth="1"/>
    <col min="6160" max="6160" width="9.140625" style="316"/>
    <col min="6161" max="6161" width="15.85546875" style="316" customWidth="1"/>
    <col min="6162" max="6162" width="13.42578125" style="316" customWidth="1"/>
    <col min="6163" max="6163" width="6.140625" style="316" customWidth="1"/>
    <col min="6164" max="6164" width="15.85546875" style="316" customWidth="1"/>
    <col min="6165" max="6165" width="14.28515625" style="316" customWidth="1"/>
    <col min="6166" max="6166" width="15.42578125" style="316" customWidth="1"/>
    <col min="6167" max="6167" width="16" style="316" customWidth="1"/>
    <col min="6168" max="6168" width="3.140625" style="316" customWidth="1"/>
    <col min="6169" max="6169" width="5.7109375" style="316" customWidth="1"/>
    <col min="6170" max="6170" width="16.28515625" style="316" customWidth="1"/>
    <col min="6171" max="6171" width="14.140625" style="316" bestFit="1" customWidth="1"/>
    <col min="6172" max="6172" width="11.42578125" style="316" customWidth="1"/>
    <col min="6173" max="6173" width="14.85546875" style="316" customWidth="1"/>
    <col min="6174" max="6174" width="14" style="316" customWidth="1"/>
    <col min="6175" max="6175" width="5.5703125" style="316" customWidth="1"/>
    <col min="6176" max="6176" width="14.7109375" style="316" customWidth="1"/>
    <col min="6177" max="6177" width="13.85546875" style="316" customWidth="1"/>
    <col min="6178" max="6178" width="14.85546875" style="316" customWidth="1"/>
    <col min="6179" max="6179" width="16" style="316" customWidth="1"/>
    <col min="6180" max="6180" width="3.140625" style="316" customWidth="1"/>
    <col min="6181" max="6181" width="5.28515625" style="316" customWidth="1"/>
    <col min="6182" max="6182" width="16.42578125" style="316" customWidth="1"/>
    <col min="6183" max="6183" width="14.140625" style="316" bestFit="1" customWidth="1"/>
    <col min="6184" max="6184" width="8.7109375" style="316" customWidth="1"/>
    <col min="6185" max="6185" width="15.5703125" style="316" customWidth="1"/>
    <col min="6186" max="6186" width="14.28515625" style="316" customWidth="1"/>
    <col min="6187" max="6187" width="4.85546875" style="316" customWidth="1"/>
    <col min="6188" max="6188" width="13.85546875" style="316" customWidth="1"/>
    <col min="6189" max="6189" width="16.28515625" style="316" customWidth="1"/>
    <col min="6190" max="6190" width="14" style="316" customWidth="1"/>
    <col min="6191" max="6400" width="9.140625" style="316"/>
    <col min="6401" max="6401" width="3.140625" style="316" customWidth="1"/>
    <col min="6402" max="6402" width="16.5703125" style="316" customWidth="1"/>
    <col min="6403" max="6403" width="13.5703125" style="316" customWidth="1"/>
    <col min="6404" max="6404" width="6.85546875" style="316" customWidth="1"/>
    <col min="6405" max="6405" width="12.7109375" style="316" customWidth="1"/>
    <col min="6406" max="6406" width="15.28515625" style="316" customWidth="1"/>
    <col min="6407" max="6407" width="7.42578125" style="316" customWidth="1"/>
    <col min="6408" max="6408" width="17.42578125" style="316" customWidth="1"/>
    <col min="6409" max="6411" width="16" style="316" customWidth="1"/>
    <col min="6412" max="6412" width="3.140625" style="316" customWidth="1"/>
    <col min="6413" max="6413" width="4" style="316" customWidth="1"/>
    <col min="6414" max="6414" width="15.85546875" style="316" customWidth="1"/>
    <col min="6415" max="6415" width="14.140625" style="316" bestFit="1" customWidth="1"/>
    <col min="6416" max="6416" width="9.140625" style="316"/>
    <col min="6417" max="6417" width="15.85546875" style="316" customWidth="1"/>
    <col min="6418" max="6418" width="13.42578125" style="316" customWidth="1"/>
    <col min="6419" max="6419" width="6.140625" style="316" customWidth="1"/>
    <col min="6420" max="6420" width="15.85546875" style="316" customWidth="1"/>
    <col min="6421" max="6421" width="14.28515625" style="316" customWidth="1"/>
    <col min="6422" max="6422" width="15.42578125" style="316" customWidth="1"/>
    <col min="6423" max="6423" width="16" style="316" customWidth="1"/>
    <col min="6424" max="6424" width="3.140625" style="316" customWidth="1"/>
    <col min="6425" max="6425" width="5.7109375" style="316" customWidth="1"/>
    <col min="6426" max="6426" width="16.28515625" style="316" customWidth="1"/>
    <col min="6427" max="6427" width="14.140625" style="316" bestFit="1" customWidth="1"/>
    <col min="6428" max="6428" width="11.42578125" style="316" customWidth="1"/>
    <col min="6429" max="6429" width="14.85546875" style="316" customWidth="1"/>
    <col min="6430" max="6430" width="14" style="316" customWidth="1"/>
    <col min="6431" max="6431" width="5.5703125" style="316" customWidth="1"/>
    <col min="6432" max="6432" width="14.7109375" style="316" customWidth="1"/>
    <col min="6433" max="6433" width="13.85546875" style="316" customWidth="1"/>
    <col min="6434" max="6434" width="14.85546875" style="316" customWidth="1"/>
    <col min="6435" max="6435" width="16" style="316" customWidth="1"/>
    <col min="6436" max="6436" width="3.140625" style="316" customWidth="1"/>
    <col min="6437" max="6437" width="5.28515625" style="316" customWidth="1"/>
    <col min="6438" max="6438" width="16.42578125" style="316" customWidth="1"/>
    <col min="6439" max="6439" width="14.140625" style="316" bestFit="1" customWidth="1"/>
    <col min="6440" max="6440" width="8.7109375" style="316" customWidth="1"/>
    <col min="6441" max="6441" width="15.5703125" style="316" customWidth="1"/>
    <col min="6442" max="6442" width="14.28515625" style="316" customWidth="1"/>
    <col min="6443" max="6443" width="4.85546875" style="316" customWidth="1"/>
    <col min="6444" max="6444" width="13.85546875" style="316" customWidth="1"/>
    <col min="6445" max="6445" width="16.28515625" style="316" customWidth="1"/>
    <col min="6446" max="6446" width="14" style="316" customWidth="1"/>
    <col min="6447" max="6656" width="9.140625" style="316"/>
    <col min="6657" max="6657" width="3.140625" style="316" customWidth="1"/>
    <col min="6658" max="6658" width="16.5703125" style="316" customWidth="1"/>
    <col min="6659" max="6659" width="13.5703125" style="316" customWidth="1"/>
    <col min="6660" max="6660" width="6.85546875" style="316" customWidth="1"/>
    <col min="6661" max="6661" width="12.7109375" style="316" customWidth="1"/>
    <col min="6662" max="6662" width="15.28515625" style="316" customWidth="1"/>
    <col min="6663" max="6663" width="7.42578125" style="316" customWidth="1"/>
    <col min="6664" max="6664" width="17.42578125" style="316" customWidth="1"/>
    <col min="6665" max="6667" width="16" style="316" customWidth="1"/>
    <col min="6668" max="6668" width="3.140625" style="316" customWidth="1"/>
    <col min="6669" max="6669" width="4" style="316" customWidth="1"/>
    <col min="6670" max="6670" width="15.85546875" style="316" customWidth="1"/>
    <col min="6671" max="6671" width="14.140625" style="316" bestFit="1" customWidth="1"/>
    <col min="6672" max="6672" width="9.140625" style="316"/>
    <col min="6673" max="6673" width="15.85546875" style="316" customWidth="1"/>
    <col min="6674" max="6674" width="13.42578125" style="316" customWidth="1"/>
    <col min="6675" max="6675" width="6.140625" style="316" customWidth="1"/>
    <col min="6676" max="6676" width="15.85546875" style="316" customWidth="1"/>
    <col min="6677" max="6677" width="14.28515625" style="316" customWidth="1"/>
    <col min="6678" max="6678" width="15.42578125" style="316" customWidth="1"/>
    <col min="6679" max="6679" width="16" style="316" customWidth="1"/>
    <col min="6680" max="6680" width="3.140625" style="316" customWidth="1"/>
    <col min="6681" max="6681" width="5.7109375" style="316" customWidth="1"/>
    <col min="6682" max="6682" width="16.28515625" style="316" customWidth="1"/>
    <col min="6683" max="6683" width="14.140625" style="316" bestFit="1" customWidth="1"/>
    <col min="6684" max="6684" width="11.42578125" style="316" customWidth="1"/>
    <col min="6685" max="6685" width="14.85546875" style="316" customWidth="1"/>
    <col min="6686" max="6686" width="14" style="316" customWidth="1"/>
    <col min="6687" max="6687" width="5.5703125" style="316" customWidth="1"/>
    <col min="6688" max="6688" width="14.7109375" style="316" customWidth="1"/>
    <col min="6689" max="6689" width="13.85546875" style="316" customWidth="1"/>
    <col min="6690" max="6690" width="14.85546875" style="316" customWidth="1"/>
    <col min="6691" max="6691" width="16" style="316" customWidth="1"/>
    <col min="6692" max="6692" width="3.140625" style="316" customWidth="1"/>
    <col min="6693" max="6693" width="5.28515625" style="316" customWidth="1"/>
    <col min="6694" max="6694" width="16.42578125" style="316" customWidth="1"/>
    <col min="6695" max="6695" width="14.140625" style="316" bestFit="1" customWidth="1"/>
    <col min="6696" max="6696" width="8.7109375" style="316" customWidth="1"/>
    <col min="6697" max="6697" width="15.5703125" style="316" customWidth="1"/>
    <col min="6698" max="6698" width="14.28515625" style="316" customWidth="1"/>
    <col min="6699" max="6699" width="4.85546875" style="316" customWidth="1"/>
    <col min="6700" max="6700" width="13.85546875" style="316" customWidth="1"/>
    <col min="6701" max="6701" width="16.28515625" style="316" customWidth="1"/>
    <col min="6702" max="6702" width="14" style="316" customWidth="1"/>
    <col min="6703" max="6912" width="9.140625" style="316"/>
    <col min="6913" max="6913" width="3.140625" style="316" customWidth="1"/>
    <col min="6914" max="6914" width="16.5703125" style="316" customWidth="1"/>
    <col min="6915" max="6915" width="13.5703125" style="316" customWidth="1"/>
    <col min="6916" max="6916" width="6.85546875" style="316" customWidth="1"/>
    <col min="6917" max="6917" width="12.7109375" style="316" customWidth="1"/>
    <col min="6918" max="6918" width="15.28515625" style="316" customWidth="1"/>
    <col min="6919" max="6919" width="7.42578125" style="316" customWidth="1"/>
    <col min="6920" max="6920" width="17.42578125" style="316" customWidth="1"/>
    <col min="6921" max="6923" width="16" style="316" customWidth="1"/>
    <col min="6924" max="6924" width="3.140625" style="316" customWidth="1"/>
    <col min="6925" max="6925" width="4" style="316" customWidth="1"/>
    <col min="6926" max="6926" width="15.85546875" style="316" customWidth="1"/>
    <col min="6927" max="6927" width="14.140625" style="316" bestFit="1" customWidth="1"/>
    <col min="6928" max="6928" width="9.140625" style="316"/>
    <col min="6929" max="6929" width="15.85546875" style="316" customWidth="1"/>
    <col min="6930" max="6930" width="13.42578125" style="316" customWidth="1"/>
    <col min="6931" max="6931" width="6.140625" style="316" customWidth="1"/>
    <col min="6932" max="6932" width="15.85546875" style="316" customWidth="1"/>
    <col min="6933" max="6933" width="14.28515625" style="316" customWidth="1"/>
    <col min="6934" max="6934" width="15.42578125" style="316" customWidth="1"/>
    <col min="6935" max="6935" width="16" style="316" customWidth="1"/>
    <col min="6936" max="6936" width="3.140625" style="316" customWidth="1"/>
    <col min="6937" max="6937" width="5.7109375" style="316" customWidth="1"/>
    <col min="6938" max="6938" width="16.28515625" style="316" customWidth="1"/>
    <col min="6939" max="6939" width="14.140625" style="316" bestFit="1" customWidth="1"/>
    <col min="6940" max="6940" width="11.42578125" style="316" customWidth="1"/>
    <col min="6941" max="6941" width="14.85546875" style="316" customWidth="1"/>
    <col min="6942" max="6942" width="14" style="316" customWidth="1"/>
    <col min="6943" max="6943" width="5.5703125" style="316" customWidth="1"/>
    <col min="6944" max="6944" width="14.7109375" style="316" customWidth="1"/>
    <col min="6945" max="6945" width="13.85546875" style="316" customWidth="1"/>
    <col min="6946" max="6946" width="14.85546875" style="316" customWidth="1"/>
    <col min="6947" max="6947" width="16" style="316" customWidth="1"/>
    <col min="6948" max="6948" width="3.140625" style="316" customWidth="1"/>
    <col min="6949" max="6949" width="5.28515625" style="316" customWidth="1"/>
    <col min="6950" max="6950" width="16.42578125" style="316" customWidth="1"/>
    <col min="6951" max="6951" width="14.140625" style="316" bestFit="1" customWidth="1"/>
    <col min="6952" max="6952" width="8.7109375" style="316" customWidth="1"/>
    <col min="6953" max="6953" width="15.5703125" style="316" customWidth="1"/>
    <col min="6954" max="6954" width="14.28515625" style="316" customWidth="1"/>
    <col min="6955" max="6955" width="4.85546875" style="316" customWidth="1"/>
    <col min="6956" max="6956" width="13.85546875" style="316" customWidth="1"/>
    <col min="6957" max="6957" width="16.28515625" style="316" customWidth="1"/>
    <col min="6958" max="6958" width="14" style="316" customWidth="1"/>
    <col min="6959" max="7168" width="9.140625" style="316"/>
    <col min="7169" max="7169" width="3.140625" style="316" customWidth="1"/>
    <col min="7170" max="7170" width="16.5703125" style="316" customWidth="1"/>
    <col min="7171" max="7171" width="13.5703125" style="316" customWidth="1"/>
    <col min="7172" max="7172" width="6.85546875" style="316" customWidth="1"/>
    <col min="7173" max="7173" width="12.7109375" style="316" customWidth="1"/>
    <col min="7174" max="7174" width="15.28515625" style="316" customWidth="1"/>
    <col min="7175" max="7175" width="7.42578125" style="316" customWidth="1"/>
    <col min="7176" max="7176" width="17.42578125" style="316" customWidth="1"/>
    <col min="7177" max="7179" width="16" style="316" customWidth="1"/>
    <col min="7180" max="7180" width="3.140625" style="316" customWidth="1"/>
    <col min="7181" max="7181" width="4" style="316" customWidth="1"/>
    <col min="7182" max="7182" width="15.85546875" style="316" customWidth="1"/>
    <col min="7183" max="7183" width="14.140625" style="316" bestFit="1" customWidth="1"/>
    <col min="7184" max="7184" width="9.140625" style="316"/>
    <col min="7185" max="7185" width="15.85546875" style="316" customWidth="1"/>
    <col min="7186" max="7186" width="13.42578125" style="316" customWidth="1"/>
    <col min="7187" max="7187" width="6.140625" style="316" customWidth="1"/>
    <col min="7188" max="7188" width="15.85546875" style="316" customWidth="1"/>
    <col min="7189" max="7189" width="14.28515625" style="316" customWidth="1"/>
    <col min="7190" max="7190" width="15.42578125" style="316" customWidth="1"/>
    <col min="7191" max="7191" width="16" style="316" customWidth="1"/>
    <col min="7192" max="7192" width="3.140625" style="316" customWidth="1"/>
    <col min="7193" max="7193" width="5.7109375" style="316" customWidth="1"/>
    <col min="7194" max="7194" width="16.28515625" style="316" customWidth="1"/>
    <col min="7195" max="7195" width="14.140625" style="316" bestFit="1" customWidth="1"/>
    <col min="7196" max="7196" width="11.42578125" style="316" customWidth="1"/>
    <col min="7197" max="7197" width="14.85546875" style="316" customWidth="1"/>
    <col min="7198" max="7198" width="14" style="316" customWidth="1"/>
    <col min="7199" max="7199" width="5.5703125" style="316" customWidth="1"/>
    <col min="7200" max="7200" width="14.7109375" style="316" customWidth="1"/>
    <col min="7201" max="7201" width="13.85546875" style="316" customWidth="1"/>
    <col min="7202" max="7202" width="14.85546875" style="316" customWidth="1"/>
    <col min="7203" max="7203" width="16" style="316" customWidth="1"/>
    <col min="7204" max="7204" width="3.140625" style="316" customWidth="1"/>
    <col min="7205" max="7205" width="5.28515625" style="316" customWidth="1"/>
    <col min="7206" max="7206" width="16.42578125" style="316" customWidth="1"/>
    <col min="7207" max="7207" width="14.140625" style="316" bestFit="1" customWidth="1"/>
    <col min="7208" max="7208" width="8.7109375" style="316" customWidth="1"/>
    <col min="7209" max="7209" width="15.5703125" style="316" customWidth="1"/>
    <col min="7210" max="7210" width="14.28515625" style="316" customWidth="1"/>
    <col min="7211" max="7211" width="4.85546875" style="316" customWidth="1"/>
    <col min="7212" max="7212" width="13.85546875" style="316" customWidth="1"/>
    <col min="7213" max="7213" width="16.28515625" style="316" customWidth="1"/>
    <col min="7214" max="7214" width="14" style="316" customWidth="1"/>
    <col min="7215" max="7424" width="9.140625" style="316"/>
    <col min="7425" max="7425" width="3.140625" style="316" customWidth="1"/>
    <col min="7426" max="7426" width="16.5703125" style="316" customWidth="1"/>
    <col min="7427" max="7427" width="13.5703125" style="316" customWidth="1"/>
    <col min="7428" max="7428" width="6.85546875" style="316" customWidth="1"/>
    <col min="7429" max="7429" width="12.7109375" style="316" customWidth="1"/>
    <col min="7430" max="7430" width="15.28515625" style="316" customWidth="1"/>
    <col min="7431" max="7431" width="7.42578125" style="316" customWidth="1"/>
    <col min="7432" max="7432" width="17.42578125" style="316" customWidth="1"/>
    <col min="7433" max="7435" width="16" style="316" customWidth="1"/>
    <col min="7436" max="7436" width="3.140625" style="316" customWidth="1"/>
    <col min="7437" max="7437" width="4" style="316" customWidth="1"/>
    <col min="7438" max="7438" width="15.85546875" style="316" customWidth="1"/>
    <col min="7439" max="7439" width="14.140625" style="316" bestFit="1" customWidth="1"/>
    <col min="7440" max="7440" width="9.140625" style="316"/>
    <col min="7441" max="7441" width="15.85546875" style="316" customWidth="1"/>
    <col min="7442" max="7442" width="13.42578125" style="316" customWidth="1"/>
    <col min="7443" max="7443" width="6.140625" style="316" customWidth="1"/>
    <col min="7444" max="7444" width="15.85546875" style="316" customWidth="1"/>
    <col min="7445" max="7445" width="14.28515625" style="316" customWidth="1"/>
    <col min="7446" max="7446" width="15.42578125" style="316" customWidth="1"/>
    <col min="7447" max="7447" width="16" style="316" customWidth="1"/>
    <col min="7448" max="7448" width="3.140625" style="316" customWidth="1"/>
    <col min="7449" max="7449" width="5.7109375" style="316" customWidth="1"/>
    <col min="7450" max="7450" width="16.28515625" style="316" customWidth="1"/>
    <col min="7451" max="7451" width="14.140625" style="316" bestFit="1" customWidth="1"/>
    <col min="7452" max="7452" width="11.42578125" style="316" customWidth="1"/>
    <col min="7453" max="7453" width="14.85546875" style="316" customWidth="1"/>
    <col min="7454" max="7454" width="14" style="316" customWidth="1"/>
    <col min="7455" max="7455" width="5.5703125" style="316" customWidth="1"/>
    <col min="7456" max="7456" width="14.7109375" style="316" customWidth="1"/>
    <col min="7457" max="7457" width="13.85546875" style="316" customWidth="1"/>
    <col min="7458" max="7458" width="14.85546875" style="316" customWidth="1"/>
    <col min="7459" max="7459" width="16" style="316" customWidth="1"/>
    <col min="7460" max="7460" width="3.140625" style="316" customWidth="1"/>
    <col min="7461" max="7461" width="5.28515625" style="316" customWidth="1"/>
    <col min="7462" max="7462" width="16.42578125" style="316" customWidth="1"/>
    <col min="7463" max="7463" width="14.140625" style="316" bestFit="1" customWidth="1"/>
    <col min="7464" max="7464" width="8.7109375" style="316" customWidth="1"/>
    <col min="7465" max="7465" width="15.5703125" style="316" customWidth="1"/>
    <col min="7466" max="7466" width="14.28515625" style="316" customWidth="1"/>
    <col min="7467" max="7467" width="4.85546875" style="316" customWidth="1"/>
    <col min="7468" max="7468" width="13.85546875" style="316" customWidth="1"/>
    <col min="7469" max="7469" width="16.28515625" style="316" customWidth="1"/>
    <col min="7470" max="7470" width="14" style="316" customWidth="1"/>
    <col min="7471" max="7680" width="9.140625" style="316"/>
    <col min="7681" max="7681" width="3.140625" style="316" customWidth="1"/>
    <col min="7682" max="7682" width="16.5703125" style="316" customWidth="1"/>
    <col min="7683" max="7683" width="13.5703125" style="316" customWidth="1"/>
    <col min="7684" max="7684" width="6.85546875" style="316" customWidth="1"/>
    <col min="7685" max="7685" width="12.7109375" style="316" customWidth="1"/>
    <col min="7686" max="7686" width="15.28515625" style="316" customWidth="1"/>
    <col min="7687" max="7687" width="7.42578125" style="316" customWidth="1"/>
    <col min="7688" max="7688" width="17.42578125" style="316" customWidth="1"/>
    <col min="7689" max="7691" width="16" style="316" customWidth="1"/>
    <col min="7692" max="7692" width="3.140625" style="316" customWidth="1"/>
    <col min="7693" max="7693" width="4" style="316" customWidth="1"/>
    <col min="7694" max="7694" width="15.85546875" style="316" customWidth="1"/>
    <col min="7695" max="7695" width="14.140625" style="316" bestFit="1" customWidth="1"/>
    <col min="7696" max="7696" width="9.140625" style="316"/>
    <col min="7697" max="7697" width="15.85546875" style="316" customWidth="1"/>
    <col min="7698" max="7698" width="13.42578125" style="316" customWidth="1"/>
    <col min="7699" max="7699" width="6.140625" style="316" customWidth="1"/>
    <col min="7700" max="7700" width="15.85546875" style="316" customWidth="1"/>
    <col min="7701" max="7701" width="14.28515625" style="316" customWidth="1"/>
    <col min="7702" max="7702" width="15.42578125" style="316" customWidth="1"/>
    <col min="7703" max="7703" width="16" style="316" customWidth="1"/>
    <col min="7704" max="7704" width="3.140625" style="316" customWidth="1"/>
    <col min="7705" max="7705" width="5.7109375" style="316" customWidth="1"/>
    <col min="7706" max="7706" width="16.28515625" style="316" customWidth="1"/>
    <col min="7707" max="7707" width="14.140625" style="316" bestFit="1" customWidth="1"/>
    <col min="7708" max="7708" width="11.42578125" style="316" customWidth="1"/>
    <col min="7709" max="7709" width="14.85546875" style="316" customWidth="1"/>
    <col min="7710" max="7710" width="14" style="316" customWidth="1"/>
    <col min="7711" max="7711" width="5.5703125" style="316" customWidth="1"/>
    <col min="7712" max="7712" width="14.7109375" style="316" customWidth="1"/>
    <col min="7713" max="7713" width="13.85546875" style="316" customWidth="1"/>
    <col min="7714" max="7714" width="14.85546875" style="316" customWidth="1"/>
    <col min="7715" max="7715" width="16" style="316" customWidth="1"/>
    <col min="7716" max="7716" width="3.140625" style="316" customWidth="1"/>
    <col min="7717" max="7717" width="5.28515625" style="316" customWidth="1"/>
    <col min="7718" max="7718" width="16.42578125" style="316" customWidth="1"/>
    <col min="7719" max="7719" width="14.140625" style="316" bestFit="1" customWidth="1"/>
    <col min="7720" max="7720" width="8.7109375" style="316" customWidth="1"/>
    <col min="7721" max="7721" width="15.5703125" style="316" customWidth="1"/>
    <col min="7722" max="7722" width="14.28515625" style="316" customWidth="1"/>
    <col min="7723" max="7723" width="4.85546875" style="316" customWidth="1"/>
    <col min="7724" max="7724" width="13.85546875" style="316" customWidth="1"/>
    <col min="7725" max="7725" width="16.28515625" style="316" customWidth="1"/>
    <col min="7726" max="7726" width="14" style="316" customWidth="1"/>
    <col min="7727" max="7936" width="9.140625" style="316"/>
    <col min="7937" max="7937" width="3.140625" style="316" customWidth="1"/>
    <col min="7938" max="7938" width="16.5703125" style="316" customWidth="1"/>
    <col min="7939" max="7939" width="13.5703125" style="316" customWidth="1"/>
    <col min="7940" max="7940" width="6.85546875" style="316" customWidth="1"/>
    <col min="7941" max="7941" width="12.7109375" style="316" customWidth="1"/>
    <col min="7942" max="7942" width="15.28515625" style="316" customWidth="1"/>
    <col min="7943" max="7943" width="7.42578125" style="316" customWidth="1"/>
    <col min="7944" max="7944" width="17.42578125" style="316" customWidth="1"/>
    <col min="7945" max="7947" width="16" style="316" customWidth="1"/>
    <col min="7948" max="7948" width="3.140625" style="316" customWidth="1"/>
    <col min="7949" max="7949" width="4" style="316" customWidth="1"/>
    <col min="7950" max="7950" width="15.85546875" style="316" customWidth="1"/>
    <col min="7951" max="7951" width="14.140625" style="316" bestFit="1" customWidth="1"/>
    <col min="7952" max="7952" width="9.140625" style="316"/>
    <col min="7953" max="7953" width="15.85546875" style="316" customWidth="1"/>
    <col min="7954" max="7954" width="13.42578125" style="316" customWidth="1"/>
    <col min="7955" max="7955" width="6.140625" style="316" customWidth="1"/>
    <col min="7956" max="7956" width="15.85546875" style="316" customWidth="1"/>
    <col min="7957" max="7957" width="14.28515625" style="316" customWidth="1"/>
    <col min="7958" max="7958" width="15.42578125" style="316" customWidth="1"/>
    <col min="7959" max="7959" width="16" style="316" customWidth="1"/>
    <col min="7960" max="7960" width="3.140625" style="316" customWidth="1"/>
    <col min="7961" max="7961" width="5.7109375" style="316" customWidth="1"/>
    <col min="7962" max="7962" width="16.28515625" style="316" customWidth="1"/>
    <col min="7963" max="7963" width="14.140625" style="316" bestFit="1" customWidth="1"/>
    <col min="7964" max="7964" width="11.42578125" style="316" customWidth="1"/>
    <col min="7965" max="7965" width="14.85546875" style="316" customWidth="1"/>
    <col min="7966" max="7966" width="14" style="316" customWidth="1"/>
    <col min="7967" max="7967" width="5.5703125" style="316" customWidth="1"/>
    <col min="7968" max="7968" width="14.7109375" style="316" customWidth="1"/>
    <col min="7969" max="7969" width="13.85546875" style="316" customWidth="1"/>
    <col min="7970" max="7970" width="14.85546875" style="316" customWidth="1"/>
    <col min="7971" max="7971" width="16" style="316" customWidth="1"/>
    <col min="7972" max="7972" width="3.140625" style="316" customWidth="1"/>
    <col min="7973" max="7973" width="5.28515625" style="316" customWidth="1"/>
    <col min="7974" max="7974" width="16.42578125" style="316" customWidth="1"/>
    <col min="7975" max="7975" width="14.140625" style="316" bestFit="1" customWidth="1"/>
    <col min="7976" max="7976" width="8.7109375" style="316" customWidth="1"/>
    <col min="7977" max="7977" width="15.5703125" style="316" customWidth="1"/>
    <col min="7978" max="7978" width="14.28515625" style="316" customWidth="1"/>
    <col min="7979" max="7979" width="4.85546875" style="316" customWidth="1"/>
    <col min="7980" max="7980" width="13.85546875" style="316" customWidth="1"/>
    <col min="7981" max="7981" width="16.28515625" style="316" customWidth="1"/>
    <col min="7982" max="7982" width="14" style="316" customWidth="1"/>
    <col min="7983" max="8192" width="9.140625" style="316"/>
    <col min="8193" max="8193" width="3.140625" style="316" customWidth="1"/>
    <col min="8194" max="8194" width="16.5703125" style="316" customWidth="1"/>
    <col min="8195" max="8195" width="13.5703125" style="316" customWidth="1"/>
    <col min="8196" max="8196" width="6.85546875" style="316" customWidth="1"/>
    <col min="8197" max="8197" width="12.7109375" style="316" customWidth="1"/>
    <col min="8198" max="8198" width="15.28515625" style="316" customWidth="1"/>
    <col min="8199" max="8199" width="7.42578125" style="316" customWidth="1"/>
    <col min="8200" max="8200" width="17.42578125" style="316" customWidth="1"/>
    <col min="8201" max="8203" width="16" style="316" customWidth="1"/>
    <col min="8204" max="8204" width="3.140625" style="316" customWidth="1"/>
    <col min="8205" max="8205" width="4" style="316" customWidth="1"/>
    <col min="8206" max="8206" width="15.85546875" style="316" customWidth="1"/>
    <col min="8207" max="8207" width="14.140625" style="316" bestFit="1" customWidth="1"/>
    <col min="8208" max="8208" width="9.140625" style="316"/>
    <col min="8209" max="8209" width="15.85546875" style="316" customWidth="1"/>
    <col min="8210" max="8210" width="13.42578125" style="316" customWidth="1"/>
    <col min="8211" max="8211" width="6.140625" style="316" customWidth="1"/>
    <col min="8212" max="8212" width="15.85546875" style="316" customWidth="1"/>
    <col min="8213" max="8213" width="14.28515625" style="316" customWidth="1"/>
    <col min="8214" max="8214" width="15.42578125" style="316" customWidth="1"/>
    <col min="8215" max="8215" width="16" style="316" customWidth="1"/>
    <col min="8216" max="8216" width="3.140625" style="316" customWidth="1"/>
    <col min="8217" max="8217" width="5.7109375" style="316" customWidth="1"/>
    <col min="8218" max="8218" width="16.28515625" style="316" customWidth="1"/>
    <col min="8219" max="8219" width="14.140625" style="316" bestFit="1" customWidth="1"/>
    <col min="8220" max="8220" width="11.42578125" style="316" customWidth="1"/>
    <col min="8221" max="8221" width="14.85546875" style="316" customWidth="1"/>
    <col min="8222" max="8222" width="14" style="316" customWidth="1"/>
    <col min="8223" max="8223" width="5.5703125" style="316" customWidth="1"/>
    <col min="8224" max="8224" width="14.7109375" style="316" customWidth="1"/>
    <col min="8225" max="8225" width="13.85546875" style="316" customWidth="1"/>
    <col min="8226" max="8226" width="14.85546875" style="316" customWidth="1"/>
    <col min="8227" max="8227" width="16" style="316" customWidth="1"/>
    <col min="8228" max="8228" width="3.140625" style="316" customWidth="1"/>
    <col min="8229" max="8229" width="5.28515625" style="316" customWidth="1"/>
    <col min="8230" max="8230" width="16.42578125" style="316" customWidth="1"/>
    <col min="8231" max="8231" width="14.140625" style="316" bestFit="1" customWidth="1"/>
    <col min="8232" max="8232" width="8.7109375" style="316" customWidth="1"/>
    <col min="8233" max="8233" width="15.5703125" style="316" customWidth="1"/>
    <col min="8234" max="8234" width="14.28515625" style="316" customWidth="1"/>
    <col min="8235" max="8235" width="4.85546875" style="316" customWidth="1"/>
    <col min="8236" max="8236" width="13.85546875" style="316" customWidth="1"/>
    <col min="8237" max="8237" width="16.28515625" style="316" customWidth="1"/>
    <col min="8238" max="8238" width="14" style="316" customWidth="1"/>
    <col min="8239" max="8448" width="9.140625" style="316"/>
    <col min="8449" max="8449" width="3.140625" style="316" customWidth="1"/>
    <col min="8450" max="8450" width="16.5703125" style="316" customWidth="1"/>
    <col min="8451" max="8451" width="13.5703125" style="316" customWidth="1"/>
    <col min="8452" max="8452" width="6.85546875" style="316" customWidth="1"/>
    <col min="8453" max="8453" width="12.7109375" style="316" customWidth="1"/>
    <col min="8454" max="8454" width="15.28515625" style="316" customWidth="1"/>
    <col min="8455" max="8455" width="7.42578125" style="316" customWidth="1"/>
    <col min="8456" max="8456" width="17.42578125" style="316" customWidth="1"/>
    <col min="8457" max="8459" width="16" style="316" customWidth="1"/>
    <col min="8460" max="8460" width="3.140625" style="316" customWidth="1"/>
    <col min="8461" max="8461" width="4" style="316" customWidth="1"/>
    <col min="8462" max="8462" width="15.85546875" style="316" customWidth="1"/>
    <col min="8463" max="8463" width="14.140625" style="316" bestFit="1" customWidth="1"/>
    <col min="8464" max="8464" width="9.140625" style="316"/>
    <col min="8465" max="8465" width="15.85546875" style="316" customWidth="1"/>
    <col min="8466" max="8466" width="13.42578125" style="316" customWidth="1"/>
    <col min="8467" max="8467" width="6.140625" style="316" customWidth="1"/>
    <col min="8468" max="8468" width="15.85546875" style="316" customWidth="1"/>
    <col min="8469" max="8469" width="14.28515625" style="316" customWidth="1"/>
    <col min="8470" max="8470" width="15.42578125" style="316" customWidth="1"/>
    <col min="8471" max="8471" width="16" style="316" customWidth="1"/>
    <col min="8472" max="8472" width="3.140625" style="316" customWidth="1"/>
    <col min="8473" max="8473" width="5.7109375" style="316" customWidth="1"/>
    <col min="8474" max="8474" width="16.28515625" style="316" customWidth="1"/>
    <col min="8475" max="8475" width="14.140625" style="316" bestFit="1" customWidth="1"/>
    <col min="8476" max="8476" width="11.42578125" style="316" customWidth="1"/>
    <col min="8477" max="8477" width="14.85546875" style="316" customWidth="1"/>
    <col min="8478" max="8478" width="14" style="316" customWidth="1"/>
    <col min="8479" max="8479" width="5.5703125" style="316" customWidth="1"/>
    <col min="8480" max="8480" width="14.7109375" style="316" customWidth="1"/>
    <col min="8481" max="8481" width="13.85546875" style="316" customWidth="1"/>
    <col min="8482" max="8482" width="14.85546875" style="316" customWidth="1"/>
    <col min="8483" max="8483" width="16" style="316" customWidth="1"/>
    <col min="8484" max="8484" width="3.140625" style="316" customWidth="1"/>
    <col min="8485" max="8485" width="5.28515625" style="316" customWidth="1"/>
    <col min="8486" max="8486" width="16.42578125" style="316" customWidth="1"/>
    <col min="8487" max="8487" width="14.140625" style="316" bestFit="1" customWidth="1"/>
    <col min="8488" max="8488" width="8.7109375" style="316" customWidth="1"/>
    <col min="8489" max="8489" width="15.5703125" style="316" customWidth="1"/>
    <col min="8490" max="8490" width="14.28515625" style="316" customWidth="1"/>
    <col min="8491" max="8491" width="4.85546875" style="316" customWidth="1"/>
    <col min="8492" max="8492" width="13.85546875" style="316" customWidth="1"/>
    <col min="8493" max="8493" width="16.28515625" style="316" customWidth="1"/>
    <col min="8494" max="8494" width="14" style="316" customWidth="1"/>
    <col min="8495" max="8704" width="9.140625" style="316"/>
    <col min="8705" max="8705" width="3.140625" style="316" customWidth="1"/>
    <col min="8706" max="8706" width="16.5703125" style="316" customWidth="1"/>
    <col min="8707" max="8707" width="13.5703125" style="316" customWidth="1"/>
    <col min="8708" max="8708" width="6.85546875" style="316" customWidth="1"/>
    <col min="8709" max="8709" width="12.7109375" style="316" customWidth="1"/>
    <col min="8710" max="8710" width="15.28515625" style="316" customWidth="1"/>
    <col min="8711" max="8711" width="7.42578125" style="316" customWidth="1"/>
    <col min="8712" max="8712" width="17.42578125" style="316" customWidth="1"/>
    <col min="8713" max="8715" width="16" style="316" customWidth="1"/>
    <col min="8716" max="8716" width="3.140625" style="316" customWidth="1"/>
    <col min="8717" max="8717" width="4" style="316" customWidth="1"/>
    <col min="8718" max="8718" width="15.85546875" style="316" customWidth="1"/>
    <col min="8719" max="8719" width="14.140625" style="316" bestFit="1" customWidth="1"/>
    <col min="8720" max="8720" width="9.140625" style="316"/>
    <col min="8721" max="8721" width="15.85546875" style="316" customWidth="1"/>
    <col min="8722" max="8722" width="13.42578125" style="316" customWidth="1"/>
    <col min="8723" max="8723" width="6.140625" style="316" customWidth="1"/>
    <col min="8724" max="8724" width="15.85546875" style="316" customWidth="1"/>
    <col min="8725" max="8725" width="14.28515625" style="316" customWidth="1"/>
    <col min="8726" max="8726" width="15.42578125" style="316" customWidth="1"/>
    <col min="8727" max="8727" width="16" style="316" customWidth="1"/>
    <col min="8728" max="8728" width="3.140625" style="316" customWidth="1"/>
    <col min="8729" max="8729" width="5.7109375" style="316" customWidth="1"/>
    <col min="8730" max="8730" width="16.28515625" style="316" customWidth="1"/>
    <col min="8731" max="8731" width="14.140625" style="316" bestFit="1" customWidth="1"/>
    <col min="8732" max="8732" width="11.42578125" style="316" customWidth="1"/>
    <col min="8733" max="8733" width="14.85546875" style="316" customWidth="1"/>
    <col min="8734" max="8734" width="14" style="316" customWidth="1"/>
    <col min="8735" max="8735" width="5.5703125" style="316" customWidth="1"/>
    <col min="8736" max="8736" width="14.7109375" style="316" customWidth="1"/>
    <col min="8737" max="8737" width="13.85546875" style="316" customWidth="1"/>
    <col min="8738" max="8738" width="14.85546875" style="316" customWidth="1"/>
    <col min="8739" max="8739" width="16" style="316" customWidth="1"/>
    <col min="8740" max="8740" width="3.140625" style="316" customWidth="1"/>
    <col min="8741" max="8741" width="5.28515625" style="316" customWidth="1"/>
    <col min="8742" max="8742" width="16.42578125" style="316" customWidth="1"/>
    <col min="8743" max="8743" width="14.140625" style="316" bestFit="1" customWidth="1"/>
    <col min="8744" max="8744" width="8.7109375" style="316" customWidth="1"/>
    <col min="8745" max="8745" width="15.5703125" style="316" customWidth="1"/>
    <col min="8746" max="8746" width="14.28515625" style="316" customWidth="1"/>
    <col min="8747" max="8747" width="4.85546875" style="316" customWidth="1"/>
    <col min="8748" max="8748" width="13.85546875" style="316" customWidth="1"/>
    <col min="8749" max="8749" width="16.28515625" style="316" customWidth="1"/>
    <col min="8750" max="8750" width="14" style="316" customWidth="1"/>
    <col min="8751" max="8960" width="9.140625" style="316"/>
    <col min="8961" max="8961" width="3.140625" style="316" customWidth="1"/>
    <col min="8962" max="8962" width="16.5703125" style="316" customWidth="1"/>
    <col min="8963" max="8963" width="13.5703125" style="316" customWidth="1"/>
    <col min="8964" max="8964" width="6.85546875" style="316" customWidth="1"/>
    <col min="8965" max="8965" width="12.7109375" style="316" customWidth="1"/>
    <col min="8966" max="8966" width="15.28515625" style="316" customWidth="1"/>
    <col min="8967" max="8967" width="7.42578125" style="316" customWidth="1"/>
    <col min="8968" max="8968" width="17.42578125" style="316" customWidth="1"/>
    <col min="8969" max="8971" width="16" style="316" customWidth="1"/>
    <col min="8972" max="8972" width="3.140625" style="316" customWidth="1"/>
    <col min="8973" max="8973" width="4" style="316" customWidth="1"/>
    <col min="8974" max="8974" width="15.85546875" style="316" customWidth="1"/>
    <col min="8975" max="8975" width="14.140625" style="316" bestFit="1" customWidth="1"/>
    <col min="8976" max="8976" width="9.140625" style="316"/>
    <col min="8977" max="8977" width="15.85546875" style="316" customWidth="1"/>
    <col min="8978" max="8978" width="13.42578125" style="316" customWidth="1"/>
    <col min="8979" max="8979" width="6.140625" style="316" customWidth="1"/>
    <col min="8980" max="8980" width="15.85546875" style="316" customWidth="1"/>
    <col min="8981" max="8981" width="14.28515625" style="316" customWidth="1"/>
    <col min="8982" max="8982" width="15.42578125" style="316" customWidth="1"/>
    <col min="8983" max="8983" width="16" style="316" customWidth="1"/>
    <col min="8984" max="8984" width="3.140625" style="316" customWidth="1"/>
    <col min="8985" max="8985" width="5.7109375" style="316" customWidth="1"/>
    <col min="8986" max="8986" width="16.28515625" style="316" customWidth="1"/>
    <col min="8987" max="8987" width="14.140625" style="316" bestFit="1" customWidth="1"/>
    <col min="8988" max="8988" width="11.42578125" style="316" customWidth="1"/>
    <col min="8989" max="8989" width="14.85546875" style="316" customWidth="1"/>
    <col min="8990" max="8990" width="14" style="316" customWidth="1"/>
    <col min="8991" max="8991" width="5.5703125" style="316" customWidth="1"/>
    <col min="8992" max="8992" width="14.7109375" style="316" customWidth="1"/>
    <col min="8993" max="8993" width="13.85546875" style="316" customWidth="1"/>
    <col min="8994" max="8994" width="14.85546875" style="316" customWidth="1"/>
    <col min="8995" max="8995" width="16" style="316" customWidth="1"/>
    <col min="8996" max="8996" width="3.140625" style="316" customWidth="1"/>
    <col min="8997" max="8997" width="5.28515625" style="316" customWidth="1"/>
    <col min="8998" max="8998" width="16.42578125" style="316" customWidth="1"/>
    <col min="8999" max="8999" width="14.140625" style="316" bestFit="1" customWidth="1"/>
    <col min="9000" max="9000" width="8.7109375" style="316" customWidth="1"/>
    <col min="9001" max="9001" width="15.5703125" style="316" customWidth="1"/>
    <col min="9002" max="9002" width="14.28515625" style="316" customWidth="1"/>
    <col min="9003" max="9003" width="4.85546875" style="316" customWidth="1"/>
    <col min="9004" max="9004" width="13.85546875" style="316" customWidth="1"/>
    <col min="9005" max="9005" width="16.28515625" style="316" customWidth="1"/>
    <col min="9006" max="9006" width="14" style="316" customWidth="1"/>
    <col min="9007" max="9216" width="9.140625" style="316"/>
    <col min="9217" max="9217" width="3.140625" style="316" customWidth="1"/>
    <col min="9218" max="9218" width="16.5703125" style="316" customWidth="1"/>
    <col min="9219" max="9219" width="13.5703125" style="316" customWidth="1"/>
    <col min="9220" max="9220" width="6.85546875" style="316" customWidth="1"/>
    <col min="9221" max="9221" width="12.7109375" style="316" customWidth="1"/>
    <col min="9222" max="9222" width="15.28515625" style="316" customWidth="1"/>
    <col min="9223" max="9223" width="7.42578125" style="316" customWidth="1"/>
    <col min="9224" max="9224" width="17.42578125" style="316" customWidth="1"/>
    <col min="9225" max="9227" width="16" style="316" customWidth="1"/>
    <col min="9228" max="9228" width="3.140625" style="316" customWidth="1"/>
    <col min="9229" max="9229" width="4" style="316" customWidth="1"/>
    <col min="9230" max="9230" width="15.85546875" style="316" customWidth="1"/>
    <col min="9231" max="9231" width="14.140625" style="316" bestFit="1" customWidth="1"/>
    <col min="9232" max="9232" width="9.140625" style="316"/>
    <col min="9233" max="9233" width="15.85546875" style="316" customWidth="1"/>
    <col min="9234" max="9234" width="13.42578125" style="316" customWidth="1"/>
    <col min="9235" max="9235" width="6.140625" style="316" customWidth="1"/>
    <col min="9236" max="9236" width="15.85546875" style="316" customWidth="1"/>
    <col min="9237" max="9237" width="14.28515625" style="316" customWidth="1"/>
    <col min="9238" max="9238" width="15.42578125" style="316" customWidth="1"/>
    <col min="9239" max="9239" width="16" style="316" customWidth="1"/>
    <col min="9240" max="9240" width="3.140625" style="316" customWidth="1"/>
    <col min="9241" max="9241" width="5.7109375" style="316" customWidth="1"/>
    <col min="9242" max="9242" width="16.28515625" style="316" customWidth="1"/>
    <col min="9243" max="9243" width="14.140625" style="316" bestFit="1" customWidth="1"/>
    <col min="9244" max="9244" width="11.42578125" style="316" customWidth="1"/>
    <col min="9245" max="9245" width="14.85546875" style="316" customWidth="1"/>
    <col min="9246" max="9246" width="14" style="316" customWidth="1"/>
    <col min="9247" max="9247" width="5.5703125" style="316" customWidth="1"/>
    <col min="9248" max="9248" width="14.7109375" style="316" customWidth="1"/>
    <col min="9249" max="9249" width="13.85546875" style="316" customWidth="1"/>
    <col min="9250" max="9250" width="14.85546875" style="316" customWidth="1"/>
    <col min="9251" max="9251" width="16" style="316" customWidth="1"/>
    <col min="9252" max="9252" width="3.140625" style="316" customWidth="1"/>
    <col min="9253" max="9253" width="5.28515625" style="316" customWidth="1"/>
    <col min="9254" max="9254" width="16.42578125" style="316" customWidth="1"/>
    <col min="9255" max="9255" width="14.140625" style="316" bestFit="1" customWidth="1"/>
    <col min="9256" max="9256" width="8.7109375" style="316" customWidth="1"/>
    <col min="9257" max="9257" width="15.5703125" style="316" customWidth="1"/>
    <col min="9258" max="9258" width="14.28515625" style="316" customWidth="1"/>
    <col min="9259" max="9259" width="4.85546875" style="316" customWidth="1"/>
    <col min="9260" max="9260" width="13.85546875" style="316" customWidth="1"/>
    <col min="9261" max="9261" width="16.28515625" style="316" customWidth="1"/>
    <col min="9262" max="9262" width="14" style="316" customWidth="1"/>
    <col min="9263" max="9472" width="9.140625" style="316"/>
    <col min="9473" max="9473" width="3.140625" style="316" customWidth="1"/>
    <col min="9474" max="9474" width="16.5703125" style="316" customWidth="1"/>
    <col min="9475" max="9475" width="13.5703125" style="316" customWidth="1"/>
    <col min="9476" max="9476" width="6.85546875" style="316" customWidth="1"/>
    <col min="9477" max="9477" width="12.7109375" style="316" customWidth="1"/>
    <col min="9478" max="9478" width="15.28515625" style="316" customWidth="1"/>
    <col min="9479" max="9479" width="7.42578125" style="316" customWidth="1"/>
    <col min="9480" max="9480" width="17.42578125" style="316" customWidth="1"/>
    <col min="9481" max="9483" width="16" style="316" customWidth="1"/>
    <col min="9484" max="9484" width="3.140625" style="316" customWidth="1"/>
    <col min="9485" max="9485" width="4" style="316" customWidth="1"/>
    <col min="9486" max="9486" width="15.85546875" style="316" customWidth="1"/>
    <col min="9487" max="9487" width="14.140625" style="316" bestFit="1" customWidth="1"/>
    <col min="9488" max="9488" width="9.140625" style="316"/>
    <col min="9489" max="9489" width="15.85546875" style="316" customWidth="1"/>
    <col min="9490" max="9490" width="13.42578125" style="316" customWidth="1"/>
    <col min="9491" max="9491" width="6.140625" style="316" customWidth="1"/>
    <col min="9492" max="9492" width="15.85546875" style="316" customWidth="1"/>
    <col min="9493" max="9493" width="14.28515625" style="316" customWidth="1"/>
    <col min="9494" max="9494" width="15.42578125" style="316" customWidth="1"/>
    <col min="9495" max="9495" width="16" style="316" customWidth="1"/>
    <col min="9496" max="9496" width="3.140625" style="316" customWidth="1"/>
    <col min="9497" max="9497" width="5.7109375" style="316" customWidth="1"/>
    <col min="9498" max="9498" width="16.28515625" style="316" customWidth="1"/>
    <col min="9499" max="9499" width="14.140625" style="316" bestFit="1" customWidth="1"/>
    <col min="9500" max="9500" width="11.42578125" style="316" customWidth="1"/>
    <col min="9501" max="9501" width="14.85546875" style="316" customWidth="1"/>
    <col min="9502" max="9502" width="14" style="316" customWidth="1"/>
    <col min="9503" max="9503" width="5.5703125" style="316" customWidth="1"/>
    <col min="9504" max="9504" width="14.7109375" style="316" customWidth="1"/>
    <col min="9505" max="9505" width="13.85546875" style="316" customWidth="1"/>
    <col min="9506" max="9506" width="14.85546875" style="316" customWidth="1"/>
    <col min="9507" max="9507" width="16" style="316" customWidth="1"/>
    <col min="9508" max="9508" width="3.140625" style="316" customWidth="1"/>
    <col min="9509" max="9509" width="5.28515625" style="316" customWidth="1"/>
    <col min="9510" max="9510" width="16.42578125" style="316" customWidth="1"/>
    <col min="9511" max="9511" width="14.140625" style="316" bestFit="1" customWidth="1"/>
    <col min="9512" max="9512" width="8.7109375" style="316" customWidth="1"/>
    <col min="9513" max="9513" width="15.5703125" style="316" customWidth="1"/>
    <col min="9514" max="9514" width="14.28515625" style="316" customWidth="1"/>
    <col min="9515" max="9515" width="4.85546875" style="316" customWidth="1"/>
    <col min="9516" max="9516" width="13.85546875" style="316" customWidth="1"/>
    <col min="9517" max="9517" width="16.28515625" style="316" customWidth="1"/>
    <col min="9518" max="9518" width="14" style="316" customWidth="1"/>
    <col min="9519" max="9728" width="9.140625" style="316"/>
    <col min="9729" max="9729" width="3.140625" style="316" customWidth="1"/>
    <col min="9730" max="9730" width="16.5703125" style="316" customWidth="1"/>
    <col min="9731" max="9731" width="13.5703125" style="316" customWidth="1"/>
    <col min="9732" max="9732" width="6.85546875" style="316" customWidth="1"/>
    <col min="9733" max="9733" width="12.7109375" style="316" customWidth="1"/>
    <col min="9734" max="9734" width="15.28515625" style="316" customWidth="1"/>
    <col min="9735" max="9735" width="7.42578125" style="316" customWidth="1"/>
    <col min="9736" max="9736" width="17.42578125" style="316" customWidth="1"/>
    <col min="9737" max="9739" width="16" style="316" customWidth="1"/>
    <col min="9740" max="9740" width="3.140625" style="316" customWidth="1"/>
    <col min="9741" max="9741" width="4" style="316" customWidth="1"/>
    <col min="9742" max="9742" width="15.85546875" style="316" customWidth="1"/>
    <col min="9743" max="9743" width="14.140625" style="316" bestFit="1" customWidth="1"/>
    <col min="9744" max="9744" width="9.140625" style="316"/>
    <col min="9745" max="9745" width="15.85546875" style="316" customWidth="1"/>
    <col min="9746" max="9746" width="13.42578125" style="316" customWidth="1"/>
    <col min="9747" max="9747" width="6.140625" style="316" customWidth="1"/>
    <col min="9748" max="9748" width="15.85546875" style="316" customWidth="1"/>
    <col min="9749" max="9749" width="14.28515625" style="316" customWidth="1"/>
    <col min="9750" max="9750" width="15.42578125" style="316" customWidth="1"/>
    <col min="9751" max="9751" width="16" style="316" customWidth="1"/>
    <col min="9752" max="9752" width="3.140625" style="316" customWidth="1"/>
    <col min="9753" max="9753" width="5.7109375" style="316" customWidth="1"/>
    <col min="9754" max="9754" width="16.28515625" style="316" customWidth="1"/>
    <col min="9755" max="9755" width="14.140625" style="316" bestFit="1" customWidth="1"/>
    <col min="9756" max="9756" width="11.42578125" style="316" customWidth="1"/>
    <col min="9757" max="9757" width="14.85546875" style="316" customWidth="1"/>
    <col min="9758" max="9758" width="14" style="316" customWidth="1"/>
    <col min="9759" max="9759" width="5.5703125" style="316" customWidth="1"/>
    <col min="9760" max="9760" width="14.7109375" style="316" customWidth="1"/>
    <col min="9761" max="9761" width="13.85546875" style="316" customWidth="1"/>
    <col min="9762" max="9762" width="14.85546875" style="316" customWidth="1"/>
    <col min="9763" max="9763" width="16" style="316" customWidth="1"/>
    <col min="9764" max="9764" width="3.140625" style="316" customWidth="1"/>
    <col min="9765" max="9765" width="5.28515625" style="316" customWidth="1"/>
    <col min="9766" max="9766" width="16.42578125" style="316" customWidth="1"/>
    <col min="9767" max="9767" width="14.140625" style="316" bestFit="1" customWidth="1"/>
    <col min="9768" max="9768" width="8.7109375" style="316" customWidth="1"/>
    <col min="9769" max="9769" width="15.5703125" style="316" customWidth="1"/>
    <col min="9770" max="9770" width="14.28515625" style="316" customWidth="1"/>
    <col min="9771" max="9771" width="4.85546875" style="316" customWidth="1"/>
    <col min="9772" max="9772" width="13.85546875" style="316" customWidth="1"/>
    <col min="9773" max="9773" width="16.28515625" style="316" customWidth="1"/>
    <col min="9774" max="9774" width="14" style="316" customWidth="1"/>
    <col min="9775" max="9984" width="9.140625" style="316"/>
    <col min="9985" max="9985" width="3.140625" style="316" customWidth="1"/>
    <col min="9986" max="9986" width="16.5703125" style="316" customWidth="1"/>
    <col min="9987" max="9987" width="13.5703125" style="316" customWidth="1"/>
    <col min="9988" max="9988" width="6.85546875" style="316" customWidth="1"/>
    <col min="9989" max="9989" width="12.7109375" style="316" customWidth="1"/>
    <col min="9990" max="9990" width="15.28515625" style="316" customWidth="1"/>
    <col min="9991" max="9991" width="7.42578125" style="316" customWidth="1"/>
    <col min="9992" max="9992" width="17.42578125" style="316" customWidth="1"/>
    <col min="9993" max="9995" width="16" style="316" customWidth="1"/>
    <col min="9996" max="9996" width="3.140625" style="316" customWidth="1"/>
    <col min="9997" max="9997" width="4" style="316" customWidth="1"/>
    <col min="9998" max="9998" width="15.85546875" style="316" customWidth="1"/>
    <col min="9999" max="9999" width="14.140625" style="316" bestFit="1" customWidth="1"/>
    <col min="10000" max="10000" width="9.140625" style="316"/>
    <col min="10001" max="10001" width="15.85546875" style="316" customWidth="1"/>
    <col min="10002" max="10002" width="13.42578125" style="316" customWidth="1"/>
    <col min="10003" max="10003" width="6.140625" style="316" customWidth="1"/>
    <col min="10004" max="10004" width="15.85546875" style="316" customWidth="1"/>
    <col min="10005" max="10005" width="14.28515625" style="316" customWidth="1"/>
    <col min="10006" max="10006" width="15.42578125" style="316" customWidth="1"/>
    <col min="10007" max="10007" width="16" style="316" customWidth="1"/>
    <col min="10008" max="10008" width="3.140625" style="316" customWidth="1"/>
    <col min="10009" max="10009" width="5.7109375" style="316" customWidth="1"/>
    <col min="10010" max="10010" width="16.28515625" style="316" customWidth="1"/>
    <col min="10011" max="10011" width="14.140625" style="316" bestFit="1" customWidth="1"/>
    <col min="10012" max="10012" width="11.42578125" style="316" customWidth="1"/>
    <col min="10013" max="10013" width="14.85546875" style="316" customWidth="1"/>
    <col min="10014" max="10014" width="14" style="316" customWidth="1"/>
    <col min="10015" max="10015" width="5.5703125" style="316" customWidth="1"/>
    <col min="10016" max="10016" width="14.7109375" style="316" customWidth="1"/>
    <col min="10017" max="10017" width="13.85546875" style="316" customWidth="1"/>
    <col min="10018" max="10018" width="14.85546875" style="316" customWidth="1"/>
    <col min="10019" max="10019" width="16" style="316" customWidth="1"/>
    <col min="10020" max="10020" width="3.140625" style="316" customWidth="1"/>
    <col min="10021" max="10021" width="5.28515625" style="316" customWidth="1"/>
    <col min="10022" max="10022" width="16.42578125" style="316" customWidth="1"/>
    <col min="10023" max="10023" width="14.140625" style="316" bestFit="1" customWidth="1"/>
    <col min="10024" max="10024" width="8.7109375" style="316" customWidth="1"/>
    <col min="10025" max="10025" width="15.5703125" style="316" customWidth="1"/>
    <col min="10026" max="10026" width="14.28515625" style="316" customWidth="1"/>
    <col min="10027" max="10027" width="4.85546875" style="316" customWidth="1"/>
    <col min="10028" max="10028" width="13.85546875" style="316" customWidth="1"/>
    <col min="10029" max="10029" width="16.28515625" style="316" customWidth="1"/>
    <col min="10030" max="10030" width="14" style="316" customWidth="1"/>
    <col min="10031" max="10240" width="9.140625" style="316"/>
    <col min="10241" max="10241" width="3.140625" style="316" customWidth="1"/>
    <col min="10242" max="10242" width="16.5703125" style="316" customWidth="1"/>
    <col min="10243" max="10243" width="13.5703125" style="316" customWidth="1"/>
    <col min="10244" max="10244" width="6.85546875" style="316" customWidth="1"/>
    <col min="10245" max="10245" width="12.7109375" style="316" customWidth="1"/>
    <col min="10246" max="10246" width="15.28515625" style="316" customWidth="1"/>
    <col min="10247" max="10247" width="7.42578125" style="316" customWidth="1"/>
    <col min="10248" max="10248" width="17.42578125" style="316" customWidth="1"/>
    <col min="10249" max="10251" width="16" style="316" customWidth="1"/>
    <col min="10252" max="10252" width="3.140625" style="316" customWidth="1"/>
    <col min="10253" max="10253" width="4" style="316" customWidth="1"/>
    <col min="10254" max="10254" width="15.85546875" style="316" customWidth="1"/>
    <col min="10255" max="10255" width="14.140625" style="316" bestFit="1" customWidth="1"/>
    <col min="10256" max="10256" width="9.140625" style="316"/>
    <col min="10257" max="10257" width="15.85546875" style="316" customWidth="1"/>
    <col min="10258" max="10258" width="13.42578125" style="316" customWidth="1"/>
    <col min="10259" max="10259" width="6.140625" style="316" customWidth="1"/>
    <col min="10260" max="10260" width="15.85546875" style="316" customWidth="1"/>
    <col min="10261" max="10261" width="14.28515625" style="316" customWidth="1"/>
    <col min="10262" max="10262" width="15.42578125" style="316" customWidth="1"/>
    <col min="10263" max="10263" width="16" style="316" customWidth="1"/>
    <col min="10264" max="10264" width="3.140625" style="316" customWidth="1"/>
    <col min="10265" max="10265" width="5.7109375" style="316" customWidth="1"/>
    <col min="10266" max="10266" width="16.28515625" style="316" customWidth="1"/>
    <col min="10267" max="10267" width="14.140625" style="316" bestFit="1" customWidth="1"/>
    <col min="10268" max="10268" width="11.42578125" style="316" customWidth="1"/>
    <col min="10269" max="10269" width="14.85546875" style="316" customWidth="1"/>
    <col min="10270" max="10270" width="14" style="316" customWidth="1"/>
    <col min="10271" max="10271" width="5.5703125" style="316" customWidth="1"/>
    <col min="10272" max="10272" width="14.7109375" style="316" customWidth="1"/>
    <col min="10273" max="10273" width="13.85546875" style="316" customWidth="1"/>
    <col min="10274" max="10274" width="14.85546875" style="316" customWidth="1"/>
    <col min="10275" max="10275" width="16" style="316" customWidth="1"/>
    <col min="10276" max="10276" width="3.140625" style="316" customWidth="1"/>
    <col min="10277" max="10277" width="5.28515625" style="316" customWidth="1"/>
    <col min="10278" max="10278" width="16.42578125" style="316" customWidth="1"/>
    <col min="10279" max="10279" width="14.140625" style="316" bestFit="1" customWidth="1"/>
    <col min="10280" max="10280" width="8.7109375" style="316" customWidth="1"/>
    <col min="10281" max="10281" width="15.5703125" style="316" customWidth="1"/>
    <col min="10282" max="10282" width="14.28515625" style="316" customWidth="1"/>
    <col min="10283" max="10283" width="4.85546875" style="316" customWidth="1"/>
    <col min="10284" max="10284" width="13.85546875" style="316" customWidth="1"/>
    <col min="10285" max="10285" width="16.28515625" style="316" customWidth="1"/>
    <col min="10286" max="10286" width="14" style="316" customWidth="1"/>
    <col min="10287" max="10496" width="9.140625" style="316"/>
    <col min="10497" max="10497" width="3.140625" style="316" customWidth="1"/>
    <col min="10498" max="10498" width="16.5703125" style="316" customWidth="1"/>
    <col min="10499" max="10499" width="13.5703125" style="316" customWidth="1"/>
    <col min="10500" max="10500" width="6.85546875" style="316" customWidth="1"/>
    <col min="10501" max="10501" width="12.7109375" style="316" customWidth="1"/>
    <col min="10502" max="10502" width="15.28515625" style="316" customWidth="1"/>
    <col min="10503" max="10503" width="7.42578125" style="316" customWidth="1"/>
    <col min="10504" max="10504" width="17.42578125" style="316" customWidth="1"/>
    <col min="10505" max="10507" width="16" style="316" customWidth="1"/>
    <col min="10508" max="10508" width="3.140625" style="316" customWidth="1"/>
    <col min="10509" max="10509" width="4" style="316" customWidth="1"/>
    <col min="10510" max="10510" width="15.85546875" style="316" customWidth="1"/>
    <col min="10511" max="10511" width="14.140625" style="316" bestFit="1" customWidth="1"/>
    <col min="10512" max="10512" width="9.140625" style="316"/>
    <col min="10513" max="10513" width="15.85546875" style="316" customWidth="1"/>
    <col min="10514" max="10514" width="13.42578125" style="316" customWidth="1"/>
    <col min="10515" max="10515" width="6.140625" style="316" customWidth="1"/>
    <col min="10516" max="10516" width="15.85546875" style="316" customWidth="1"/>
    <col min="10517" max="10517" width="14.28515625" style="316" customWidth="1"/>
    <col min="10518" max="10518" width="15.42578125" style="316" customWidth="1"/>
    <col min="10519" max="10519" width="16" style="316" customWidth="1"/>
    <col min="10520" max="10520" width="3.140625" style="316" customWidth="1"/>
    <col min="10521" max="10521" width="5.7109375" style="316" customWidth="1"/>
    <col min="10522" max="10522" width="16.28515625" style="316" customWidth="1"/>
    <col min="10523" max="10523" width="14.140625" style="316" bestFit="1" customWidth="1"/>
    <col min="10524" max="10524" width="11.42578125" style="316" customWidth="1"/>
    <col min="10525" max="10525" width="14.85546875" style="316" customWidth="1"/>
    <col min="10526" max="10526" width="14" style="316" customWidth="1"/>
    <col min="10527" max="10527" width="5.5703125" style="316" customWidth="1"/>
    <col min="10528" max="10528" width="14.7109375" style="316" customWidth="1"/>
    <col min="10529" max="10529" width="13.85546875" style="316" customWidth="1"/>
    <col min="10530" max="10530" width="14.85546875" style="316" customWidth="1"/>
    <col min="10531" max="10531" width="16" style="316" customWidth="1"/>
    <col min="10532" max="10532" width="3.140625" style="316" customWidth="1"/>
    <col min="10533" max="10533" width="5.28515625" style="316" customWidth="1"/>
    <col min="10534" max="10534" width="16.42578125" style="316" customWidth="1"/>
    <col min="10535" max="10535" width="14.140625" style="316" bestFit="1" customWidth="1"/>
    <col min="10536" max="10536" width="8.7109375" style="316" customWidth="1"/>
    <col min="10537" max="10537" width="15.5703125" style="316" customWidth="1"/>
    <col min="10538" max="10538" width="14.28515625" style="316" customWidth="1"/>
    <col min="10539" max="10539" width="4.85546875" style="316" customWidth="1"/>
    <col min="10540" max="10540" width="13.85546875" style="316" customWidth="1"/>
    <col min="10541" max="10541" width="16.28515625" style="316" customWidth="1"/>
    <col min="10542" max="10542" width="14" style="316" customWidth="1"/>
    <col min="10543" max="10752" width="9.140625" style="316"/>
    <col min="10753" max="10753" width="3.140625" style="316" customWidth="1"/>
    <col min="10754" max="10754" width="16.5703125" style="316" customWidth="1"/>
    <col min="10755" max="10755" width="13.5703125" style="316" customWidth="1"/>
    <col min="10756" max="10756" width="6.85546875" style="316" customWidth="1"/>
    <col min="10757" max="10757" width="12.7109375" style="316" customWidth="1"/>
    <col min="10758" max="10758" width="15.28515625" style="316" customWidth="1"/>
    <col min="10759" max="10759" width="7.42578125" style="316" customWidth="1"/>
    <col min="10760" max="10760" width="17.42578125" style="316" customWidth="1"/>
    <col min="10761" max="10763" width="16" style="316" customWidth="1"/>
    <col min="10764" max="10764" width="3.140625" style="316" customWidth="1"/>
    <col min="10765" max="10765" width="4" style="316" customWidth="1"/>
    <col min="10766" max="10766" width="15.85546875" style="316" customWidth="1"/>
    <col min="10767" max="10767" width="14.140625" style="316" bestFit="1" customWidth="1"/>
    <col min="10768" max="10768" width="9.140625" style="316"/>
    <col min="10769" max="10769" width="15.85546875" style="316" customWidth="1"/>
    <col min="10770" max="10770" width="13.42578125" style="316" customWidth="1"/>
    <col min="10771" max="10771" width="6.140625" style="316" customWidth="1"/>
    <col min="10772" max="10772" width="15.85546875" style="316" customWidth="1"/>
    <col min="10773" max="10773" width="14.28515625" style="316" customWidth="1"/>
    <col min="10774" max="10774" width="15.42578125" style="316" customWidth="1"/>
    <col min="10775" max="10775" width="16" style="316" customWidth="1"/>
    <col min="10776" max="10776" width="3.140625" style="316" customWidth="1"/>
    <col min="10777" max="10777" width="5.7109375" style="316" customWidth="1"/>
    <col min="10778" max="10778" width="16.28515625" style="316" customWidth="1"/>
    <col min="10779" max="10779" width="14.140625" style="316" bestFit="1" customWidth="1"/>
    <col min="10780" max="10780" width="11.42578125" style="316" customWidth="1"/>
    <col min="10781" max="10781" width="14.85546875" style="316" customWidth="1"/>
    <col min="10782" max="10782" width="14" style="316" customWidth="1"/>
    <col min="10783" max="10783" width="5.5703125" style="316" customWidth="1"/>
    <col min="10784" max="10784" width="14.7109375" style="316" customWidth="1"/>
    <col min="10785" max="10785" width="13.85546875" style="316" customWidth="1"/>
    <col min="10786" max="10786" width="14.85546875" style="316" customWidth="1"/>
    <col min="10787" max="10787" width="16" style="316" customWidth="1"/>
    <col min="10788" max="10788" width="3.140625" style="316" customWidth="1"/>
    <col min="10789" max="10789" width="5.28515625" style="316" customWidth="1"/>
    <col min="10790" max="10790" width="16.42578125" style="316" customWidth="1"/>
    <col min="10791" max="10791" width="14.140625" style="316" bestFit="1" customWidth="1"/>
    <col min="10792" max="10792" width="8.7109375" style="316" customWidth="1"/>
    <col min="10793" max="10793" width="15.5703125" style="316" customWidth="1"/>
    <col min="10794" max="10794" width="14.28515625" style="316" customWidth="1"/>
    <col min="10795" max="10795" width="4.85546875" style="316" customWidth="1"/>
    <col min="10796" max="10796" width="13.85546875" style="316" customWidth="1"/>
    <col min="10797" max="10797" width="16.28515625" style="316" customWidth="1"/>
    <col min="10798" max="10798" width="14" style="316" customWidth="1"/>
    <col min="10799" max="11008" width="9.140625" style="316"/>
    <col min="11009" max="11009" width="3.140625" style="316" customWidth="1"/>
    <col min="11010" max="11010" width="16.5703125" style="316" customWidth="1"/>
    <col min="11011" max="11011" width="13.5703125" style="316" customWidth="1"/>
    <col min="11012" max="11012" width="6.85546875" style="316" customWidth="1"/>
    <col min="11013" max="11013" width="12.7109375" style="316" customWidth="1"/>
    <col min="11014" max="11014" width="15.28515625" style="316" customWidth="1"/>
    <col min="11015" max="11015" width="7.42578125" style="316" customWidth="1"/>
    <col min="11016" max="11016" width="17.42578125" style="316" customWidth="1"/>
    <col min="11017" max="11019" width="16" style="316" customWidth="1"/>
    <col min="11020" max="11020" width="3.140625" style="316" customWidth="1"/>
    <col min="11021" max="11021" width="4" style="316" customWidth="1"/>
    <col min="11022" max="11022" width="15.85546875" style="316" customWidth="1"/>
    <col min="11023" max="11023" width="14.140625" style="316" bestFit="1" customWidth="1"/>
    <col min="11024" max="11024" width="9.140625" style="316"/>
    <col min="11025" max="11025" width="15.85546875" style="316" customWidth="1"/>
    <col min="11026" max="11026" width="13.42578125" style="316" customWidth="1"/>
    <col min="11027" max="11027" width="6.140625" style="316" customWidth="1"/>
    <col min="11028" max="11028" width="15.85546875" style="316" customWidth="1"/>
    <col min="11029" max="11029" width="14.28515625" style="316" customWidth="1"/>
    <col min="11030" max="11030" width="15.42578125" style="316" customWidth="1"/>
    <col min="11031" max="11031" width="16" style="316" customWidth="1"/>
    <col min="11032" max="11032" width="3.140625" style="316" customWidth="1"/>
    <col min="11033" max="11033" width="5.7109375" style="316" customWidth="1"/>
    <col min="11034" max="11034" width="16.28515625" style="316" customWidth="1"/>
    <col min="11035" max="11035" width="14.140625" style="316" bestFit="1" customWidth="1"/>
    <col min="11036" max="11036" width="11.42578125" style="316" customWidth="1"/>
    <col min="11037" max="11037" width="14.85546875" style="316" customWidth="1"/>
    <col min="11038" max="11038" width="14" style="316" customWidth="1"/>
    <col min="11039" max="11039" width="5.5703125" style="316" customWidth="1"/>
    <col min="11040" max="11040" width="14.7109375" style="316" customWidth="1"/>
    <col min="11041" max="11041" width="13.85546875" style="316" customWidth="1"/>
    <col min="11042" max="11042" width="14.85546875" style="316" customWidth="1"/>
    <col min="11043" max="11043" width="16" style="316" customWidth="1"/>
    <col min="11044" max="11044" width="3.140625" style="316" customWidth="1"/>
    <col min="11045" max="11045" width="5.28515625" style="316" customWidth="1"/>
    <col min="11046" max="11046" width="16.42578125" style="316" customWidth="1"/>
    <col min="11047" max="11047" width="14.140625" style="316" bestFit="1" customWidth="1"/>
    <col min="11048" max="11048" width="8.7109375" style="316" customWidth="1"/>
    <col min="11049" max="11049" width="15.5703125" style="316" customWidth="1"/>
    <col min="11050" max="11050" width="14.28515625" style="316" customWidth="1"/>
    <col min="11051" max="11051" width="4.85546875" style="316" customWidth="1"/>
    <col min="11052" max="11052" width="13.85546875" style="316" customWidth="1"/>
    <col min="11053" max="11053" width="16.28515625" style="316" customWidth="1"/>
    <col min="11054" max="11054" width="14" style="316" customWidth="1"/>
    <col min="11055" max="11264" width="9.140625" style="316"/>
    <col min="11265" max="11265" width="3.140625" style="316" customWidth="1"/>
    <col min="11266" max="11266" width="16.5703125" style="316" customWidth="1"/>
    <col min="11267" max="11267" width="13.5703125" style="316" customWidth="1"/>
    <col min="11268" max="11268" width="6.85546875" style="316" customWidth="1"/>
    <col min="11269" max="11269" width="12.7109375" style="316" customWidth="1"/>
    <col min="11270" max="11270" width="15.28515625" style="316" customWidth="1"/>
    <col min="11271" max="11271" width="7.42578125" style="316" customWidth="1"/>
    <col min="11272" max="11272" width="17.42578125" style="316" customWidth="1"/>
    <col min="11273" max="11275" width="16" style="316" customWidth="1"/>
    <col min="11276" max="11276" width="3.140625" style="316" customWidth="1"/>
    <col min="11277" max="11277" width="4" style="316" customWidth="1"/>
    <col min="11278" max="11278" width="15.85546875" style="316" customWidth="1"/>
    <col min="11279" max="11279" width="14.140625" style="316" bestFit="1" customWidth="1"/>
    <col min="11280" max="11280" width="9.140625" style="316"/>
    <col min="11281" max="11281" width="15.85546875" style="316" customWidth="1"/>
    <col min="11282" max="11282" width="13.42578125" style="316" customWidth="1"/>
    <col min="11283" max="11283" width="6.140625" style="316" customWidth="1"/>
    <col min="11284" max="11284" width="15.85546875" style="316" customWidth="1"/>
    <col min="11285" max="11285" width="14.28515625" style="316" customWidth="1"/>
    <col min="11286" max="11286" width="15.42578125" style="316" customWidth="1"/>
    <col min="11287" max="11287" width="16" style="316" customWidth="1"/>
    <col min="11288" max="11288" width="3.140625" style="316" customWidth="1"/>
    <col min="11289" max="11289" width="5.7109375" style="316" customWidth="1"/>
    <col min="11290" max="11290" width="16.28515625" style="316" customWidth="1"/>
    <col min="11291" max="11291" width="14.140625" style="316" bestFit="1" customWidth="1"/>
    <col min="11292" max="11292" width="11.42578125" style="316" customWidth="1"/>
    <col min="11293" max="11293" width="14.85546875" style="316" customWidth="1"/>
    <col min="11294" max="11294" width="14" style="316" customWidth="1"/>
    <col min="11295" max="11295" width="5.5703125" style="316" customWidth="1"/>
    <col min="11296" max="11296" width="14.7109375" style="316" customWidth="1"/>
    <col min="11297" max="11297" width="13.85546875" style="316" customWidth="1"/>
    <col min="11298" max="11298" width="14.85546875" style="316" customWidth="1"/>
    <col min="11299" max="11299" width="16" style="316" customWidth="1"/>
    <col min="11300" max="11300" width="3.140625" style="316" customWidth="1"/>
    <col min="11301" max="11301" width="5.28515625" style="316" customWidth="1"/>
    <col min="11302" max="11302" width="16.42578125" style="316" customWidth="1"/>
    <col min="11303" max="11303" width="14.140625" style="316" bestFit="1" customWidth="1"/>
    <col min="11304" max="11304" width="8.7109375" style="316" customWidth="1"/>
    <col min="11305" max="11305" width="15.5703125" style="316" customWidth="1"/>
    <col min="11306" max="11306" width="14.28515625" style="316" customWidth="1"/>
    <col min="11307" max="11307" width="4.85546875" style="316" customWidth="1"/>
    <col min="11308" max="11308" width="13.85546875" style="316" customWidth="1"/>
    <col min="11309" max="11309" width="16.28515625" style="316" customWidth="1"/>
    <col min="11310" max="11310" width="14" style="316" customWidth="1"/>
    <col min="11311" max="11520" width="9.140625" style="316"/>
    <col min="11521" max="11521" width="3.140625" style="316" customWidth="1"/>
    <col min="11522" max="11522" width="16.5703125" style="316" customWidth="1"/>
    <col min="11523" max="11523" width="13.5703125" style="316" customWidth="1"/>
    <col min="11524" max="11524" width="6.85546875" style="316" customWidth="1"/>
    <col min="11525" max="11525" width="12.7109375" style="316" customWidth="1"/>
    <col min="11526" max="11526" width="15.28515625" style="316" customWidth="1"/>
    <col min="11527" max="11527" width="7.42578125" style="316" customWidth="1"/>
    <col min="11528" max="11528" width="17.42578125" style="316" customWidth="1"/>
    <col min="11529" max="11531" width="16" style="316" customWidth="1"/>
    <col min="11532" max="11532" width="3.140625" style="316" customWidth="1"/>
    <col min="11533" max="11533" width="4" style="316" customWidth="1"/>
    <col min="11534" max="11534" width="15.85546875" style="316" customWidth="1"/>
    <col min="11535" max="11535" width="14.140625" style="316" bestFit="1" customWidth="1"/>
    <col min="11536" max="11536" width="9.140625" style="316"/>
    <col min="11537" max="11537" width="15.85546875" style="316" customWidth="1"/>
    <col min="11538" max="11538" width="13.42578125" style="316" customWidth="1"/>
    <col min="11539" max="11539" width="6.140625" style="316" customWidth="1"/>
    <col min="11540" max="11540" width="15.85546875" style="316" customWidth="1"/>
    <col min="11541" max="11541" width="14.28515625" style="316" customWidth="1"/>
    <col min="11542" max="11542" width="15.42578125" style="316" customWidth="1"/>
    <col min="11543" max="11543" width="16" style="316" customWidth="1"/>
    <col min="11544" max="11544" width="3.140625" style="316" customWidth="1"/>
    <col min="11545" max="11545" width="5.7109375" style="316" customWidth="1"/>
    <col min="11546" max="11546" width="16.28515625" style="316" customWidth="1"/>
    <col min="11547" max="11547" width="14.140625" style="316" bestFit="1" customWidth="1"/>
    <col min="11548" max="11548" width="11.42578125" style="316" customWidth="1"/>
    <col min="11549" max="11549" width="14.85546875" style="316" customWidth="1"/>
    <col min="11550" max="11550" width="14" style="316" customWidth="1"/>
    <col min="11551" max="11551" width="5.5703125" style="316" customWidth="1"/>
    <col min="11552" max="11552" width="14.7109375" style="316" customWidth="1"/>
    <col min="11553" max="11553" width="13.85546875" style="316" customWidth="1"/>
    <col min="11554" max="11554" width="14.85546875" style="316" customWidth="1"/>
    <col min="11555" max="11555" width="16" style="316" customWidth="1"/>
    <col min="11556" max="11556" width="3.140625" style="316" customWidth="1"/>
    <col min="11557" max="11557" width="5.28515625" style="316" customWidth="1"/>
    <col min="11558" max="11558" width="16.42578125" style="316" customWidth="1"/>
    <col min="11559" max="11559" width="14.140625" style="316" bestFit="1" customWidth="1"/>
    <col min="11560" max="11560" width="8.7109375" style="316" customWidth="1"/>
    <col min="11561" max="11561" width="15.5703125" style="316" customWidth="1"/>
    <col min="11562" max="11562" width="14.28515625" style="316" customWidth="1"/>
    <col min="11563" max="11563" width="4.85546875" style="316" customWidth="1"/>
    <col min="11564" max="11564" width="13.85546875" style="316" customWidth="1"/>
    <col min="11565" max="11565" width="16.28515625" style="316" customWidth="1"/>
    <col min="11566" max="11566" width="14" style="316" customWidth="1"/>
    <col min="11567" max="11776" width="9.140625" style="316"/>
    <col min="11777" max="11777" width="3.140625" style="316" customWidth="1"/>
    <col min="11778" max="11778" width="16.5703125" style="316" customWidth="1"/>
    <col min="11779" max="11779" width="13.5703125" style="316" customWidth="1"/>
    <col min="11780" max="11780" width="6.85546875" style="316" customWidth="1"/>
    <col min="11781" max="11781" width="12.7109375" style="316" customWidth="1"/>
    <col min="11782" max="11782" width="15.28515625" style="316" customWidth="1"/>
    <col min="11783" max="11783" width="7.42578125" style="316" customWidth="1"/>
    <col min="11784" max="11784" width="17.42578125" style="316" customWidth="1"/>
    <col min="11785" max="11787" width="16" style="316" customWidth="1"/>
    <col min="11788" max="11788" width="3.140625" style="316" customWidth="1"/>
    <col min="11789" max="11789" width="4" style="316" customWidth="1"/>
    <col min="11790" max="11790" width="15.85546875" style="316" customWidth="1"/>
    <col min="11791" max="11791" width="14.140625" style="316" bestFit="1" customWidth="1"/>
    <col min="11792" max="11792" width="9.140625" style="316"/>
    <col min="11793" max="11793" width="15.85546875" style="316" customWidth="1"/>
    <col min="11794" max="11794" width="13.42578125" style="316" customWidth="1"/>
    <col min="11795" max="11795" width="6.140625" style="316" customWidth="1"/>
    <col min="11796" max="11796" width="15.85546875" style="316" customWidth="1"/>
    <col min="11797" max="11797" width="14.28515625" style="316" customWidth="1"/>
    <col min="11798" max="11798" width="15.42578125" style="316" customWidth="1"/>
    <col min="11799" max="11799" width="16" style="316" customWidth="1"/>
    <col min="11800" max="11800" width="3.140625" style="316" customWidth="1"/>
    <col min="11801" max="11801" width="5.7109375" style="316" customWidth="1"/>
    <col min="11802" max="11802" width="16.28515625" style="316" customWidth="1"/>
    <col min="11803" max="11803" width="14.140625" style="316" bestFit="1" customWidth="1"/>
    <col min="11804" max="11804" width="11.42578125" style="316" customWidth="1"/>
    <col min="11805" max="11805" width="14.85546875" style="316" customWidth="1"/>
    <col min="11806" max="11806" width="14" style="316" customWidth="1"/>
    <col min="11807" max="11807" width="5.5703125" style="316" customWidth="1"/>
    <col min="11808" max="11808" width="14.7109375" style="316" customWidth="1"/>
    <col min="11809" max="11809" width="13.85546875" style="316" customWidth="1"/>
    <col min="11810" max="11810" width="14.85546875" style="316" customWidth="1"/>
    <col min="11811" max="11811" width="16" style="316" customWidth="1"/>
    <col min="11812" max="11812" width="3.140625" style="316" customWidth="1"/>
    <col min="11813" max="11813" width="5.28515625" style="316" customWidth="1"/>
    <col min="11814" max="11814" width="16.42578125" style="316" customWidth="1"/>
    <col min="11815" max="11815" width="14.140625" style="316" bestFit="1" customWidth="1"/>
    <col min="11816" max="11816" width="8.7109375" style="316" customWidth="1"/>
    <col min="11817" max="11817" width="15.5703125" style="316" customWidth="1"/>
    <col min="11818" max="11818" width="14.28515625" style="316" customWidth="1"/>
    <col min="11819" max="11819" width="4.85546875" style="316" customWidth="1"/>
    <col min="11820" max="11820" width="13.85546875" style="316" customWidth="1"/>
    <col min="11821" max="11821" width="16.28515625" style="316" customWidth="1"/>
    <col min="11822" max="11822" width="14" style="316" customWidth="1"/>
    <col min="11823" max="12032" width="9.140625" style="316"/>
    <col min="12033" max="12033" width="3.140625" style="316" customWidth="1"/>
    <col min="12034" max="12034" width="16.5703125" style="316" customWidth="1"/>
    <col min="12035" max="12035" width="13.5703125" style="316" customWidth="1"/>
    <col min="12036" max="12036" width="6.85546875" style="316" customWidth="1"/>
    <col min="12037" max="12037" width="12.7109375" style="316" customWidth="1"/>
    <col min="12038" max="12038" width="15.28515625" style="316" customWidth="1"/>
    <col min="12039" max="12039" width="7.42578125" style="316" customWidth="1"/>
    <col min="12040" max="12040" width="17.42578125" style="316" customWidth="1"/>
    <col min="12041" max="12043" width="16" style="316" customWidth="1"/>
    <col min="12044" max="12044" width="3.140625" style="316" customWidth="1"/>
    <col min="12045" max="12045" width="4" style="316" customWidth="1"/>
    <col min="12046" max="12046" width="15.85546875" style="316" customWidth="1"/>
    <col min="12047" max="12047" width="14.140625" style="316" bestFit="1" customWidth="1"/>
    <col min="12048" max="12048" width="9.140625" style="316"/>
    <col min="12049" max="12049" width="15.85546875" style="316" customWidth="1"/>
    <col min="12050" max="12050" width="13.42578125" style="316" customWidth="1"/>
    <col min="12051" max="12051" width="6.140625" style="316" customWidth="1"/>
    <col min="12052" max="12052" width="15.85546875" style="316" customWidth="1"/>
    <col min="12053" max="12053" width="14.28515625" style="316" customWidth="1"/>
    <col min="12054" max="12054" width="15.42578125" style="316" customWidth="1"/>
    <col min="12055" max="12055" width="16" style="316" customWidth="1"/>
    <col min="12056" max="12056" width="3.140625" style="316" customWidth="1"/>
    <col min="12057" max="12057" width="5.7109375" style="316" customWidth="1"/>
    <col min="12058" max="12058" width="16.28515625" style="316" customWidth="1"/>
    <col min="12059" max="12059" width="14.140625" style="316" bestFit="1" customWidth="1"/>
    <col min="12060" max="12060" width="11.42578125" style="316" customWidth="1"/>
    <col min="12061" max="12061" width="14.85546875" style="316" customWidth="1"/>
    <col min="12062" max="12062" width="14" style="316" customWidth="1"/>
    <col min="12063" max="12063" width="5.5703125" style="316" customWidth="1"/>
    <col min="12064" max="12064" width="14.7109375" style="316" customWidth="1"/>
    <col min="12065" max="12065" width="13.85546875" style="316" customWidth="1"/>
    <col min="12066" max="12066" width="14.85546875" style="316" customWidth="1"/>
    <col min="12067" max="12067" width="16" style="316" customWidth="1"/>
    <col min="12068" max="12068" width="3.140625" style="316" customWidth="1"/>
    <col min="12069" max="12069" width="5.28515625" style="316" customWidth="1"/>
    <col min="12070" max="12070" width="16.42578125" style="316" customWidth="1"/>
    <col min="12071" max="12071" width="14.140625" style="316" bestFit="1" customWidth="1"/>
    <col min="12072" max="12072" width="8.7109375" style="316" customWidth="1"/>
    <col min="12073" max="12073" width="15.5703125" style="316" customWidth="1"/>
    <col min="12074" max="12074" width="14.28515625" style="316" customWidth="1"/>
    <col min="12075" max="12075" width="4.85546875" style="316" customWidth="1"/>
    <col min="12076" max="12076" width="13.85546875" style="316" customWidth="1"/>
    <col min="12077" max="12077" width="16.28515625" style="316" customWidth="1"/>
    <col min="12078" max="12078" width="14" style="316" customWidth="1"/>
    <col min="12079" max="12288" width="9.140625" style="316"/>
    <col min="12289" max="12289" width="3.140625" style="316" customWidth="1"/>
    <col min="12290" max="12290" width="16.5703125" style="316" customWidth="1"/>
    <col min="12291" max="12291" width="13.5703125" style="316" customWidth="1"/>
    <col min="12292" max="12292" width="6.85546875" style="316" customWidth="1"/>
    <col min="12293" max="12293" width="12.7109375" style="316" customWidth="1"/>
    <col min="12294" max="12294" width="15.28515625" style="316" customWidth="1"/>
    <col min="12295" max="12295" width="7.42578125" style="316" customWidth="1"/>
    <col min="12296" max="12296" width="17.42578125" style="316" customWidth="1"/>
    <col min="12297" max="12299" width="16" style="316" customWidth="1"/>
    <col min="12300" max="12300" width="3.140625" style="316" customWidth="1"/>
    <col min="12301" max="12301" width="4" style="316" customWidth="1"/>
    <col min="12302" max="12302" width="15.85546875" style="316" customWidth="1"/>
    <col min="12303" max="12303" width="14.140625" style="316" bestFit="1" customWidth="1"/>
    <col min="12304" max="12304" width="9.140625" style="316"/>
    <col min="12305" max="12305" width="15.85546875" style="316" customWidth="1"/>
    <col min="12306" max="12306" width="13.42578125" style="316" customWidth="1"/>
    <col min="12307" max="12307" width="6.140625" style="316" customWidth="1"/>
    <col min="12308" max="12308" width="15.85546875" style="316" customWidth="1"/>
    <col min="12309" max="12309" width="14.28515625" style="316" customWidth="1"/>
    <col min="12310" max="12310" width="15.42578125" style="316" customWidth="1"/>
    <col min="12311" max="12311" width="16" style="316" customWidth="1"/>
    <col min="12312" max="12312" width="3.140625" style="316" customWidth="1"/>
    <col min="12313" max="12313" width="5.7109375" style="316" customWidth="1"/>
    <col min="12314" max="12314" width="16.28515625" style="316" customWidth="1"/>
    <col min="12315" max="12315" width="14.140625" style="316" bestFit="1" customWidth="1"/>
    <col min="12316" max="12316" width="11.42578125" style="316" customWidth="1"/>
    <col min="12317" max="12317" width="14.85546875" style="316" customWidth="1"/>
    <col min="12318" max="12318" width="14" style="316" customWidth="1"/>
    <col min="12319" max="12319" width="5.5703125" style="316" customWidth="1"/>
    <col min="12320" max="12320" width="14.7109375" style="316" customWidth="1"/>
    <col min="12321" max="12321" width="13.85546875" style="316" customWidth="1"/>
    <col min="12322" max="12322" width="14.85546875" style="316" customWidth="1"/>
    <col min="12323" max="12323" width="16" style="316" customWidth="1"/>
    <col min="12324" max="12324" width="3.140625" style="316" customWidth="1"/>
    <col min="12325" max="12325" width="5.28515625" style="316" customWidth="1"/>
    <col min="12326" max="12326" width="16.42578125" style="316" customWidth="1"/>
    <col min="12327" max="12327" width="14.140625" style="316" bestFit="1" customWidth="1"/>
    <col min="12328" max="12328" width="8.7109375" style="316" customWidth="1"/>
    <col min="12329" max="12329" width="15.5703125" style="316" customWidth="1"/>
    <col min="12330" max="12330" width="14.28515625" style="316" customWidth="1"/>
    <col min="12331" max="12331" width="4.85546875" style="316" customWidth="1"/>
    <col min="12332" max="12332" width="13.85546875" style="316" customWidth="1"/>
    <col min="12333" max="12333" width="16.28515625" style="316" customWidth="1"/>
    <col min="12334" max="12334" width="14" style="316" customWidth="1"/>
    <col min="12335" max="12544" width="9.140625" style="316"/>
    <col min="12545" max="12545" width="3.140625" style="316" customWidth="1"/>
    <col min="12546" max="12546" width="16.5703125" style="316" customWidth="1"/>
    <col min="12547" max="12547" width="13.5703125" style="316" customWidth="1"/>
    <col min="12548" max="12548" width="6.85546875" style="316" customWidth="1"/>
    <col min="12549" max="12549" width="12.7109375" style="316" customWidth="1"/>
    <col min="12550" max="12550" width="15.28515625" style="316" customWidth="1"/>
    <col min="12551" max="12551" width="7.42578125" style="316" customWidth="1"/>
    <col min="12552" max="12552" width="17.42578125" style="316" customWidth="1"/>
    <col min="12553" max="12555" width="16" style="316" customWidth="1"/>
    <col min="12556" max="12556" width="3.140625" style="316" customWidth="1"/>
    <col min="12557" max="12557" width="4" style="316" customWidth="1"/>
    <col min="12558" max="12558" width="15.85546875" style="316" customWidth="1"/>
    <col min="12559" max="12559" width="14.140625" style="316" bestFit="1" customWidth="1"/>
    <col min="12560" max="12560" width="9.140625" style="316"/>
    <col min="12561" max="12561" width="15.85546875" style="316" customWidth="1"/>
    <col min="12562" max="12562" width="13.42578125" style="316" customWidth="1"/>
    <col min="12563" max="12563" width="6.140625" style="316" customWidth="1"/>
    <col min="12564" max="12564" width="15.85546875" style="316" customWidth="1"/>
    <col min="12565" max="12565" width="14.28515625" style="316" customWidth="1"/>
    <col min="12566" max="12566" width="15.42578125" style="316" customWidth="1"/>
    <col min="12567" max="12567" width="16" style="316" customWidth="1"/>
    <col min="12568" max="12568" width="3.140625" style="316" customWidth="1"/>
    <col min="12569" max="12569" width="5.7109375" style="316" customWidth="1"/>
    <col min="12570" max="12570" width="16.28515625" style="316" customWidth="1"/>
    <col min="12571" max="12571" width="14.140625" style="316" bestFit="1" customWidth="1"/>
    <col min="12572" max="12572" width="11.42578125" style="316" customWidth="1"/>
    <col min="12573" max="12573" width="14.85546875" style="316" customWidth="1"/>
    <col min="12574" max="12574" width="14" style="316" customWidth="1"/>
    <col min="12575" max="12575" width="5.5703125" style="316" customWidth="1"/>
    <col min="12576" max="12576" width="14.7109375" style="316" customWidth="1"/>
    <col min="12577" max="12577" width="13.85546875" style="316" customWidth="1"/>
    <col min="12578" max="12578" width="14.85546875" style="316" customWidth="1"/>
    <col min="12579" max="12579" width="16" style="316" customWidth="1"/>
    <col min="12580" max="12580" width="3.140625" style="316" customWidth="1"/>
    <col min="12581" max="12581" width="5.28515625" style="316" customWidth="1"/>
    <col min="12582" max="12582" width="16.42578125" style="316" customWidth="1"/>
    <col min="12583" max="12583" width="14.140625" style="316" bestFit="1" customWidth="1"/>
    <col min="12584" max="12584" width="8.7109375" style="316" customWidth="1"/>
    <col min="12585" max="12585" width="15.5703125" style="316" customWidth="1"/>
    <col min="12586" max="12586" width="14.28515625" style="316" customWidth="1"/>
    <col min="12587" max="12587" width="4.85546875" style="316" customWidth="1"/>
    <col min="12588" max="12588" width="13.85546875" style="316" customWidth="1"/>
    <col min="12589" max="12589" width="16.28515625" style="316" customWidth="1"/>
    <col min="12590" max="12590" width="14" style="316" customWidth="1"/>
    <col min="12591" max="12800" width="9.140625" style="316"/>
    <col min="12801" max="12801" width="3.140625" style="316" customWidth="1"/>
    <col min="12802" max="12802" width="16.5703125" style="316" customWidth="1"/>
    <col min="12803" max="12803" width="13.5703125" style="316" customWidth="1"/>
    <col min="12804" max="12804" width="6.85546875" style="316" customWidth="1"/>
    <col min="12805" max="12805" width="12.7109375" style="316" customWidth="1"/>
    <col min="12806" max="12806" width="15.28515625" style="316" customWidth="1"/>
    <col min="12807" max="12807" width="7.42578125" style="316" customWidth="1"/>
    <col min="12808" max="12808" width="17.42578125" style="316" customWidth="1"/>
    <col min="12809" max="12811" width="16" style="316" customWidth="1"/>
    <col min="12812" max="12812" width="3.140625" style="316" customWidth="1"/>
    <col min="12813" max="12813" width="4" style="316" customWidth="1"/>
    <col min="12814" max="12814" width="15.85546875" style="316" customWidth="1"/>
    <col min="12815" max="12815" width="14.140625" style="316" bestFit="1" customWidth="1"/>
    <col min="12816" max="12816" width="9.140625" style="316"/>
    <col min="12817" max="12817" width="15.85546875" style="316" customWidth="1"/>
    <col min="12818" max="12818" width="13.42578125" style="316" customWidth="1"/>
    <col min="12819" max="12819" width="6.140625" style="316" customWidth="1"/>
    <col min="12820" max="12820" width="15.85546875" style="316" customWidth="1"/>
    <col min="12821" max="12821" width="14.28515625" style="316" customWidth="1"/>
    <col min="12822" max="12822" width="15.42578125" style="316" customWidth="1"/>
    <col min="12823" max="12823" width="16" style="316" customWidth="1"/>
    <col min="12824" max="12824" width="3.140625" style="316" customWidth="1"/>
    <col min="12825" max="12825" width="5.7109375" style="316" customWidth="1"/>
    <col min="12826" max="12826" width="16.28515625" style="316" customWidth="1"/>
    <col min="12827" max="12827" width="14.140625" style="316" bestFit="1" customWidth="1"/>
    <col min="12828" max="12828" width="11.42578125" style="316" customWidth="1"/>
    <col min="12829" max="12829" width="14.85546875" style="316" customWidth="1"/>
    <col min="12830" max="12830" width="14" style="316" customWidth="1"/>
    <col min="12831" max="12831" width="5.5703125" style="316" customWidth="1"/>
    <col min="12832" max="12832" width="14.7109375" style="316" customWidth="1"/>
    <col min="12833" max="12833" width="13.85546875" style="316" customWidth="1"/>
    <col min="12834" max="12834" width="14.85546875" style="316" customWidth="1"/>
    <col min="12835" max="12835" width="16" style="316" customWidth="1"/>
    <col min="12836" max="12836" width="3.140625" style="316" customWidth="1"/>
    <col min="12837" max="12837" width="5.28515625" style="316" customWidth="1"/>
    <col min="12838" max="12838" width="16.42578125" style="316" customWidth="1"/>
    <col min="12839" max="12839" width="14.140625" style="316" bestFit="1" customWidth="1"/>
    <col min="12840" max="12840" width="8.7109375" style="316" customWidth="1"/>
    <col min="12841" max="12841" width="15.5703125" style="316" customWidth="1"/>
    <col min="12842" max="12842" width="14.28515625" style="316" customWidth="1"/>
    <col min="12843" max="12843" width="4.85546875" style="316" customWidth="1"/>
    <col min="12844" max="12844" width="13.85546875" style="316" customWidth="1"/>
    <col min="12845" max="12845" width="16.28515625" style="316" customWidth="1"/>
    <col min="12846" max="12846" width="14" style="316" customWidth="1"/>
    <col min="12847" max="13056" width="9.140625" style="316"/>
    <col min="13057" max="13057" width="3.140625" style="316" customWidth="1"/>
    <col min="13058" max="13058" width="16.5703125" style="316" customWidth="1"/>
    <col min="13059" max="13059" width="13.5703125" style="316" customWidth="1"/>
    <col min="13060" max="13060" width="6.85546875" style="316" customWidth="1"/>
    <col min="13061" max="13061" width="12.7109375" style="316" customWidth="1"/>
    <col min="13062" max="13062" width="15.28515625" style="316" customWidth="1"/>
    <col min="13063" max="13063" width="7.42578125" style="316" customWidth="1"/>
    <col min="13064" max="13064" width="17.42578125" style="316" customWidth="1"/>
    <col min="13065" max="13067" width="16" style="316" customWidth="1"/>
    <col min="13068" max="13068" width="3.140625" style="316" customWidth="1"/>
    <col min="13069" max="13069" width="4" style="316" customWidth="1"/>
    <col min="13070" max="13070" width="15.85546875" style="316" customWidth="1"/>
    <col min="13071" max="13071" width="14.140625" style="316" bestFit="1" customWidth="1"/>
    <col min="13072" max="13072" width="9.140625" style="316"/>
    <col min="13073" max="13073" width="15.85546875" style="316" customWidth="1"/>
    <col min="13074" max="13074" width="13.42578125" style="316" customWidth="1"/>
    <col min="13075" max="13075" width="6.140625" style="316" customWidth="1"/>
    <col min="13076" max="13076" width="15.85546875" style="316" customWidth="1"/>
    <col min="13077" max="13077" width="14.28515625" style="316" customWidth="1"/>
    <col min="13078" max="13078" width="15.42578125" style="316" customWidth="1"/>
    <col min="13079" max="13079" width="16" style="316" customWidth="1"/>
    <col min="13080" max="13080" width="3.140625" style="316" customWidth="1"/>
    <col min="13081" max="13081" width="5.7109375" style="316" customWidth="1"/>
    <col min="13082" max="13082" width="16.28515625" style="316" customWidth="1"/>
    <col min="13083" max="13083" width="14.140625" style="316" bestFit="1" customWidth="1"/>
    <col min="13084" max="13084" width="11.42578125" style="316" customWidth="1"/>
    <col min="13085" max="13085" width="14.85546875" style="316" customWidth="1"/>
    <col min="13086" max="13086" width="14" style="316" customWidth="1"/>
    <col min="13087" max="13087" width="5.5703125" style="316" customWidth="1"/>
    <col min="13088" max="13088" width="14.7109375" style="316" customWidth="1"/>
    <col min="13089" max="13089" width="13.85546875" style="316" customWidth="1"/>
    <col min="13090" max="13090" width="14.85546875" style="316" customWidth="1"/>
    <col min="13091" max="13091" width="16" style="316" customWidth="1"/>
    <col min="13092" max="13092" width="3.140625" style="316" customWidth="1"/>
    <col min="13093" max="13093" width="5.28515625" style="316" customWidth="1"/>
    <col min="13094" max="13094" width="16.42578125" style="316" customWidth="1"/>
    <col min="13095" max="13095" width="14.140625" style="316" bestFit="1" customWidth="1"/>
    <col min="13096" max="13096" width="8.7109375" style="316" customWidth="1"/>
    <col min="13097" max="13097" width="15.5703125" style="316" customWidth="1"/>
    <col min="13098" max="13098" width="14.28515625" style="316" customWidth="1"/>
    <col min="13099" max="13099" width="4.85546875" style="316" customWidth="1"/>
    <col min="13100" max="13100" width="13.85546875" style="316" customWidth="1"/>
    <col min="13101" max="13101" width="16.28515625" style="316" customWidth="1"/>
    <col min="13102" max="13102" width="14" style="316" customWidth="1"/>
    <col min="13103" max="13312" width="9.140625" style="316"/>
    <col min="13313" max="13313" width="3.140625" style="316" customWidth="1"/>
    <col min="13314" max="13314" width="16.5703125" style="316" customWidth="1"/>
    <col min="13315" max="13315" width="13.5703125" style="316" customWidth="1"/>
    <col min="13316" max="13316" width="6.85546875" style="316" customWidth="1"/>
    <col min="13317" max="13317" width="12.7109375" style="316" customWidth="1"/>
    <col min="13318" max="13318" width="15.28515625" style="316" customWidth="1"/>
    <col min="13319" max="13319" width="7.42578125" style="316" customWidth="1"/>
    <col min="13320" max="13320" width="17.42578125" style="316" customWidth="1"/>
    <col min="13321" max="13323" width="16" style="316" customWidth="1"/>
    <col min="13324" max="13324" width="3.140625" style="316" customWidth="1"/>
    <col min="13325" max="13325" width="4" style="316" customWidth="1"/>
    <col min="13326" max="13326" width="15.85546875" style="316" customWidth="1"/>
    <col min="13327" max="13327" width="14.140625" style="316" bestFit="1" customWidth="1"/>
    <col min="13328" max="13328" width="9.140625" style="316"/>
    <col min="13329" max="13329" width="15.85546875" style="316" customWidth="1"/>
    <col min="13330" max="13330" width="13.42578125" style="316" customWidth="1"/>
    <col min="13331" max="13331" width="6.140625" style="316" customWidth="1"/>
    <col min="13332" max="13332" width="15.85546875" style="316" customWidth="1"/>
    <col min="13333" max="13333" width="14.28515625" style="316" customWidth="1"/>
    <col min="13334" max="13334" width="15.42578125" style="316" customWidth="1"/>
    <col min="13335" max="13335" width="16" style="316" customWidth="1"/>
    <col min="13336" max="13336" width="3.140625" style="316" customWidth="1"/>
    <col min="13337" max="13337" width="5.7109375" style="316" customWidth="1"/>
    <col min="13338" max="13338" width="16.28515625" style="316" customWidth="1"/>
    <col min="13339" max="13339" width="14.140625" style="316" bestFit="1" customWidth="1"/>
    <col min="13340" max="13340" width="11.42578125" style="316" customWidth="1"/>
    <col min="13341" max="13341" width="14.85546875" style="316" customWidth="1"/>
    <col min="13342" max="13342" width="14" style="316" customWidth="1"/>
    <col min="13343" max="13343" width="5.5703125" style="316" customWidth="1"/>
    <col min="13344" max="13344" width="14.7109375" style="316" customWidth="1"/>
    <col min="13345" max="13345" width="13.85546875" style="316" customWidth="1"/>
    <col min="13346" max="13346" width="14.85546875" style="316" customWidth="1"/>
    <col min="13347" max="13347" width="16" style="316" customWidth="1"/>
    <col min="13348" max="13348" width="3.140625" style="316" customWidth="1"/>
    <col min="13349" max="13349" width="5.28515625" style="316" customWidth="1"/>
    <col min="13350" max="13350" width="16.42578125" style="316" customWidth="1"/>
    <col min="13351" max="13351" width="14.140625" style="316" bestFit="1" customWidth="1"/>
    <col min="13352" max="13352" width="8.7109375" style="316" customWidth="1"/>
    <col min="13353" max="13353" width="15.5703125" style="316" customWidth="1"/>
    <col min="13354" max="13354" width="14.28515625" style="316" customWidth="1"/>
    <col min="13355" max="13355" width="4.85546875" style="316" customWidth="1"/>
    <col min="13356" max="13356" width="13.85546875" style="316" customWidth="1"/>
    <col min="13357" max="13357" width="16.28515625" style="316" customWidth="1"/>
    <col min="13358" max="13358" width="14" style="316" customWidth="1"/>
    <col min="13359" max="13568" width="9.140625" style="316"/>
    <col min="13569" max="13569" width="3.140625" style="316" customWidth="1"/>
    <col min="13570" max="13570" width="16.5703125" style="316" customWidth="1"/>
    <col min="13571" max="13571" width="13.5703125" style="316" customWidth="1"/>
    <col min="13572" max="13572" width="6.85546875" style="316" customWidth="1"/>
    <col min="13573" max="13573" width="12.7109375" style="316" customWidth="1"/>
    <col min="13574" max="13574" width="15.28515625" style="316" customWidth="1"/>
    <col min="13575" max="13575" width="7.42578125" style="316" customWidth="1"/>
    <col min="13576" max="13576" width="17.42578125" style="316" customWidth="1"/>
    <col min="13577" max="13579" width="16" style="316" customWidth="1"/>
    <col min="13580" max="13580" width="3.140625" style="316" customWidth="1"/>
    <col min="13581" max="13581" width="4" style="316" customWidth="1"/>
    <col min="13582" max="13582" width="15.85546875" style="316" customWidth="1"/>
    <col min="13583" max="13583" width="14.140625" style="316" bestFit="1" customWidth="1"/>
    <col min="13584" max="13584" width="9.140625" style="316"/>
    <col min="13585" max="13585" width="15.85546875" style="316" customWidth="1"/>
    <col min="13586" max="13586" width="13.42578125" style="316" customWidth="1"/>
    <col min="13587" max="13587" width="6.140625" style="316" customWidth="1"/>
    <col min="13588" max="13588" width="15.85546875" style="316" customWidth="1"/>
    <col min="13589" max="13589" width="14.28515625" style="316" customWidth="1"/>
    <col min="13590" max="13590" width="15.42578125" style="316" customWidth="1"/>
    <col min="13591" max="13591" width="16" style="316" customWidth="1"/>
    <col min="13592" max="13592" width="3.140625" style="316" customWidth="1"/>
    <col min="13593" max="13593" width="5.7109375" style="316" customWidth="1"/>
    <col min="13594" max="13594" width="16.28515625" style="316" customWidth="1"/>
    <col min="13595" max="13595" width="14.140625" style="316" bestFit="1" customWidth="1"/>
    <col min="13596" max="13596" width="11.42578125" style="316" customWidth="1"/>
    <col min="13597" max="13597" width="14.85546875" style="316" customWidth="1"/>
    <col min="13598" max="13598" width="14" style="316" customWidth="1"/>
    <col min="13599" max="13599" width="5.5703125" style="316" customWidth="1"/>
    <col min="13600" max="13600" width="14.7109375" style="316" customWidth="1"/>
    <col min="13601" max="13601" width="13.85546875" style="316" customWidth="1"/>
    <col min="13602" max="13602" width="14.85546875" style="316" customWidth="1"/>
    <col min="13603" max="13603" width="16" style="316" customWidth="1"/>
    <col min="13604" max="13604" width="3.140625" style="316" customWidth="1"/>
    <col min="13605" max="13605" width="5.28515625" style="316" customWidth="1"/>
    <col min="13606" max="13606" width="16.42578125" style="316" customWidth="1"/>
    <col min="13607" max="13607" width="14.140625" style="316" bestFit="1" customWidth="1"/>
    <col min="13608" max="13608" width="8.7109375" style="316" customWidth="1"/>
    <col min="13609" max="13609" width="15.5703125" style="316" customWidth="1"/>
    <col min="13610" max="13610" width="14.28515625" style="316" customWidth="1"/>
    <col min="13611" max="13611" width="4.85546875" style="316" customWidth="1"/>
    <col min="13612" max="13612" width="13.85546875" style="316" customWidth="1"/>
    <col min="13613" max="13613" width="16.28515625" style="316" customWidth="1"/>
    <col min="13614" max="13614" width="14" style="316" customWidth="1"/>
    <col min="13615" max="13824" width="9.140625" style="316"/>
    <col min="13825" max="13825" width="3.140625" style="316" customWidth="1"/>
    <col min="13826" max="13826" width="16.5703125" style="316" customWidth="1"/>
    <col min="13827" max="13827" width="13.5703125" style="316" customWidth="1"/>
    <col min="13828" max="13828" width="6.85546875" style="316" customWidth="1"/>
    <col min="13829" max="13829" width="12.7109375" style="316" customWidth="1"/>
    <col min="13830" max="13830" width="15.28515625" style="316" customWidth="1"/>
    <col min="13831" max="13831" width="7.42578125" style="316" customWidth="1"/>
    <col min="13832" max="13832" width="17.42578125" style="316" customWidth="1"/>
    <col min="13833" max="13835" width="16" style="316" customWidth="1"/>
    <col min="13836" max="13836" width="3.140625" style="316" customWidth="1"/>
    <col min="13837" max="13837" width="4" style="316" customWidth="1"/>
    <col min="13838" max="13838" width="15.85546875" style="316" customWidth="1"/>
    <col min="13839" max="13839" width="14.140625" style="316" bestFit="1" customWidth="1"/>
    <col min="13840" max="13840" width="9.140625" style="316"/>
    <col min="13841" max="13841" width="15.85546875" style="316" customWidth="1"/>
    <col min="13842" max="13842" width="13.42578125" style="316" customWidth="1"/>
    <col min="13843" max="13843" width="6.140625" style="316" customWidth="1"/>
    <col min="13844" max="13844" width="15.85546875" style="316" customWidth="1"/>
    <col min="13845" max="13845" width="14.28515625" style="316" customWidth="1"/>
    <col min="13846" max="13846" width="15.42578125" style="316" customWidth="1"/>
    <col min="13847" max="13847" width="16" style="316" customWidth="1"/>
    <col min="13848" max="13848" width="3.140625" style="316" customWidth="1"/>
    <col min="13849" max="13849" width="5.7109375" style="316" customWidth="1"/>
    <col min="13850" max="13850" width="16.28515625" style="316" customWidth="1"/>
    <col min="13851" max="13851" width="14.140625" style="316" bestFit="1" customWidth="1"/>
    <col min="13852" max="13852" width="11.42578125" style="316" customWidth="1"/>
    <col min="13853" max="13853" width="14.85546875" style="316" customWidth="1"/>
    <col min="13854" max="13854" width="14" style="316" customWidth="1"/>
    <col min="13855" max="13855" width="5.5703125" style="316" customWidth="1"/>
    <col min="13856" max="13856" width="14.7109375" style="316" customWidth="1"/>
    <col min="13857" max="13857" width="13.85546875" style="316" customWidth="1"/>
    <col min="13858" max="13858" width="14.85546875" style="316" customWidth="1"/>
    <col min="13859" max="13859" width="16" style="316" customWidth="1"/>
    <col min="13860" max="13860" width="3.140625" style="316" customWidth="1"/>
    <col min="13861" max="13861" width="5.28515625" style="316" customWidth="1"/>
    <col min="13862" max="13862" width="16.42578125" style="316" customWidth="1"/>
    <col min="13863" max="13863" width="14.140625" style="316" bestFit="1" customWidth="1"/>
    <col min="13864" max="13864" width="8.7109375" style="316" customWidth="1"/>
    <col min="13865" max="13865" width="15.5703125" style="316" customWidth="1"/>
    <col min="13866" max="13866" width="14.28515625" style="316" customWidth="1"/>
    <col min="13867" max="13867" width="4.85546875" style="316" customWidth="1"/>
    <col min="13868" max="13868" width="13.85546875" style="316" customWidth="1"/>
    <col min="13869" max="13869" width="16.28515625" style="316" customWidth="1"/>
    <col min="13870" max="13870" width="14" style="316" customWidth="1"/>
    <col min="13871" max="14080" width="9.140625" style="316"/>
    <col min="14081" max="14081" width="3.140625" style="316" customWidth="1"/>
    <col min="14082" max="14082" width="16.5703125" style="316" customWidth="1"/>
    <col min="14083" max="14083" width="13.5703125" style="316" customWidth="1"/>
    <col min="14084" max="14084" width="6.85546875" style="316" customWidth="1"/>
    <col min="14085" max="14085" width="12.7109375" style="316" customWidth="1"/>
    <col min="14086" max="14086" width="15.28515625" style="316" customWidth="1"/>
    <col min="14087" max="14087" width="7.42578125" style="316" customWidth="1"/>
    <col min="14088" max="14088" width="17.42578125" style="316" customWidth="1"/>
    <col min="14089" max="14091" width="16" style="316" customWidth="1"/>
    <col min="14092" max="14092" width="3.140625" style="316" customWidth="1"/>
    <col min="14093" max="14093" width="4" style="316" customWidth="1"/>
    <col min="14094" max="14094" width="15.85546875" style="316" customWidth="1"/>
    <col min="14095" max="14095" width="14.140625" style="316" bestFit="1" customWidth="1"/>
    <col min="14096" max="14096" width="9.140625" style="316"/>
    <col min="14097" max="14097" width="15.85546875" style="316" customWidth="1"/>
    <col min="14098" max="14098" width="13.42578125" style="316" customWidth="1"/>
    <col min="14099" max="14099" width="6.140625" style="316" customWidth="1"/>
    <col min="14100" max="14100" width="15.85546875" style="316" customWidth="1"/>
    <col min="14101" max="14101" width="14.28515625" style="316" customWidth="1"/>
    <col min="14102" max="14102" width="15.42578125" style="316" customWidth="1"/>
    <col min="14103" max="14103" width="16" style="316" customWidth="1"/>
    <col min="14104" max="14104" width="3.140625" style="316" customWidth="1"/>
    <col min="14105" max="14105" width="5.7109375" style="316" customWidth="1"/>
    <col min="14106" max="14106" width="16.28515625" style="316" customWidth="1"/>
    <col min="14107" max="14107" width="14.140625" style="316" bestFit="1" customWidth="1"/>
    <col min="14108" max="14108" width="11.42578125" style="316" customWidth="1"/>
    <col min="14109" max="14109" width="14.85546875" style="316" customWidth="1"/>
    <col min="14110" max="14110" width="14" style="316" customWidth="1"/>
    <col min="14111" max="14111" width="5.5703125" style="316" customWidth="1"/>
    <col min="14112" max="14112" width="14.7109375" style="316" customWidth="1"/>
    <col min="14113" max="14113" width="13.85546875" style="316" customWidth="1"/>
    <col min="14114" max="14114" width="14.85546875" style="316" customWidth="1"/>
    <col min="14115" max="14115" width="16" style="316" customWidth="1"/>
    <col min="14116" max="14116" width="3.140625" style="316" customWidth="1"/>
    <col min="14117" max="14117" width="5.28515625" style="316" customWidth="1"/>
    <col min="14118" max="14118" width="16.42578125" style="316" customWidth="1"/>
    <col min="14119" max="14119" width="14.140625" style="316" bestFit="1" customWidth="1"/>
    <col min="14120" max="14120" width="8.7109375" style="316" customWidth="1"/>
    <col min="14121" max="14121" width="15.5703125" style="316" customWidth="1"/>
    <col min="14122" max="14122" width="14.28515625" style="316" customWidth="1"/>
    <col min="14123" max="14123" width="4.85546875" style="316" customWidth="1"/>
    <col min="14124" max="14124" width="13.85546875" style="316" customWidth="1"/>
    <col min="14125" max="14125" width="16.28515625" style="316" customWidth="1"/>
    <col min="14126" max="14126" width="14" style="316" customWidth="1"/>
    <col min="14127" max="14336" width="9.140625" style="316"/>
    <col min="14337" max="14337" width="3.140625" style="316" customWidth="1"/>
    <col min="14338" max="14338" width="16.5703125" style="316" customWidth="1"/>
    <col min="14339" max="14339" width="13.5703125" style="316" customWidth="1"/>
    <col min="14340" max="14340" width="6.85546875" style="316" customWidth="1"/>
    <col min="14341" max="14341" width="12.7109375" style="316" customWidth="1"/>
    <col min="14342" max="14342" width="15.28515625" style="316" customWidth="1"/>
    <col min="14343" max="14343" width="7.42578125" style="316" customWidth="1"/>
    <col min="14344" max="14344" width="17.42578125" style="316" customWidth="1"/>
    <col min="14345" max="14347" width="16" style="316" customWidth="1"/>
    <col min="14348" max="14348" width="3.140625" style="316" customWidth="1"/>
    <col min="14349" max="14349" width="4" style="316" customWidth="1"/>
    <col min="14350" max="14350" width="15.85546875" style="316" customWidth="1"/>
    <col min="14351" max="14351" width="14.140625" style="316" bestFit="1" customWidth="1"/>
    <col min="14352" max="14352" width="9.140625" style="316"/>
    <col min="14353" max="14353" width="15.85546875" style="316" customWidth="1"/>
    <col min="14354" max="14354" width="13.42578125" style="316" customWidth="1"/>
    <col min="14355" max="14355" width="6.140625" style="316" customWidth="1"/>
    <col min="14356" max="14356" width="15.85546875" style="316" customWidth="1"/>
    <col min="14357" max="14357" width="14.28515625" style="316" customWidth="1"/>
    <col min="14358" max="14358" width="15.42578125" style="316" customWidth="1"/>
    <col min="14359" max="14359" width="16" style="316" customWidth="1"/>
    <col min="14360" max="14360" width="3.140625" style="316" customWidth="1"/>
    <col min="14361" max="14361" width="5.7109375" style="316" customWidth="1"/>
    <col min="14362" max="14362" width="16.28515625" style="316" customWidth="1"/>
    <col min="14363" max="14363" width="14.140625" style="316" bestFit="1" customWidth="1"/>
    <col min="14364" max="14364" width="11.42578125" style="316" customWidth="1"/>
    <col min="14365" max="14365" width="14.85546875" style="316" customWidth="1"/>
    <col min="14366" max="14366" width="14" style="316" customWidth="1"/>
    <col min="14367" max="14367" width="5.5703125" style="316" customWidth="1"/>
    <col min="14368" max="14368" width="14.7109375" style="316" customWidth="1"/>
    <col min="14369" max="14369" width="13.85546875" style="316" customWidth="1"/>
    <col min="14370" max="14370" width="14.85546875" style="316" customWidth="1"/>
    <col min="14371" max="14371" width="16" style="316" customWidth="1"/>
    <col min="14372" max="14372" width="3.140625" style="316" customWidth="1"/>
    <col min="14373" max="14373" width="5.28515625" style="316" customWidth="1"/>
    <col min="14374" max="14374" width="16.42578125" style="316" customWidth="1"/>
    <col min="14375" max="14375" width="14.140625" style="316" bestFit="1" customWidth="1"/>
    <col min="14376" max="14376" width="8.7109375" style="316" customWidth="1"/>
    <col min="14377" max="14377" width="15.5703125" style="316" customWidth="1"/>
    <col min="14378" max="14378" width="14.28515625" style="316" customWidth="1"/>
    <col min="14379" max="14379" width="4.85546875" style="316" customWidth="1"/>
    <col min="14380" max="14380" width="13.85546875" style="316" customWidth="1"/>
    <col min="14381" max="14381" width="16.28515625" style="316" customWidth="1"/>
    <col min="14382" max="14382" width="14" style="316" customWidth="1"/>
    <col min="14383" max="14592" width="9.140625" style="316"/>
    <col min="14593" max="14593" width="3.140625" style="316" customWidth="1"/>
    <col min="14594" max="14594" width="16.5703125" style="316" customWidth="1"/>
    <col min="14595" max="14595" width="13.5703125" style="316" customWidth="1"/>
    <col min="14596" max="14596" width="6.85546875" style="316" customWidth="1"/>
    <col min="14597" max="14597" width="12.7109375" style="316" customWidth="1"/>
    <col min="14598" max="14598" width="15.28515625" style="316" customWidth="1"/>
    <col min="14599" max="14599" width="7.42578125" style="316" customWidth="1"/>
    <col min="14600" max="14600" width="17.42578125" style="316" customWidth="1"/>
    <col min="14601" max="14603" width="16" style="316" customWidth="1"/>
    <col min="14604" max="14604" width="3.140625" style="316" customWidth="1"/>
    <col min="14605" max="14605" width="4" style="316" customWidth="1"/>
    <col min="14606" max="14606" width="15.85546875" style="316" customWidth="1"/>
    <col min="14607" max="14607" width="14.140625" style="316" bestFit="1" customWidth="1"/>
    <col min="14608" max="14608" width="9.140625" style="316"/>
    <col min="14609" max="14609" width="15.85546875" style="316" customWidth="1"/>
    <col min="14610" max="14610" width="13.42578125" style="316" customWidth="1"/>
    <col min="14611" max="14611" width="6.140625" style="316" customWidth="1"/>
    <col min="14612" max="14612" width="15.85546875" style="316" customWidth="1"/>
    <col min="14613" max="14613" width="14.28515625" style="316" customWidth="1"/>
    <col min="14614" max="14614" width="15.42578125" style="316" customWidth="1"/>
    <col min="14615" max="14615" width="16" style="316" customWidth="1"/>
    <col min="14616" max="14616" width="3.140625" style="316" customWidth="1"/>
    <col min="14617" max="14617" width="5.7109375" style="316" customWidth="1"/>
    <col min="14618" max="14618" width="16.28515625" style="316" customWidth="1"/>
    <col min="14619" max="14619" width="14.140625" style="316" bestFit="1" customWidth="1"/>
    <col min="14620" max="14620" width="11.42578125" style="316" customWidth="1"/>
    <col min="14621" max="14621" width="14.85546875" style="316" customWidth="1"/>
    <col min="14622" max="14622" width="14" style="316" customWidth="1"/>
    <col min="14623" max="14623" width="5.5703125" style="316" customWidth="1"/>
    <col min="14624" max="14624" width="14.7109375" style="316" customWidth="1"/>
    <col min="14625" max="14625" width="13.85546875" style="316" customWidth="1"/>
    <col min="14626" max="14626" width="14.85546875" style="316" customWidth="1"/>
    <col min="14627" max="14627" width="16" style="316" customWidth="1"/>
    <col min="14628" max="14628" width="3.140625" style="316" customWidth="1"/>
    <col min="14629" max="14629" width="5.28515625" style="316" customWidth="1"/>
    <col min="14630" max="14630" width="16.42578125" style="316" customWidth="1"/>
    <col min="14631" max="14631" width="14.140625" style="316" bestFit="1" customWidth="1"/>
    <col min="14632" max="14632" width="8.7109375" style="316" customWidth="1"/>
    <col min="14633" max="14633" width="15.5703125" style="316" customWidth="1"/>
    <col min="14634" max="14634" width="14.28515625" style="316" customWidth="1"/>
    <col min="14635" max="14635" width="4.85546875" style="316" customWidth="1"/>
    <col min="14636" max="14636" width="13.85546875" style="316" customWidth="1"/>
    <col min="14637" max="14637" width="16.28515625" style="316" customWidth="1"/>
    <col min="14638" max="14638" width="14" style="316" customWidth="1"/>
    <col min="14639" max="14848" width="9.140625" style="316"/>
    <col min="14849" max="14849" width="3.140625" style="316" customWidth="1"/>
    <col min="14850" max="14850" width="16.5703125" style="316" customWidth="1"/>
    <col min="14851" max="14851" width="13.5703125" style="316" customWidth="1"/>
    <col min="14852" max="14852" width="6.85546875" style="316" customWidth="1"/>
    <col min="14853" max="14853" width="12.7109375" style="316" customWidth="1"/>
    <col min="14854" max="14854" width="15.28515625" style="316" customWidth="1"/>
    <col min="14855" max="14855" width="7.42578125" style="316" customWidth="1"/>
    <col min="14856" max="14856" width="17.42578125" style="316" customWidth="1"/>
    <col min="14857" max="14859" width="16" style="316" customWidth="1"/>
    <col min="14860" max="14860" width="3.140625" style="316" customWidth="1"/>
    <col min="14861" max="14861" width="4" style="316" customWidth="1"/>
    <col min="14862" max="14862" width="15.85546875" style="316" customWidth="1"/>
    <col min="14863" max="14863" width="14.140625" style="316" bestFit="1" customWidth="1"/>
    <col min="14864" max="14864" width="9.140625" style="316"/>
    <col min="14865" max="14865" width="15.85546875" style="316" customWidth="1"/>
    <col min="14866" max="14866" width="13.42578125" style="316" customWidth="1"/>
    <col min="14867" max="14867" width="6.140625" style="316" customWidth="1"/>
    <col min="14868" max="14868" width="15.85546875" style="316" customWidth="1"/>
    <col min="14869" max="14869" width="14.28515625" style="316" customWidth="1"/>
    <col min="14870" max="14870" width="15.42578125" style="316" customWidth="1"/>
    <col min="14871" max="14871" width="16" style="316" customWidth="1"/>
    <col min="14872" max="14872" width="3.140625" style="316" customWidth="1"/>
    <col min="14873" max="14873" width="5.7109375" style="316" customWidth="1"/>
    <col min="14874" max="14874" width="16.28515625" style="316" customWidth="1"/>
    <col min="14875" max="14875" width="14.140625" style="316" bestFit="1" customWidth="1"/>
    <col min="14876" max="14876" width="11.42578125" style="316" customWidth="1"/>
    <col min="14877" max="14877" width="14.85546875" style="316" customWidth="1"/>
    <col min="14878" max="14878" width="14" style="316" customWidth="1"/>
    <col min="14879" max="14879" width="5.5703125" style="316" customWidth="1"/>
    <col min="14880" max="14880" width="14.7109375" style="316" customWidth="1"/>
    <col min="14881" max="14881" width="13.85546875" style="316" customWidth="1"/>
    <col min="14882" max="14882" width="14.85546875" style="316" customWidth="1"/>
    <col min="14883" max="14883" width="16" style="316" customWidth="1"/>
    <col min="14884" max="14884" width="3.140625" style="316" customWidth="1"/>
    <col min="14885" max="14885" width="5.28515625" style="316" customWidth="1"/>
    <col min="14886" max="14886" width="16.42578125" style="316" customWidth="1"/>
    <col min="14887" max="14887" width="14.140625" style="316" bestFit="1" customWidth="1"/>
    <col min="14888" max="14888" width="8.7109375" style="316" customWidth="1"/>
    <col min="14889" max="14889" width="15.5703125" style="316" customWidth="1"/>
    <col min="14890" max="14890" width="14.28515625" style="316" customWidth="1"/>
    <col min="14891" max="14891" width="4.85546875" style="316" customWidth="1"/>
    <col min="14892" max="14892" width="13.85546875" style="316" customWidth="1"/>
    <col min="14893" max="14893" width="16.28515625" style="316" customWidth="1"/>
    <col min="14894" max="14894" width="14" style="316" customWidth="1"/>
    <col min="14895" max="15104" width="9.140625" style="316"/>
    <col min="15105" max="15105" width="3.140625" style="316" customWidth="1"/>
    <col min="15106" max="15106" width="16.5703125" style="316" customWidth="1"/>
    <col min="15107" max="15107" width="13.5703125" style="316" customWidth="1"/>
    <col min="15108" max="15108" width="6.85546875" style="316" customWidth="1"/>
    <col min="15109" max="15109" width="12.7109375" style="316" customWidth="1"/>
    <col min="15110" max="15110" width="15.28515625" style="316" customWidth="1"/>
    <col min="15111" max="15111" width="7.42578125" style="316" customWidth="1"/>
    <col min="15112" max="15112" width="17.42578125" style="316" customWidth="1"/>
    <col min="15113" max="15115" width="16" style="316" customWidth="1"/>
    <col min="15116" max="15116" width="3.140625" style="316" customWidth="1"/>
    <col min="15117" max="15117" width="4" style="316" customWidth="1"/>
    <col min="15118" max="15118" width="15.85546875" style="316" customWidth="1"/>
    <col min="15119" max="15119" width="14.140625" style="316" bestFit="1" customWidth="1"/>
    <col min="15120" max="15120" width="9.140625" style="316"/>
    <col min="15121" max="15121" width="15.85546875" style="316" customWidth="1"/>
    <col min="15122" max="15122" width="13.42578125" style="316" customWidth="1"/>
    <col min="15123" max="15123" width="6.140625" style="316" customWidth="1"/>
    <col min="15124" max="15124" width="15.85546875" style="316" customWidth="1"/>
    <col min="15125" max="15125" width="14.28515625" style="316" customWidth="1"/>
    <col min="15126" max="15126" width="15.42578125" style="316" customWidth="1"/>
    <col min="15127" max="15127" width="16" style="316" customWidth="1"/>
    <col min="15128" max="15128" width="3.140625" style="316" customWidth="1"/>
    <col min="15129" max="15129" width="5.7109375" style="316" customWidth="1"/>
    <col min="15130" max="15130" width="16.28515625" style="316" customWidth="1"/>
    <col min="15131" max="15131" width="14.140625" style="316" bestFit="1" customWidth="1"/>
    <col min="15132" max="15132" width="11.42578125" style="316" customWidth="1"/>
    <col min="15133" max="15133" width="14.85546875" style="316" customWidth="1"/>
    <col min="15134" max="15134" width="14" style="316" customWidth="1"/>
    <col min="15135" max="15135" width="5.5703125" style="316" customWidth="1"/>
    <col min="15136" max="15136" width="14.7109375" style="316" customWidth="1"/>
    <col min="15137" max="15137" width="13.85546875" style="316" customWidth="1"/>
    <col min="15138" max="15138" width="14.85546875" style="316" customWidth="1"/>
    <col min="15139" max="15139" width="16" style="316" customWidth="1"/>
    <col min="15140" max="15140" width="3.140625" style="316" customWidth="1"/>
    <col min="15141" max="15141" width="5.28515625" style="316" customWidth="1"/>
    <col min="15142" max="15142" width="16.42578125" style="316" customWidth="1"/>
    <col min="15143" max="15143" width="14.140625" style="316" bestFit="1" customWidth="1"/>
    <col min="15144" max="15144" width="8.7109375" style="316" customWidth="1"/>
    <col min="15145" max="15145" width="15.5703125" style="316" customWidth="1"/>
    <col min="15146" max="15146" width="14.28515625" style="316" customWidth="1"/>
    <col min="15147" max="15147" width="4.85546875" style="316" customWidth="1"/>
    <col min="15148" max="15148" width="13.85546875" style="316" customWidth="1"/>
    <col min="15149" max="15149" width="16.28515625" style="316" customWidth="1"/>
    <col min="15150" max="15150" width="14" style="316" customWidth="1"/>
    <col min="15151" max="15360" width="9.140625" style="316"/>
    <col min="15361" max="15361" width="3.140625" style="316" customWidth="1"/>
    <col min="15362" max="15362" width="16.5703125" style="316" customWidth="1"/>
    <col min="15363" max="15363" width="13.5703125" style="316" customWidth="1"/>
    <col min="15364" max="15364" width="6.85546875" style="316" customWidth="1"/>
    <col min="15365" max="15365" width="12.7109375" style="316" customWidth="1"/>
    <col min="15366" max="15366" width="15.28515625" style="316" customWidth="1"/>
    <col min="15367" max="15367" width="7.42578125" style="316" customWidth="1"/>
    <col min="15368" max="15368" width="17.42578125" style="316" customWidth="1"/>
    <col min="15369" max="15371" width="16" style="316" customWidth="1"/>
    <col min="15372" max="15372" width="3.140625" style="316" customWidth="1"/>
    <col min="15373" max="15373" width="4" style="316" customWidth="1"/>
    <col min="15374" max="15374" width="15.85546875" style="316" customWidth="1"/>
    <col min="15375" max="15375" width="14.140625" style="316" bestFit="1" customWidth="1"/>
    <col min="15376" max="15376" width="9.140625" style="316"/>
    <col min="15377" max="15377" width="15.85546875" style="316" customWidth="1"/>
    <col min="15378" max="15378" width="13.42578125" style="316" customWidth="1"/>
    <col min="15379" max="15379" width="6.140625" style="316" customWidth="1"/>
    <col min="15380" max="15380" width="15.85546875" style="316" customWidth="1"/>
    <col min="15381" max="15381" width="14.28515625" style="316" customWidth="1"/>
    <col min="15382" max="15382" width="15.42578125" style="316" customWidth="1"/>
    <col min="15383" max="15383" width="16" style="316" customWidth="1"/>
    <col min="15384" max="15384" width="3.140625" style="316" customWidth="1"/>
    <col min="15385" max="15385" width="5.7109375" style="316" customWidth="1"/>
    <col min="15386" max="15386" width="16.28515625" style="316" customWidth="1"/>
    <col min="15387" max="15387" width="14.140625" style="316" bestFit="1" customWidth="1"/>
    <col min="15388" max="15388" width="11.42578125" style="316" customWidth="1"/>
    <col min="15389" max="15389" width="14.85546875" style="316" customWidth="1"/>
    <col min="15390" max="15390" width="14" style="316" customWidth="1"/>
    <col min="15391" max="15391" width="5.5703125" style="316" customWidth="1"/>
    <col min="15392" max="15392" width="14.7109375" style="316" customWidth="1"/>
    <col min="15393" max="15393" width="13.85546875" style="316" customWidth="1"/>
    <col min="15394" max="15394" width="14.85546875" style="316" customWidth="1"/>
    <col min="15395" max="15395" width="16" style="316" customWidth="1"/>
    <col min="15396" max="15396" width="3.140625" style="316" customWidth="1"/>
    <col min="15397" max="15397" width="5.28515625" style="316" customWidth="1"/>
    <col min="15398" max="15398" width="16.42578125" style="316" customWidth="1"/>
    <col min="15399" max="15399" width="14.140625" style="316" bestFit="1" customWidth="1"/>
    <col min="15400" max="15400" width="8.7109375" style="316" customWidth="1"/>
    <col min="15401" max="15401" width="15.5703125" style="316" customWidth="1"/>
    <col min="15402" max="15402" width="14.28515625" style="316" customWidth="1"/>
    <col min="15403" max="15403" width="4.85546875" style="316" customWidth="1"/>
    <col min="15404" max="15404" width="13.85546875" style="316" customWidth="1"/>
    <col min="15405" max="15405" width="16.28515625" style="316" customWidth="1"/>
    <col min="15406" max="15406" width="14" style="316" customWidth="1"/>
    <col min="15407" max="15616" width="9.140625" style="316"/>
    <col min="15617" max="15617" width="3.140625" style="316" customWidth="1"/>
    <col min="15618" max="15618" width="16.5703125" style="316" customWidth="1"/>
    <col min="15619" max="15619" width="13.5703125" style="316" customWidth="1"/>
    <col min="15620" max="15620" width="6.85546875" style="316" customWidth="1"/>
    <col min="15621" max="15621" width="12.7109375" style="316" customWidth="1"/>
    <col min="15622" max="15622" width="15.28515625" style="316" customWidth="1"/>
    <col min="15623" max="15623" width="7.42578125" style="316" customWidth="1"/>
    <col min="15624" max="15624" width="17.42578125" style="316" customWidth="1"/>
    <col min="15625" max="15627" width="16" style="316" customWidth="1"/>
    <col min="15628" max="15628" width="3.140625" style="316" customWidth="1"/>
    <col min="15629" max="15629" width="4" style="316" customWidth="1"/>
    <col min="15630" max="15630" width="15.85546875" style="316" customWidth="1"/>
    <col min="15631" max="15631" width="14.140625" style="316" bestFit="1" customWidth="1"/>
    <col min="15632" max="15632" width="9.140625" style="316"/>
    <col min="15633" max="15633" width="15.85546875" style="316" customWidth="1"/>
    <col min="15634" max="15634" width="13.42578125" style="316" customWidth="1"/>
    <col min="15635" max="15635" width="6.140625" style="316" customWidth="1"/>
    <col min="15636" max="15636" width="15.85546875" style="316" customWidth="1"/>
    <col min="15637" max="15637" width="14.28515625" style="316" customWidth="1"/>
    <col min="15638" max="15638" width="15.42578125" style="316" customWidth="1"/>
    <col min="15639" max="15639" width="16" style="316" customWidth="1"/>
    <col min="15640" max="15640" width="3.140625" style="316" customWidth="1"/>
    <col min="15641" max="15641" width="5.7109375" style="316" customWidth="1"/>
    <col min="15642" max="15642" width="16.28515625" style="316" customWidth="1"/>
    <col min="15643" max="15643" width="14.140625" style="316" bestFit="1" customWidth="1"/>
    <col min="15644" max="15644" width="11.42578125" style="316" customWidth="1"/>
    <col min="15645" max="15645" width="14.85546875" style="316" customWidth="1"/>
    <col min="15646" max="15646" width="14" style="316" customWidth="1"/>
    <col min="15647" max="15647" width="5.5703125" style="316" customWidth="1"/>
    <col min="15648" max="15648" width="14.7109375" style="316" customWidth="1"/>
    <col min="15649" max="15649" width="13.85546875" style="316" customWidth="1"/>
    <col min="15650" max="15650" width="14.85546875" style="316" customWidth="1"/>
    <col min="15651" max="15651" width="16" style="316" customWidth="1"/>
    <col min="15652" max="15652" width="3.140625" style="316" customWidth="1"/>
    <col min="15653" max="15653" width="5.28515625" style="316" customWidth="1"/>
    <col min="15654" max="15654" width="16.42578125" style="316" customWidth="1"/>
    <col min="15655" max="15655" width="14.140625" style="316" bestFit="1" customWidth="1"/>
    <col min="15656" max="15656" width="8.7109375" style="316" customWidth="1"/>
    <col min="15657" max="15657" width="15.5703125" style="316" customWidth="1"/>
    <col min="15658" max="15658" width="14.28515625" style="316" customWidth="1"/>
    <col min="15659" max="15659" width="4.85546875" style="316" customWidth="1"/>
    <col min="15660" max="15660" width="13.85546875" style="316" customWidth="1"/>
    <col min="15661" max="15661" width="16.28515625" style="316" customWidth="1"/>
    <col min="15662" max="15662" width="14" style="316" customWidth="1"/>
    <col min="15663" max="15872" width="9.140625" style="316"/>
    <col min="15873" max="15873" width="3.140625" style="316" customWidth="1"/>
    <col min="15874" max="15874" width="16.5703125" style="316" customWidth="1"/>
    <col min="15875" max="15875" width="13.5703125" style="316" customWidth="1"/>
    <col min="15876" max="15876" width="6.85546875" style="316" customWidth="1"/>
    <col min="15877" max="15877" width="12.7109375" style="316" customWidth="1"/>
    <col min="15878" max="15878" width="15.28515625" style="316" customWidth="1"/>
    <col min="15879" max="15879" width="7.42578125" style="316" customWidth="1"/>
    <col min="15880" max="15880" width="17.42578125" style="316" customWidth="1"/>
    <col min="15881" max="15883" width="16" style="316" customWidth="1"/>
    <col min="15884" max="15884" width="3.140625" style="316" customWidth="1"/>
    <col min="15885" max="15885" width="4" style="316" customWidth="1"/>
    <col min="15886" max="15886" width="15.85546875" style="316" customWidth="1"/>
    <col min="15887" max="15887" width="14.140625" style="316" bestFit="1" customWidth="1"/>
    <col min="15888" max="15888" width="9.140625" style="316"/>
    <col min="15889" max="15889" width="15.85546875" style="316" customWidth="1"/>
    <col min="15890" max="15890" width="13.42578125" style="316" customWidth="1"/>
    <col min="15891" max="15891" width="6.140625" style="316" customWidth="1"/>
    <col min="15892" max="15892" width="15.85546875" style="316" customWidth="1"/>
    <col min="15893" max="15893" width="14.28515625" style="316" customWidth="1"/>
    <col min="15894" max="15894" width="15.42578125" style="316" customWidth="1"/>
    <col min="15895" max="15895" width="16" style="316" customWidth="1"/>
    <col min="15896" max="15896" width="3.140625" style="316" customWidth="1"/>
    <col min="15897" max="15897" width="5.7109375" style="316" customWidth="1"/>
    <col min="15898" max="15898" width="16.28515625" style="316" customWidth="1"/>
    <col min="15899" max="15899" width="14.140625" style="316" bestFit="1" customWidth="1"/>
    <col min="15900" max="15900" width="11.42578125" style="316" customWidth="1"/>
    <col min="15901" max="15901" width="14.85546875" style="316" customWidth="1"/>
    <col min="15902" max="15902" width="14" style="316" customWidth="1"/>
    <col min="15903" max="15903" width="5.5703125" style="316" customWidth="1"/>
    <col min="15904" max="15904" width="14.7109375" style="316" customWidth="1"/>
    <col min="15905" max="15905" width="13.85546875" style="316" customWidth="1"/>
    <col min="15906" max="15906" width="14.85546875" style="316" customWidth="1"/>
    <col min="15907" max="15907" width="16" style="316" customWidth="1"/>
    <col min="15908" max="15908" width="3.140625" style="316" customWidth="1"/>
    <col min="15909" max="15909" width="5.28515625" style="316" customWidth="1"/>
    <col min="15910" max="15910" width="16.42578125" style="316" customWidth="1"/>
    <col min="15911" max="15911" width="14.140625" style="316" bestFit="1" customWidth="1"/>
    <col min="15912" max="15912" width="8.7109375" style="316" customWidth="1"/>
    <col min="15913" max="15913" width="15.5703125" style="316" customWidth="1"/>
    <col min="15914" max="15914" width="14.28515625" style="316" customWidth="1"/>
    <col min="15915" max="15915" width="4.85546875" style="316" customWidth="1"/>
    <col min="15916" max="15916" width="13.85546875" style="316" customWidth="1"/>
    <col min="15917" max="15917" width="16.28515625" style="316" customWidth="1"/>
    <col min="15918" max="15918" width="14" style="316" customWidth="1"/>
    <col min="15919" max="16128" width="9.140625" style="316"/>
    <col min="16129" max="16129" width="3.140625" style="316" customWidth="1"/>
    <col min="16130" max="16130" width="16.5703125" style="316" customWidth="1"/>
    <col min="16131" max="16131" width="13.5703125" style="316" customWidth="1"/>
    <col min="16132" max="16132" width="6.85546875" style="316" customWidth="1"/>
    <col min="16133" max="16133" width="12.7109375" style="316" customWidth="1"/>
    <col min="16134" max="16134" width="15.28515625" style="316" customWidth="1"/>
    <col min="16135" max="16135" width="7.42578125" style="316" customWidth="1"/>
    <col min="16136" max="16136" width="17.42578125" style="316" customWidth="1"/>
    <col min="16137" max="16139" width="16" style="316" customWidth="1"/>
    <col min="16140" max="16140" width="3.140625" style="316" customWidth="1"/>
    <col min="16141" max="16141" width="4" style="316" customWidth="1"/>
    <col min="16142" max="16142" width="15.85546875" style="316" customWidth="1"/>
    <col min="16143" max="16143" width="14.140625" style="316" bestFit="1" customWidth="1"/>
    <col min="16144" max="16144" width="9.140625" style="316"/>
    <col min="16145" max="16145" width="15.85546875" style="316" customWidth="1"/>
    <col min="16146" max="16146" width="13.42578125" style="316" customWidth="1"/>
    <col min="16147" max="16147" width="6.140625" style="316" customWidth="1"/>
    <col min="16148" max="16148" width="15.85546875" style="316" customWidth="1"/>
    <col min="16149" max="16149" width="14.28515625" style="316" customWidth="1"/>
    <col min="16150" max="16150" width="15.42578125" style="316" customWidth="1"/>
    <col min="16151" max="16151" width="16" style="316" customWidth="1"/>
    <col min="16152" max="16152" width="3.140625" style="316" customWidth="1"/>
    <col min="16153" max="16153" width="5.7109375" style="316" customWidth="1"/>
    <col min="16154" max="16154" width="16.28515625" style="316" customWidth="1"/>
    <col min="16155" max="16155" width="14.140625" style="316" bestFit="1" customWidth="1"/>
    <col min="16156" max="16156" width="11.42578125" style="316" customWidth="1"/>
    <col min="16157" max="16157" width="14.85546875" style="316" customWidth="1"/>
    <col min="16158" max="16158" width="14" style="316" customWidth="1"/>
    <col min="16159" max="16159" width="5.5703125" style="316" customWidth="1"/>
    <col min="16160" max="16160" width="14.7109375" style="316" customWidth="1"/>
    <col min="16161" max="16161" width="13.85546875" style="316" customWidth="1"/>
    <col min="16162" max="16162" width="14.85546875" style="316" customWidth="1"/>
    <col min="16163" max="16163" width="16" style="316" customWidth="1"/>
    <col min="16164" max="16164" width="3.140625" style="316" customWidth="1"/>
    <col min="16165" max="16165" width="5.28515625" style="316" customWidth="1"/>
    <col min="16166" max="16166" width="16.42578125" style="316" customWidth="1"/>
    <col min="16167" max="16167" width="14.140625" style="316" bestFit="1" customWidth="1"/>
    <col min="16168" max="16168" width="8.7109375" style="316" customWidth="1"/>
    <col min="16169" max="16169" width="15.5703125" style="316" customWidth="1"/>
    <col min="16170" max="16170" width="14.28515625" style="316" customWidth="1"/>
    <col min="16171" max="16171" width="4.85546875" style="316" customWidth="1"/>
    <col min="16172" max="16172" width="13.85546875" style="316" customWidth="1"/>
    <col min="16173" max="16173" width="16.28515625" style="316" customWidth="1"/>
    <col min="16174" max="16174" width="14" style="316" customWidth="1"/>
    <col min="16175" max="16384" width="9.140625" style="316"/>
  </cols>
  <sheetData>
    <row r="1" spans="1:47" x14ac:dyDescent="0.25">
      <c r="A1" s="373" t="s">
        <v>351</v>
      </c>
      <c r="F1" s="375" t="s">
        <v>352</v>
      </c>
      <c r="G1" s="376" t="s">
        <v>353</v>
      </c>
      <c r="H1" s="375"/>
      <c r="I1" s="377" t="s">
        <v>354</v>
      </c>
      <c r="M1" s="373" t="s">
        <v>355</v>
      </c>
      <c r="Q1" s="375"/>
      <c r="R1" s="376" t="s">
        <v>356</v>
      </c>
      <c r="S1" s="375"/>
      <c r="T1" s="375"/>
      <c r="U1" s="373" t="s">
        <v>357</v>
      </c>
      <c r="Y1" s="373" t="s">
        <v>358</v>
      </c>
      <c r="AC1" s="375"/>
      <c r="AD1" s="376" t="s">
        <v>356</v>
      </c>
      <c r="AE1" s="375"/>
      <c r="AF1" s="375"/>
      <c r="AG1" s="373" t="s">
        <v>359</v>
      </c>
      <c r="AJ1" s="375"/>
      <c r="AK1" s="378" t="s">
        <v>360</v>
      </c>
      <c r="AL1" s="375"/>
      <c r="AM1" s="375"/>
      <c r="AN1" s="375"/>
      <c r="AO1" s="375" t="s">
        <v>361</v>
      </c>
      <c r="AP1" s="376" t="s">
        <v>362</v>
      </c>
      <c r="AQ1" s="375"/>
      <c r="AR1" s="375"/>
      <c r="AS1" s="378" t="s">
        <v>363</v>
      </c>
      <c r="AT1" s="375"/>
      <c r="AU1" s="375"/>
    </row>
    <row r="2" spans="1:47" x14ac:dyDescent="0.25">
      <c r="A2" s="379" t="s">
        <v>364</v>
      </c>
      <c r="M2" s="379" t="s">
        <v>365</v>
      </c>
      <c r="Y2" s="379" t="s">
        <v>366</v>
      </c>
      <c r="AJ2" s="375"/>
      <c r="AK2" s="376" t="s">
        <v>367</v>
      </c>
      <c r="AL2" s="375"/>
      <c r="AM2" s="375"/>
      <c r="AN2" s="375"/>
      <c r="AO2" s="375"/>
      <c r="AP2" s="380" t="s">
        <v>368</v>
      </c>
      <c r="AQ2" s="375"/>
      <c r="AR2" s="375"/>
      <c r="AS2" s="375"/>
      <c r="AT2" s="375"/>
      <c r="AU2" s="375"/>
    </row>
    <row r="3" spans="1:47" x14ac:dyDescent="0.25">
      <c r="A3" s="316" t="s">
        <v>369</v>
      </c>
      <c r="L3" s="381" t="s">
        <v>370</v>
      </c>
      <c r="M3" s="316" t="s">
        <v>369</v>
      </c>
      <c r="P3" s="374"/>
      <c r="X3" s="381" t="s">
        <v>370</v>
      </c>
      <c r="Y3" s="316" t="s">
        <v>369</v>
      </c>
      <c r="AJ3" s="382" t="s">
        <v>370</v>
      </c>
      <c r="AK3" s="375" t="s">
        <v>369</v>
      </c>
      <c r="AL3" s="375"/>
      <c r="AM3" s="375"/>
      <c r="AN3" s="383"/>
      <c r="AO3" s="375"/>
      <c r="AP3" s="375"/>
      <c r="AQ3" s="375"/>
      <c r="AR3" s="375"/>
      <c r="AS3" s="375"/>
      <c r="AT3" s="375"/>
      <c r="AU3" s="375"/>
    </row>
    <row r="4" spans="1:47" x14ac:dyDescent="0.25">
      <c r="L4" s="381" t="s">
        <v>370</v>
      </c>
      <c r="P4" s="374"/>
      <c r="X4" s="381" t="s">
        <v>370</v>
      </c>
      <c r="AJ4" s="382" t="s">
        <v>370</v>
      </c>
      <c r="AK4" s="375"/>
      <c r="AL4" s="375"/>
      <c r="AM4" s="375"/>
      <c r="AN4" s="383"/>
      <c r="AO4" s="375"/>
      <c r="AP4" s="375"/>
      <c r="AQ4" s="375"/>
      <c r="AR4" s="375"/>
      <c r="AS4" s="375"/>
      <c r="AT4" s="375"/>
      <c r="AU4" s="375"/>
    </row>
    <row r="5" spans="1:47" x14ac:dyDescent="0.25">
      <c r="A5" s="378" t="s">
        <v>371</v>
      </c>
      <c r="B5" s="375"/>
      <c r="C5" s="375"/>
      <c r="D5" s="383"/>
      <c r="E5" s="378" t="s">
        <v>372</v>
      </c>
      <c r="F5" s="384"/>
      <c r="G5" s="378" t="s">
        <v>373</v>
      </c>
      <c r="H5" s="384"/>
      <c r="I5" s="375"/>
      <c r="J5" s="385"/>
      <c r="K5" s="385"/>
      <c r="L5" s="381" t="s">
        <v>370</v>
      </c>
      <c r="M5" s="378" t="s">
        <v>371</v>
      </c>
      <c r="N5" s="375"/>
      <c r="O5" s="375"/>
      <c r="P5" s="383"/>
      <c r="Q5" s="378" t="s">
        <v>372</v>
      </c>
      <c r="R5" s="384"/>
      <c r="S5" s="378" t="s">
        <v>374</v>
      </c>
      <c r="T5" s="384"/>
      <c r="U5" s="375"/>
      <c r="V5" s="385"/>
      <c r="W5" s="385"/>
      <c r="X5" s="381" t="s">
        <v>370</v>
      </c>
      <c r="Y5" s="378" t="s">
        <v>371</v>
      </c>
      <c r="Z5" s="375"/>
      <c r="AA5" s="375"/>
      <c r="AB5" s="383"/>
      <c r="AC5" s="378" t="s">
        <v>372</v>
      </c>
      <c r="AD5" s="384"/>
      <c r="AE5" s="378" t="s">
        <v>375</v>
      </c>
      <c r="AF5" s="384"/>
      <c r="AG5" s="375"/>
      <c r="AH5" s="385"/>
      <c r="AI5" s="385"/>
      <c r="AJ5" s="382" t="s">
        <v>370</v>
      </c>
      <c r="AK5" s="378" t="s">
        <v>371</v>
      </c>
      <c r="AL5" s="375"/>
      <c r="AM5" s="375"/>
      <c r="AN5" s="383"/>
      <c r="AO5" s="378" t="s">
        <v>372</v>
      </c>
      <c r="AP5" s="384"/>
      <c r="AQ5" s="378" t="s">
        <v>376</v>
      </c>
      <c r="AR5" s="384"/>
      <c r="AS5" s="375"/>
      <c r="AT5" s="386"/>
      <c r="AU5" s="375"/>
    </row>
    <row r="6" spans="1:47" x14ac:dyDescent="0.25">
      <c r="A6" s="378"/>
      <c r="B6" s="375"/>
      <c r="C6" s="375"/>
      <c r="D6" s="383"/>
      <c r="E6" s="384" t="s">
        <v>377</v>
      </c>
      <c r="F6" s="384"/>
      <c r="G6" s="378" t="s">
        <v>378</v>
      </c>
      <c r="H6" s="384"/>
      <c r="I6" s="375"/>
      <c r="J6" s="385" t="s">
        <v>379</v>
      </c>
      <c r="K6" s="387" t="s">
        <v>380</v>
      </c>
      <c r="L6" s="381" t="s">
        <v>370</v>
      </c>
      <c r="M6" s="378"/>
      <c r="N6" s="375"/>
      <c r="O6" s="375"/>
      <c r="P6" s="383"/>
      <c r="Q6" s="384" t="s">
        <v>377</v>
      </c>
      <c r="R6" s="384"/>
      <c r="S6" s="378" t="s">
        <v>378</v>
      </c>
      <c r="T6" s="384"/>
      <c r="U6" s="375"/>
      <c r="V6" s="385" t="s">
        <v>379</v>
      </c>
      <c r="W6" s="387" t="s">
        <v>380</v>
      </c>
      <c r="X6" s="381" t="s">
        <v>370</v>
      </c>
      <c r="Y6" s="378"/>
      <c r="Z6" s="375"/>
      <c r="AA6" s="375"/>
      <c r="AB6" s="383"/>
      <c r="AC6" s="384" t="s">
        <v>377</v>
      </c>
      <c r="AD6" s="384"/>
      <c r="AE6" s="378" t="s">
        <v>378</v>
      </c>
      <c r="AF6" s="384"/>
      <c r="AG6" s="375"/>
      <c r="AH6" s="385" t="s">
        <v>379</v>
      </c>
      <c r="AI6" s="387" t="s">
        <v>380</v>
      </c>
      <c r="AJ6" s="382" t="s">
        <v>370</v>
      </c>
      <c r="AK6" s="378"/>
      <c r="AL6" s="375"/>
      <c r="AM6" s="375"/>
      <c r="AN6" s="383"/>
      <c r="AO6" s="384" t="s">
        <v>377</v>
      </c>
      <c r="AP6" s="384"/>
      <c r="AQ6" s="378" t="s">
        <v>378</v>
      </c>
      <c r="AR6" s="384"/>
      <c r="AS6" s="375"/>
      <c r="AT6" s="386" t="s">
        <v>379</v>
      </c>
      <c r="AU6" s="375"/>
    </row>
    <row r="7" spans="1:47" x14ac:dyDescent="0.25">
      <c r="J7" s="385" t="s">
        <v>381</v>
      </c>
      <c r="K7" s="388" t="s">
        <v>382</v>
      </c>
      <c r="L7" s="381" t="s">
        <v>370</v>
      </c>
      <c r="P7" s="374"/>
      <c r="V7" s="385" t="s">
        <v>381</v>
      </c>
      <c r="W7" s="388" t="s">
        <v>382</v>
      </c>
      <c r="X7" s="381" t="s">
        <v>370</v>
      </c>
      <c r="AH7" s="385" t="s">
        <v>381</v>
      </c>
      <c r="AI7" s="388" t="s">
        <v>382</v>
      </c>
      <c r="AJ7" s="382" t="s">
        <v>370</v>
      </c>
      <c r="AK7" s="375"/>
      <c r="AL7" s="375"/>
      <c r="AM7" s="375"/>
      <c r="AN7" s="383"/>
      <c r="AO7" s="375"/>
      <c r="AP7" s="375"/>
      <c r="AQ7" s="375"/>
      <c r="AR7" s="375"/>
      <c r="AS7" s="375"/>
      <c r="AT7" s="386" t="s">
        <v>381</v>
      </c>
      <c r="AU7" s="375"/>
    </row>
    <row r="8" spans="1:47" x14ac:dyDescent="0.25">
      <c r="B8" s="374" t="s">
        <v>383</v>
      </c>
      <c r="C8" s="374"/>
      <c r="D8" s="389" t="s">
        <v>384</v>
      </c>
      <c r="E8" s="374" t="s">
        <v>385</v>
      </c>
      <c r="F8" s="374" t="s">
        <v>386</v>
      </c>
      <c r="H8" s="385" t="s">
        <v>387</v>
      </c>
      <c r="I8" s="390" t="s">
        <v>17</v>
      </c>
      <c r="J8" s="385" t="s">
        <v>388</v>
      </c>
      <c r="K8" s="388" t="s">
        <v>14</v>
      </c>
      <c r="L8" s="381" t="s">
        <v>370</v>
      </c>
      <c r="N8" s="374" t="s">
        <v>383</v>
      </c>
      <c r="O8" s="374"/>
      <c r="P8" s="389" t="s">
        <v>384</v>
      </c>
      <c r="Q8" s="374" t="s">
        <v>385</v>
      </c>
      <c r="R8" s="374" t="s">
        <v>386</v>
      </c>
      <c r="T8" s="385" t="s">
        <v>387</v>
      </c>
      <c r="U8" s="390" t="s">
        <v>17</v>
      </c>
      <c r="V8" s="385" t="s">
        <v>388</v>
      </c>
      <c r="W8" s="388" t="s">
        <v>14</v>
      </c>
      <c r="X8" s="381" t="s">
        <v>370</v>
      </c>
      <c r="Z8" s="374" t="s">
        <v>383</v>
      </c>
      <c r="AA8" s="374"/>
      <c r="AB8" s="389" t="s">
        <v>384</v>
      </c>
      <c r="AC8" s="374" t="s">
        <v>385</v>
      </c>
      <c r="AD8" s="374" t="s">
        <v>386</v>
      </c>
      <c r="AF8" s="385" t="s">
        <v>387</v>
      </c>
      <c r="AG8" s="390" t="s">
        <v>17</v>
      </c>
      <c r="AH8" s="385" t="s">
        <v>388</v>
      </c>
      <c r="AI8" s="388" t="s">
        <v>14</v>
      </c>
      <c r="AJ8" s="382" t="s">
        <v>370</v>
      </c>
      <c r="AK8" s="375"/>
      <c r="AL8" s="383" t="s">
        <v>383</v>
      </c>
      <c r="AM8" s="383"/>
      <c r="AN8" s="391" t="s">
        <v>384</v>
      </c>
      <c r="AO8" s="383" t="s">
        <v>385</v>
      </c>
      <c r="AP8" s="383" t="s">
        <v>386</v>
      </c>
      <c r="AQ8" s="375"/>
      <c r="AR8" s="386" t="s">
        <v>387</v>
      </c>
      <c r="AS8" s="392" t="s">
        <v>17</v>
      </c>
      <c r="AT8" s="386" t="s">
        <v>388</v>
      </c>
      <c r="AU8" s="375"/>
    </row>
    <row r="9" spans="1:47" x14ac:dyDescent="0.25">
      <c r="B9" s="393" t="s">
        <v>389</v>
      </c>
      <c r="C9" s="393" t="s">
        <v>6</v>
      </c>
      <c r="D9" s="389" t="s">
        <v>390</v>
      </c>
      <c r="E9" s="393" t="s">
        <v>391</v>
      </c>
      <c r="F9" s="393" t="s">
        <v>391</v>
      </c>
      <c r="H9" s="389" t="s">
        <v>392</v>
      </c>
      <c r="I9" s="389" t="s">
        <v>392</v>
      </c>
      <c r="J9" s="389" t="s">
        <v>393</v>
      </c>
      <c r="K9" s="394" t="s">
        <v>394</v>
      </c>
      <c r="L9" s="381" t="s">
        <v>370</v>
      </c>
      <c r="N9" s="393" t="s">
        <v>389</v>
      </c>
      <c r="O9" s="393" t="s">
        <v>6</v>
      </c>
      <c r="P9" s="389" t="s">
        <v>390</v>
      </c>
      <c r="Q9" s="393" t="s">
        <v>391</v>
      </c>
      <c r="R9" s="393" t="s">
        <v>391</v>
      </c>
      <c r="T9" s="389" t="s">
        <v>392</v>
      </c>
      <c r="U9" s="389" t="s">
        <v>392</v>
      </c>
      <c r="V9" s="389" t="s">
        <v>393</v>
      </c>
      <c r="W9" s="394" t="s">
        <v>394</v>
      </c>
      <c r="X9" s="381" t="s">
        <v>370</v>
      </c>
      <c r="Z9" s="393" t="s">
        <v>389</v>
      </c>
      <c r="AA9" s="393" t="s">
        <v>6</v>
      </c>
      <c r="AB9" s="389" t="s">
        <v>390</v>
      </c>
      <c r="AC9" s="393" t="s">
        <v>391</v>
      </c>
      <c r="AD9" s="393" t="s">
        <v>391</v>
      </c>
      <c r="AF9" s="389" t="s">
        <v>392</v>
      </c>
      <c r="AG9" s="389" t="s">
        <v>392</v>
      </c>
      <c r="AH9" s="389" t="s">
        <v>393</v>
      </c>
      <c r="AI9" s="394" t="s">
        <v>394</v>
      </c>
      <c r="AJ9" s="382" t="s">
        <v>370</v>
      </c>
      <c r="AK9" s="375"/>
      <c r="AL9" s="395" t="s">
        <v>389</v>
      </c>
      <c r="AM9" s="395" t="s">
        <v>6</v>
      </c>
      <c r="AN9" s="391" t="s">
        <v>390</v>
      </c>
      <c r="AO9" s="395" t="s">
        <v>391</v>
      </c>
      <c r="AP9" s="395" t="s">
        <v>391</v>
      </c>
      <c r="AQ9" s="375"/>
      <c r="AR9" s="391" t="s">
        <v>392</v>
      </c>
      <c r="AS9" s="391" t="s">
        <v>392</v>
      </c>
      <c r="AT9" s="391" t="s">
        <v>393</v>
      </c>
      <c r="AU9" s="375"/>
    </row>
    <row r="10" spans="1:47" x14ac:dyDescent="0.25">
      <c r="B10" s="396">
        <v>32000000</v>
      </c>
      <c r="C10" s="397">
        <v>7.9500000000000005E-3</v>
      </c>
      <c r="D10" s="374">
        <v>360</v>
      </c>
      <c r="E10" s="398">
        <v>37967</v>
      </c>
      <c r="F10" s="399">
        <v>37988</v>
      </c>
      <c r="G10" s="400">
        <f>F10-E10</f>
        <v>21</v>
      </c>
      <c r="H10" s="401">
        <f>G10/D10*C10*B10</f>
        <v>14840</v>
      </c>
      <c r="I10" s="363">
        <f>(32000000*0.03695)*20/D10</f>
        <v>65688.888888888891</v>
      </c>
      <c r="J10" s="402">
        <f>H10-I10</f>
        <v>-50848.888888888891</v>
      </c>
      <c r="K10" s="402"/>
      <c r="L10" s="381" t="s">
        <v>370</v>
      </c>
      <c r="N10" s="396">
        <v>32000000</v>
      </c>
      <c r="O10" s="397">
        <v>7.9474999999999997E-3</v>
      </c>
      <c r="P10" s="374">
        <v>360</v>
      </c>
      <c r="Q10" s="398">
        <v>37966</v>
      </c>
      <c r="R10" s="399">
        <v>37988</v>
      </c>
      <c r="S10" s="400">
        <f>R10-Q10</f>
        <v>22</v>
      </c>
      <c r="T10" s="401">
        <f>S10/P10*O10*N10</f>
        <v>15541.777777777776</v>
      </c>
      <c r="U10" s="363">
        <v>68264</v>
      </c>
      <c r="V10" s="402">
        <f>T10-U10</f>
        <v>-52722.222222222226</v>
      </c>
      <c r="W10" s="402"/>
      <c r="X10" s="381" t="s">
        <v>370</v>
      </c>
      <c r="Z10" s="396">
        <v>32000000</v>
      </c>
      <c r="AA10" s="397">
        <v>7.9474999999999997E-3</v>
      </c>
      <c r="AB10" s="374">
        <v>360</v>
      </c>
      <c r="AC10" s="398">
        <v>37966</v>
      </c>
      <c r="AD10" s="399">
        <v>37988</v>
      </c>
      <c r="AE10" s="400">
        <f>AD10-AC10</f>
        <v>22</v>
      </c>
      <c r="AF10" s="401">
        <f>AE10/AB10*AA10*Z10</f>
        <v>15541.777777777776</v>
      </c>
      <c r="AG10" s="363">
        <v>68040</v>
      </c>
      <c r="AH10" s="402">
        <f>AF10-AG10</f>
        <v>-52498.222222222226</v>
      </c>
      <c r="AI10" s="402"/>
      <c r="AJ10" s="382" t="s">
        <v>370</v>
      </c>
      <c r="AK10" s="375"/>
      <c r="AL10" s="403">
        <v>32000000</v>
      </c>
      <c r="AM10" s="404">
        <v>7.4963E-3</v>
      </c>
      <c r="AN10" s="383">
        <v>360</v>
      </c>
      <c r="AO10" s="405">
        <v>37971</v>
      </c>
      <c r="AP10" s="406">
        <v>37988</v>
      </c>
      <c r="AQ10" s="407">
        <f>AP10-AO10</f>
        <v>17</v>
      </c>
      <c r="AR10" s="408">
        <v>11327.68</v>
      </c>
      <c r="AS10" s="409">
        <f>(32000000*0.03648)*15/AN10</f>
        <v>48640</v>
      </c>
      <c r="AT10" s="410">
        <f>AR10-AS10</f>
        <v>-37312.32</v>
      </c>
      <c r="AU10" s="375"/>
    </row>
    <row r="11" spans="1:47" x14ac:dyDescent="0.25">
      <c r="B11" s="396">
        <f>B10</f>
        <v>32000000</v>
      </c>
      <c r="C11" s="397">
        <v>7.6160000000000004E-3</v>
      </c>
      <c r="D11" s="374">
        <f>D10</f>
        <v>360</v>
      </c>
      <c r="E11" s="398">
        <f>F10</f>
        <v>37988</v>
      </c>
      <c r="F11" s="399">
        <v>38019</v>
      </c>
      <c r="G11" s="400">
        <f>F11-E11</f>
        <v>31</v>
      </c>
      <c r="H11" s="401">
        <f>G11/D11*C11*B11</f>
        <v>20986.31111111111</v>
      </c>
      <c r="I11" s="363">
        <f>(32000000*0.03695)*30/D11</f>
        <v>98533.333333333328</v>
      </c>
      <c r="J11" s="402">
        <f>H11-I11</f>
        <v>-77547.022222222222</v>
      </c>
      <c r="K11" s="402"/>
      <c r="L11" s="381" t="s">
        <v>370</v>
      </c>
      <c r="N11" s="396">
        <f>N10</f>
        <v>32000000</v>
      </c>
      <c r="O11" s="397">
        <v>7.6160000000000004E-3</v>
      </c>
      <c r="P11" s="374">
        <f>P10</f>
        <v>360</v>
      </c>
      <c r="Q11" s="398">
        <f>R10</f>
        <v>37988</v>
      </c>
      <c r="R11" s="399">
        <v>38019</v>
      </c>
      <c r="S11" s="400">
        <f>R11-Q11</f>
        <v>31</v>
      </c>
      <c r="T11" s="401">
        <f>S11/P11*O11*N11</f>
        <v>20986.31111111111</v>
      </c>
      <c r="U11" s="363">
        <f>(32000000*0.03657)*30/P11</f>
        <v>97520</v>
      </c>
      <c r="V11" s="402">
        <f>T11-U11</f>
        <v>-76533.688888888893</v>
      </c>
      <c r="W11" s="402"/>
      <c r="X11" s="381" t="s">
        <v>370</v>
      </c>
      <c r="Z11" s="396">
        <f>Z10</f>
        <v>32000000</v>
      </c>
      <c r="AA11" s="397">
        <v>7.6160000000000004E-3</v>
      </c>
      <c r="AB11" s="374">
        <f>AB10</f>
        <v>360</v>
      </c>
      <c r="AC11" s="399">
        <f>AD10</f>
        <v>37988</v>
      </c>
      <c r="AD11" s="399">
        <v>38019</v>
      </c>
      <c r="AE11" s="400">
        <f t="shared" ref="AE11:AE74" si="0">AD11-AC11</f>
        <v>31</v>
      </c>
      <c r="AF11" s="401">
        <f t="shared" ref="AF11:AF30" si="1">AE11/AB11*AA11*Z11</f>
        <v>20986.31111111111</v>
      </c>
      <c r="AG11" s="363">
        <f>(32000000*0.03645)*30/AB11</f>
        <v>97200</v>
      </c>
      <c r="AH11" s="402">
        <f t="shared" ref="AH11:AH74" si="2">AF11-AG11</f>
        <v>-76213.688888888893</v>
      </c>
      <c r="AI11" s="402"/>
      <c r="AJ11" s="382" t="s">
        <v>370</v>
      </c>
      <c r="AK11" s="375"/>
      <c r="AL11" s="403">
        <f>AL10</f>
        <v>32000000</v>
      </c>
      <c r="AM11" s="404">
        <v>7.6160000000000004E-3</v>
      </c>
      <c r="AN11" s="383">
        <f>AN10</f>
        <v>360</v>
      </c>
      <c r="AO11" s="405">
        <f>AP10</f>
        <v>37988</v>
      </c>
      <c r="AP11" s="406">
        <v>38019</v>
      </c>
      <c r="AQ11" s="407">
        <f>AP11-AO11</f>
        <v>31</v>
      </c>
      <c r="AR11" s="408">
        <f>AQ11/AN11*AM11*AL11</f>
        <v>20986.31111111111</v>
      </c>
      <c r="AS11" s="409">
        <f>(32000000*0.03648)*30/AN11</f>
        <v>97280</v>
      </c>
      <c r="AT11" s="410">
        <f>AR11-AS11</f>
        <v>-76293.688888888893</v>
      </c>
      <c r="AU11" s="375"/>
    </row>
    <row r="12" spans="1:47" x14ac:dyDescent="0.25">
      <c r="B12" s="396">
        <f t="shared" ref="B12:B75" si="3">B11</f>
        <v>32000000</v>
      </c>
      <c r="C12" s="397">
        <v>7.4799999999999997E-3</v>
      </c>
      <c r="D12" s="374">
        <f t="shared" ref="D12:D31" si="4">D11</f>
        <v>360</v>
      </c>
      <c r="E12" s="398">
        <f t="shared" ref="E12:E31" si="5">F11</f>
        <v>38019</v>
      </c>
      <c r="F12" s="399">
        <v>38047</v>
      </c>
      <c r="G12" s="400">
        <f t="shared" ref="G12:G75" si="6">F12-E12</f>
        <v>28</v>
      </c>
      <c r="H12" s="401">
        <f t="shared" ref="H12:H75" si="7">G12/D12*C12*B12</f>
        <v>18616.888888888887</v>
      </c>
      <c r="I12" s="363">
        <f>(32000000*0.03695)*29/D12</f>
        <v>95248.888888888891</v>
      </c>
      <c r="J12" s="402">
        <f t="shared" ref="J12:J75" si="8">H12-I12</f>
        <v>-76632</v>
      </c>
      <c r="K12" s="402"/>
      <c r="L12" s="381" t="s">
        <v>370</v>
      </c>
      <c r="N12" s="396">
        <f t="shared" ref="N12:N75" si="9">N11</f>
        <v>32000000</v>
      </c>
      <c r="O12" s="397">
        <v>7.4799999999999997E-3</v>
      </c>
      <c r="P12" s="374">
        <f t="shared" ref="P12:P31" si="10">P11</f>
        <v>360</v>
      </c>
      <c r="Q12" s="398">
        <f t="shared" ref="Q12:Q31" si="11">R11</f>
        <v>38019</v>
      </c>
      <c r="R12" s="399">
        <v>38047</v>
      </c>
      <c r="S12" s="400">
        <f t="shared" ref="S12:S75" si="12">R12-Q12</f>
        <v>28</v>
      </c>
      <c r="T12" s="401">
        <f>S12/P12*O12*N12</f>
        <v>18616.888888888887</v>
      </c>
      <c r="U12" s="363">
        <f>(32000000*0.03657)*29/P12</f>
        <v>94269.333333333328</v>
      </c>
      <c r="V12" s="402">
        <f t="shared" ref="V12:V75" si="13">T12-U12</f>
        <v>-75652.444444444438</v>
      </c>
      <c r="W12" s="402"/>
      <c r="X12" s="381" t="s">
        <v>370</v>
      </c>
      <c r="Z12" s="396">
        <f t="shared" ref="Z12:Z75" si="14">Z11</f>
        <v>32000000</v>
      </c>
      <c r="AA12" s="397">
        <v>7.4799999999999997E-3</v>
      </c>
      <c r="AB12" s="374">
        <f t="shared" ref="AB12:AB31" si="15">AB11</f>
        <v>360</v>
      </c>
      <c r="AC12" s="399">
        <f t="shared" ref="AC12:AC31" si="16">AD11</f>
        <v>38019</v>
      </c>
      <c r="AD12" s="399">
        <v>38047</v>
      </c>
      <c r="AE12" s="400">
        <f t="shared" si="0"/>
        <v>28</v>
      </c>
      <c r="AF12" s="401">
        <f t="shared" si="1"/>
        <v>18616.888888888887</v>
      </c>
      <c r="AG12" s="363">
        <f>(32000000*0.03645)*29/AB12</f>
        <v>93960</v>
      </c>
      <c r="AH12" s="402">
        <f t="shared" si="2"/>
        <v>-75343.111111111109</v>
      </c>
      <c r="AI12" s="402"/>
      <c r="AJ12" s="382" t="s">
        <v>370</v>
      </c>
      <c r="AK12" s="375"/>
      <c r="AL12" s="403">
        <f t="shared" ref="AL12:AL67" si="17">AL11</f>
        <v>32000000</v>
      </c>
      <c r="AM12" s="404">
        <v>7.4799999999999997E-3</v>
      </c>
      <c r="AN12" s="383">
        <f t="shared" ref="AN12:AN31" si="18">AN11</f>
        <v>360</v>
      </c>
      <c r="AO12" s="405">
        <f t="shared" ref="AO12:AO31" si="19">AP11</f>
        <v>38019</v>
      </c>
      <c r="AP12" s="406">
        <v>38047</v>
      </c>
      <c r="AQ12" s="407">
        <f t="shared" ref="AQ12:AQ67" si="20">AP12-AO12</f>
        <v>28</v>
      </c>
      <c r="AR12" s="408">
        <f t="shared" ref="AR12:AR30" si="21">AQ12/AN12*AM12*AL12</f>
        <v>18616.888888888887</v>
      </c>
      <c r="AS12" s="409">
        <f>(32000000*0.03648)*30/AN12</f>
        <v>97280</v>
      </c>
      <c r="AT12" s="410">
        <f t="shared" ref="AT12:AT67" si="22">AR12-AS12</f>
        <v>-78663.111111111109</v>
      </c>
      <c r="AU12" s="375"/>
    </row>
    <row r="13" spans="1:47" x14ac:dyDescent="0.25">
      <c r="B13" s="396">
        <f t="shared" si="3"/>
        <v>32000000</v>
      </c>
      <c r="C13" s="397">
        <v>7.4545000000000002E-3</v>
      </c>
      <c r="D13" s="374">
        <f t="shared" si="4"/>
        <v>360</v>
      </c>
      <c r="E13" s="398">
        <f t="shared" si="5"/>
        <v>38047</v>
      </c>
      <c r="F13" s="399">
        <v>38078</v>
      </c>
      <c r="G13" s="400">
        <f t="shared" si="6"/>
        <v>31</v>
      </c>
      <c r="H13" s="401">
        <f t="shared" si="7"/>
        <v>20541.288888888892</v>
      </c>
      <c r="I13" s="363">
        <f t="shared" ref="I13:I30" si="23">(32000000*0.03695)*30/D13</f>
        <v>98533.333333333328</v>
      </c>
      <c r="J13" s="402">
        <f t="shared" si="8"/>
        <v>-77992.044444444444</v>
      </c>
      <c r="K13" s="402"/>
      <c r="L13" s="381" t="s">
        <v>370</v>
      </c>
      <c r="N13" s="396">
        <f t="shared" si="9"/>
        <v>32000000</v>
      </c>
      <c r="O13" s="397">
        <v>7.4545000000000002E-3</v>
      </c>
      <c r="P13" s="374">
        <f t="shared" si="10"/>
        <v>360</v>
      </c>
      <c r="Q13" s="398">
        <f t="shared" si="11"/>
        <v>38047</v>
      </c>
      <c r="R13" s="399">
        <v>38078</v>
      </c>
      <c r="S13" s="400">
        <f t="shared" si="12"/>
        <v>31</v>
      </c>
      <c r="T13" s="401">
        <f t="shared" ref="T13:T30" si="24">S13/P13*O13*N13</f>
        <v>20541.288888888892</v>
      </c>
      <c r="U13" s="363">
        <f t="shared" ref="U13:U30" si="25">(32000000*0.03657)*30/P13</f>
        <v>97520</v>
      </c>
      <c r="V13" s="402">
        <f t="shared" si="13"/>
        <v>-76978.711111111101</v>
      </c>
      <c r="W13" s="402"/>
      <c r="X13" s="381" t="s">
        <v>370</v>
      </c>
      <c r="Z13" s="396">
        <f t="shared" si="14"/>
        <v>32000000</v>
      </c>
      <c r="AA13" s="397">
        <v>7.4545000000000002E-3</v>
      </c>
      <c r="AB13" s="374">
        <f t="shared" si="15"/>
        <v>360</v>
      </c>
      <c r="AC13" s="399">
        <f t="shared" si="16"/>
        <v>38047</v>
      </c>
      <c r="AD13" s="399">
        <v>38078</v>
      </c>
      <c r="AE13" s="400">
        <f t="shared" si="0"/>
        <v>31</v>
      </c>
      <c r="AF13" s="401">
        <f t="shared" si="1"/>
        <v>20541.288888888892</v>
      </c>
      <c r="AG13" s="363">
        <f t="shared" ref="AG13:AG30" si="26">(32000000*0.03645)*30/AB13</f>
        <v>97200</v>
      </c>
      <c r="AH13" s="402">
        <f t="shared" si="2"/>
        <v>-76658.711111111101</v>
      </c>
      <c r="AI13" s="402"/>
      <c r="AJ13" s="382" t="s">
        <v>370</v>
      </c>
      <c r="AK13" s="375"/>
      <c r="AL13" s="403">
        <f t="shared" si="17"/>
        <v>32000000</v>
      </c>
      <c r="AM13" s="404">
        <v>7.4545000000000002E-3</v>
      </c>
      <c r="AN13" s="383">
        <f t="shared" si="18"/>
        <v>360</v>
      </c>
      <c r="AO13" s="405">
        <f t="shared" si="19"/>
        <v>38047</v>
      </c>
      <c r="AP13" s="406">
        <v>38078</v>
      </c>
      <c r="AQ13" s="407">
        <f t="shared" si="20"/>
        <v>31</v>
      </c>
      <c r="AR13" s="408">
        <f t="shared" si="21"/>
        <v>20541.288888888892</v>
      </c>
      <c r="AS13" s="409">
        <f t="shared" ref="AS13:AS67" si="27">(32000000*0.03648)*30/AN13</f>
        <v>97280</v>
      </c>
      <c r="AT13" s="410">
        <f t="shared" si="22"/>
        <v>-76738.711111111101</v>
      </c>
      <c r="AU13" s="375"/>
    </row>
    <row r="14" spans="1:47" x14ac:dyDescent="0.25">
      <c r="B14" s="396">
        <f t="shared" si="3"/>
        <v>32000000</v>
      </c>
      <c r="C14" s="397">
        <v>7.4120000000000002E-3</v>
      </c>
      <c r="D14" s="374">
        <f t="shared" si="4"/>
        <v>360</v>
      </c>
      <c r="E14" s="398">
        <f t="shared" si="5"/>
        <v>38078</v>
      </c>
      <c r="F14" s="399">
        <v>38111</v>
      </c>
      <c r="G14" s="400">
        <f t="shared" si="6"/>
        <v>33</v>
      </c>
      <c r="H14" s="401">
        <f t="shared" si="7"/>
        <v>21741.866666666665</v>
      </c>
      <c r="I14" s="363">
        <f>(32000000*0.03695)*33/D14</f>
        <v>108386.66666666667</v>
      </c>
      <c r="J14" s="402">
        <f t="shared" si="8"/>
        <v>-86644.800000000003</v>
      </c>
      <c r="K14" s="402"/>
      <c r="L14" s="381" t="s">
        <v>370</v>
      </c>
      <c r="N14" s="396">
        <f t="shared" si="9"/>
        <v>32000000</v>
      </c>
      <c r="O14" s="397">
        <v>7.4120000000000002E-3</v>
      </c>
      <c r="P14" s="374">
        <f t="shared" si="10"/>
        <v>360</v>
      </c>
      <c r="Q14" s="398">
        <f t="shared" si="11"/>
        <v>38078</v>
      </c>
      <c r="R14" s="399">
        <v>38111</v>
      </c>
      <c r="S14" s="400">
        <f t="shared" si="12"/>
        <v>33</v>
      </c>
      <c r="T14" s="401">
        <f t="shared" si="24"/>
        <v>21741.866666666665</v>
      </c>
      <c r="U14" s="363">
        <f>(32000000*0.03657)*33/P14</f>
        <v>107272</v>
      </c>
      <c r="V14" s="402">
        <f t="shared" si="13"/>
        <v>-85530.133333333331</v>
      </c>
      <c r="W14" s="402"/>
      <c r="X14" s="381" t="s">
        <v>370</v>
      </c>
      <c r="Z14" s="396">
        <f t="shared" si="14"/>
        <v>32000000</v>
      </c>
      <c r="AA14" s="397">
        <v>7.4120000000000002E-3</v>
      </c>
      <c r="AB14" s="374">
        <f t="shared" si="15"/>
        <v>360</v>
      </c>
      <c r="AC14" s="399">
        <f t="shared" si="16"/>
        <v>38078</v>
      </c>
      <c r="AD14" s="399">
        <v>38111</v>
      </c>
      <c r="AE14" s="400">
        <f t="shared" si="0"/>
        <v>33</v>
      </c>
      <c r="AF14" s="401">
        <f t="shared" si="1"/>
        <v>21741.866666666665</v>
      </c>
      <c r="AG14" s="363">
        <f>(32000000*0.03645)*33/AB14</f>
        <v>106920</v>
      </c>
      <c r="AH14" s="402">
        <f t="shared" si="2"/>
        <v>-85178.133333333331</v>
      </c>
      <c r="AI14" s="402"/>
      <c r="AJ14" s="382" t="s">
        <v>370</v>
      </c>
      <c r="AK14" s="375"/>
      <c r="AL14" s="403">
        <f t="shared" si="17"/>
        <v>32000000</v>
      </c>
      <c r="AM14" s="404">
        <v>7.4120000000000002E-3</v>
      </c>
      <c r="AN14" s="383">
        <f t="shared" si="18"/>
        <v>360</v>
      </c>
      <c r="AO14" s="405">
        <f t="shared" si="19"/>
        <v>38078</v>
      </c>
      <c r="AP14" s="406">
        <v>38111</v>
      </c>
      <c r="AQ14" s="407">
        <f t="shared" si="20"/>
        <v>33</v>
      </c>
      <c r="AR14" s="408">
        <f t="shared" si="21"/>
        <v>21741.866666666665</v>
      </c>
      <c r="AS14" s="409">
        <f>(32000000*0.03648)*30/AN14</f>
        <v>97280</v>
      </c>
      <c r="AT14" s="410">
        <f t="shared" si="22"/>
        <v>-75538.133333333331</v>
      </c>
      <c r="AU14" s="375"/>
    </row>
    <row r="15" spans="1:47" x14ac:dyDescent="0.25">
      <c r="B15" s="396">
        <f t="shared" si="3"/>
        <v>32000000</v>
      </c>
      <c r="C15" s="397">
        <v>7.4799999999999997E-3</v>
      </c>
      <c r="D15" s="374">
        <f t="shared" si="4"/>
        <v>360</v>
      </c>
      <c r="E15" s="398">
        <f t="shared" si="5"/>
        <v>38111</v>
      </c>
      <c r="F15" s="399">
        <v>38139</v>
      </c>
      <c r="G15" s="400">
        <f t="shared" si="6"/>
        <v>28</v>
      </c>
      <c r="H15" s="401">
        <f t="shared" si="7"/>
        <v>18616.888888888887</v>
      </c>
      <c r="I15" s="363">
        <f>(32000000*0.03695)*27/D15</f>
        <v>88680</v>
      </c>
      <c r="J15" s="402">
        <f t="shared" si="8"/>
        <v>-70063.111111111109</v>
      </c>
      <c r="K15" s="402"/>
      <c r="L15" s="381" t="s">
        <v>370</v>
      </c>
      <c r="N15" s="396">
        <f t="shared" si="9"/>
        <v>32000000</v>
      </c>
      <c r="O15" s="397">
        <v>7.4799999999999997E-3</v>
      </c>
      <c r="P15" s="374">
        <f t="shared" si="10"/>
        <v>360</v>
      </c>
      <c r="Q15" s="398">
        <f t="shared" si="11"/>
        <v>38111</v>
      </c>
      <c r="R15" s="399">
        <v>38139</v>
      </c>
      <c r="S15" s="400">
        <f t="shared" si="12"/>
        <v>28</v>
      </c>
      <c r="T15" s="401">
        <f t="shared" si="24"/>
        <v>18616.888888888887</v>
      </c>
      <c r="U15" s="363">
        <f>(32000000*0.03657)*27/P15</f>
        <v>87768</v>
      </c>
      <c r="V15" s="402">
        <f t="shared" si="13"/>
        <v>-69151.111111111109</v>
      </c>
      <c r="W15" s="402"/>
      <c r="X15" s="381" t="s">
        <v>370</v>
      </c>
      <c r="Z15" s="396">
        <f t="shared" si="14"/>
        <v>32000000</v>
      </c>
      <c r="AA15" s="397">
        <v>7.4799999999999997E-3</v>
      </c>
      <c r="AB15" s="374">
        <f t="shared" si="15"/>
        <v>360</v>
      </c>
      <c r="AC15" s="399">
        <f t="shared" si="16"/>
        <v>38111</v>
      </c>
      <c r="AD15" s="399">
        <v>38139</v>
      </c>
      <c r="AE15" s="400">
        <f t="shared" si="0"/>
        <v>28</v>
      </c>
      <c r="AF15" s="401">
        <f t="shared" si="1"/>
        <v>18616.888888888887</v>
      </c>
      <c r="AG15" s="363">
        <f>(32000000*0.03645)*27/AB15</f>
        <v>87480</v>
      </c>
      <c r="AH15" s="402">
        <f t="shared" si="2"/>
        <v>-68863.111111111109</v>
      </c>
      <c r="AI15" s="402"/>
      <c r="AJ15" s="382" t="s">
        <v>370</v>
      </c>
      <c r="AK15" s="375"/>
      <c r="AL15" s="403">
        <f t="shared" si="17"/>
        <v>32000000</v>
      </c>
      <c r="AM15" s="404">
        <v>7.4799999999999997E-3</v>
      </c>
      <c r="AN15" s="383">
        <f t="shared" si="18"/>
        <v>360</v>
      </c>
      <c r="AO15" s="405">
        <f t="shared" si="19"/>
        <v>38111</v>
      </c>
      <c r="AP15" s="406">
        <v>38139</v>
      </c>
      <c r="AQ15" s="407">
        <f t="shared" si="20"/>
        <v>28</v>
      </c>
      <c r="AR15" s="408">
        <f t="shared" si="21"/>
        <v>18616.888888888887</v>
      </c>
      <c r="AS15" s="409">
        <f t="shared" si="27"/>
        <v>97280</v>
      </c>
      <c r="AT15" s="410">
        <f t="shared" si="22"/>
        <v>-78663.111111111109</v>
      </c>
      <c r="AU15" s="375"/>
    </row>
    <row r="16" spans="1:47" x14ac:dyDescent="0.25">
      <c r="B16" s="396">
        <f t="shared" si="3"/>
        <v>32000000</v>
      </c>
      <c r="C16" s="397">
        <v>7.548E-3</v>
      </c>
      <c r="D16" s="374">
        <f t="shared" si="4"/>
        <v>360</v>
      </c>
      <c r="E16" s="398">
        <f t="shared" si="5"/>
        <v>38139</v>
      </c>
      <c r="F16" s="399">
        <v>38169</v>
      </c>
      <c r="G16" s="400">
        <f t="shared" si="6"/>
        <v>30</v>
      </c>
      <c r="H16" s="401">
        <f t="shared" si="7"/>
        <v>20128</v>
      </c>
      <c r="I16" s="363">
        <f t="shared" si="23"/>
        <v>98533.333333333328</v>
      </c>
      <c r="J16" s="402">
        <f t="shared" si="8"/>
        <v>-78405.333333333328</v>
      </c>
      <c r="K16" s="402"/>
      <c r="L16" s="381" t="s">
        <v>370</v>
      </c>
      <c r="N16" s="396">
        <f t="shared" si="9"/>
        <v>32000000</v>
      </c>
      <c r="O16" s="397">
        <v>7.548E-3</v>
      </c>
      <c r="P16" s="374">
        <f t="shared" si="10"/>
        <v>360</v>
      </c>
      <c r="Q16" s="398">
        <f t="shared" si="11"/>
        <v>38139</v>
      </c>
      <c r="R16" s="399">
        <v>38169</v>
      </c>
      <c r="S16" s="400">
        <f t="shared" si="12"/>
        <v>30</v>
      </c>
      <c r="T16" s="401">
        <f t="shared" si="24"/>
        <v>20128</v>
      </c>
      <c r="U16" s="363">
        <f t="shared" si="25"/>
        <v>97520</v>
      </c>
      <c r="V16" s="402">
        <f t="shared" si="13"/>
        <v>-77392</v>
      </c>
      <c r="W16" s="402"/>
      <c r="X16" s="381" t="s">
        <v>370</v>
      </c>
      <c r="Z16" s="396">
        <f t="shared" si="14"/>
        <v>32000000</v>
      </c>
      <c r="AA16" s="397">
        <v>7.548E-3</v>
      </c>
      <c r="AB16" s="374">
        <f t="shared" si="15"/>
        <v>360</v>
      </c>
      <c r="AC16" s="399">
        <f t="shared" si="16"/>
        <v>38139</v>
      </c>
      <c r="AD16" s="399">
        <v>38169</v>
      </c>
      <c r="AE16" s="400">
        <f t="shared" si="0"/>
        <v>30</v>
      </c>
      <c r="AF16" s="401">
        <f t="shared" si="1"/>
        <v>20128</v>
      </c>
      <c r="AG16" s="363">
        <f t="shared" si="26"/>
        <v>97200</v>
      </c>
      <c r="AH16" s="402">
        <f t="shared" si="2"/>
        <v>-77072</v>
      </c>
      <c r="AI16" s="402"/>
      <c r="AJ16" s="382" t="s">
        <v>370</v>
      </c>
      <c r="AK16" s="375"/>
      <c r="AL16" s="403">
        <f t="shared" si="17"/>
        <v>32000000</v>
      </c>
      <c r="AM16" s="404">
        <v>7.548E-3</v>
      </c>
      <c r="AN16" s="383">
        <f t="shared" si="18"/>
        <v>360</v>
      </c>
      <c r="AO16" s="405">
        <f t="shared" si="19"/>
        <v>38139</v>
      </c>
      <c r="AP16" s="406">
        <v>38169</v>
      </c>
      <c r="AQ16" s="407">
        <f t="shared" si="20"/>
        <v>30</v>
      </c>
      <c r="AR16" s="408">
        <f t="shared" si="21"/>
        <v>20128</v>
      </c>
      <c r="AS16" s="409">
        <f t="shared" si="27"/>
        <v>97280</v>
      </c>
      <c r="AT16" s="410">
        <f t="shared" si="22"/>
        <v>-77152</v>
      </c>
      <c r="AU16" s="375"/>
    </row>
    <row r="17" spans="2:47" x14ac:dyDescent="0.25">
      <c r="B17" s="396">
        <f t="shared" si="3"/>
        <v>32000000</v>
      </c>
      <c r="C17" s="397">
        <v>9.2479999999999993E-3</v>
      </c>
      <c r="D17" s="374">
        <f t="shared" si="4"/>
        <v>360</v>
      </c>
      <c r="E17" s="398">
        <f t="shared" si="5"/>
        <v>38169</v>
      </c>
      <c r="F17" s="399">
        <v>38201</v>
      </c>
      <c r="G17" s="400">
        <f t="shared" si="6"/>
        <v>32</v>
      </c>
      <c r="H17" s="401">
        <f t="shared" si="7"/>
        <v>26305.422222222223</v>
      </c>
      <c r="I17" s="363">
        <f>(32000000*0.03695)*31/D17</f>
        <v>101817.77777777778</v>
      </c>
      <c r="J17" s="402">
        <f t="shared" si="8"/>
        <v>-75512.35555555555</v>
      </c>
      <c r="K17" s="402"/>
      <c r="L17" s="381" t="s">
        <v>370</v>
      </c>
      <c r="N17" s="396">
        <f t="shared" si="9"/>
        <v>32000000</v>
      </c>
      <c r="O17" s="397">
        <v>9.2479999999999993E-3</v>
      </c>
      <c r="P17" s="374">
        <f t="shared" si="10"/>
        <v>360</v>
      </c>
      <c r="Q17" s="398">
        <f t="shared" si="11"/>
        <v>38169</v>
      </c>
      <c r="R17" s="399">
        <v>38201</v>
      </c>
      <c r="S17" s="400">
        <f t="shared" si="12"/>
        <v>32</v>
      </c>
      <c r="T17" s="401">
        <f>ROUND(S17/P17*O17*N17,2)</f>
        <v>26305.42</v>
      </c>
      <c r="U17" s="363">
        <f>ROUND((32000000*0.03657)*31/P17,2)</f>
        <v>100770.67</v>
      </c>
      <c r="V17" s="402">
        <f t="shared" si="13"/>
        <v>-74465.25</v>
      </c>
      <c r="W17" s="402"/>
      <c r="X17" s="381" t="s">
        <v>370</v>
      </c>
      <c r="Z17" s="396">
        <f t="shared" si="14"/>
        <v>32000000</v>
      </c>
      <c r="AA17" s="397">
        <v>9.2479999999999993E-3</v>
      </c>
      <c r="AB17" s="374">
        <f t="shared" si="15"/>
        <v>360</v>
      </c>
      <c r="AC17" s="399">
        <f t="shared" si="16"/>
        <v>38169</v>
      </c>
      <c r="AD17" s="399">
        <v>38201</v>
      </c>
      <c r="AE17" s="400">
        <f t="shared" si="0"/>
        <v>32</v>
      </c>
      <c r="AF17" s="401">
        <f t="shared" si="1"/>
        <v>26305.422222222223</v>
      </c>
      <c r="AG17" s="363">
        <f>(32000000*0.03645)*31/AB17</f>
        <v>100440</v>
      </c>
      <c r="AH17" s="402">
        <f t="shared" si="2"/>
        <v>-74134.577777777769</v>
      </c>
      <c r="AI17" s="402"/>
      <c r="AJ17" s="382" t="s">
        <v>370</v>
      </c>
      <c r="AK17" s="375"/>
      <c r="AL17" s="403">
        <f t="shared" si="17"/>
        <v>32000000</v>
      </c>
      <c r="AM17" s="404">
        <v>9.2479999999999993E-3</v>
      </c>
      <c r="AN17" s="383">
        <f t="shared" si="18"/>
        <v>360</v>
      </c>
      <c r="AO17" s="405">
        <f t="shared" si="19"/>
        <v>38169</v>
      </c>
      <c r="AP17" s="406">
        <v>38201</v>
      </c>
      <c r="AQ17" s="407">
        <f t="shared" si="20"/>
        <v>32</v>
      </c>
      <c r="AR17" s="408">
        <f t="shared" si="21"/>
        <v>26305.422222222223</v>
      </c>
      <c r="AS17" s="409">
        <f t="shared" si="27"/>
        <v>97280</v>
      </c>
      <c r="AT17" s="410">
        <f t="shared" si="22"/>
        <v>-70974.577777777769</v>
      </c>
      <c r="AU17" s="375"/>
    </row>
    <row r="18" spans="2:47" x14ac:dyDescent="0.25">
      <c r="B18" s="396">
        <f t="shared" si="3"/>
        <v>32000000</v>
      </c>
      <c r="C18" s="397">
        <v>1.0144800000000001E-2</v>
      </c>
      <c r="D18" s="374">
        <f t="shared" si="4"/>
        <v>360</v>
      </c>
      <c r="E18" s="398">
        <f t="shared" si="5"/>
        <v>38201</v>
      </c>
      <c r="F18" s="399">
        <v>38231</v>
      </c>
      <c r="G18" s="400">
        <f t="shared" si="6"/>
        <v>30</v>
      </c>
      <c r="H18" s="401">
        <f t="shared" si="7"/>
        <v>27052.800000000003</v>
      </c>
      <c r="I18" s="363">
        <f>(32000000*0.03695)*29/D18</f>
        <v>95248.888888888891</v>
      </c>
      <c r="J18" s="402">
        <f t="shared" si="8"/>
        <v>-68196.088888888888</v>
      </c>
      <c r="K18" s="402"/>
      <c r="L18" s="381" t="s">
        <v>370</v>
      </c>
      <c r="N18" s="396">
        <f t="shared" si="9"/>
        <v>32000000</v>
      </c>
      <c r="O18" s="397">
        <v>1.0144780000000001E-2</v>
      </c>
      <c r="P18" s="374">
        <f t="shared" si="10"/>
        <v>360</v>
      </c>
      <c r="Q18" s="398">
        <f t="shared" si="11"/>
        <v>38201</v>
      </c>
      <c r="R18" s="399">
        <v>38231</v>
      </c>
      <c r="S18" s="400">
        <f t="shared" si="12"/>
        <v>30</v>
      </c>
      <c r="T18" s="401">
        <f>(ROUND(S18/P18*O18*N18,6))+0.015</f>
        <v>27052.761666999999</v>
      </c>
      <c r="U18" s="363">
        <f>(32000000*0.03657)*29/P18</f>
        <v>94269.333333333328</v>
      </c>
      <c r="V18" s="402">
        <f t="shared" si="13"/>
        <v>-67216.57166633333</v>
      </c>
      <c r="W18" s="402"/>
      <c r="X18" s="381" t="s">
        <v>370</v>
      </c>
      <c r="Z18" s="396">
        <f t="shared" si="14"/>
        <v>32000000</v>
      </c>
      <c r="AA18" s="397">
        <v>1.0144780000000001E-2</v>
      </c>
      <c r="AB18" s="374">
        <f t="shared" si="15"/>
        <v>360</v>
      </c>
      <c r="AC18" s="399">
        <f t="shared" si="16"/>
        <v>38201</v>
      </c>
      <c r="AD18" s="399">
        <v>38231</v>
      </c>
      <c r="AE18" s="400">
        <f t="shared" si="0"/>
        <v>30</v>
      </c>
      <c r="AF18" s="401">
        <f>(AE18/AB18*AA18*Z18)+0.01</f>
        <v>27052.756666666668</v>
      </c>
      <c r="AG18" s="363">
        <f>(32000000*0.03645)*29/AB18</f>
        <v>93960</v>
      </c>
      <c r="AH18" s="402">
        <f t="shared" si="2"/>
        <v>-66907.243333333332</v>
      </c>
      <c r="AI18" s="402"/>
      <c r="AJ18" s="382" t="s">
        <v>370</v>
      </c>
      <c r="AK18" s="375"/>
      <c r="AL18" s="403">
        <f t="shared" si="17"/>
        <v>32000000</v>
      </c>
      <c r="AM18" s="404">
        <v>1.0144780000000001E-2</v>
      </c>
      <c r="AN18" s="383">
        <f t="shared" si="18"/>
        <v>360</v>
      </c>
      <c r="AO18" s="405">
        <f t="shared" si="19"/>
        <v>38201</v>
      </c>
      <c r="AP18" s="406">
        <v>38231</v>
      </c>
      <c r="AQ18" s="407">
        <f t="shared" si="20"/>
        <v>30</v>
      </c>
      <c r="AR18" s="408">
        <f>(AQ18/AN18*AM18*AL18)+0.01</f>
        <v>27052.756666666668</v>
      </c>
      <c r="AS18" s="409">
        <f t="shared" si="27"/>
        <v>97280</v>
      </c>
      <c r="AT18" s="410">
        <f t="shared" si="22"/>
        <v>-70227.243333333332</v>
      </c>
      <c r="AU18" s="375"/>
    </row>
    <row r="19" spans="2:47" x14ac:dyDescent="0.25">
      <c r="B19" s="396">
        <f t="shared" si="3"/>
        <v>32000000</v>
      </c>
      <c r="C19" s="397">
        <v>1.1220000000000001E-2</v>
      </c>
      <c r="D19" s="374">
        <f t="shared" si="4"/>
        <v>360</v>
      </c>
      <c r="E19" s="398">
        <f t="shared" si="5"/>
        <v>38231</v>
      </c>
      <c r="F19" s="399">
        <v>38261</v>
      </c>
      <c r="G19" s="400">
        <f t="shared" si="6"/>
        <v>30</v>
      </c>
      <c r="H19" s="401">
        <f t="shared" si="7"/>
        <v>29920.000000000004</v>
      </c>
      <c r="I19" s="363">
        <f t="shared" si="23"/>
        <v>98533.333333333328</v>
      </c>
      <c r="J19" s="402">
        <f t="shared" si="8"/>
        <v>-68613.333333333328</v>
      </c>
      <c r="K19" s="402"/>
      <c r="L19" s="381" t="s">
        <v>370</v>
      </c>
      <c r="N19" s="396">
        <f t="shared" si="9"/>
        <v>32000000</v>
      </c>
      <c r="O19" s="397">
        <v>1.1220000000000001E-2</v>
      </c>
      <c r="P19" s="374">
        <f t="shared" si="10"/>
        <v>360</v>
      </c>
      <c r="Q19" s="398">
        <f t="shared" si="11"/>
        <v>38231</v>
      </c>
      <c r="R19" s="399">
        <v>38261</v>
      </c>
      <c r="S19" s="400">
        <f t="shared" si="12"/>
        <v>30</v>
      </c>
      <c r="T19" s="401">
        <f t="shared" si="24"/>
        <v>29920.000000000004</v>
      </c>
      <c r="U19" s="363">
        <f t="shared" si="25"/>
        <v>97520</v>
      </c>
      <c r="V19" s="402">
        <f t="shared" si="13"/>
        <v>-67600</v>
      </c>
      <c r="W19" s="402"/>
      <c r="X19" s="381" t="s">
        <v>370</v>
      </c>
      <c r="Z19" s="396">
        <f t="shared" si="14"/>
        <v>32000000</v>
      </c>
      <c r="AA19" s="397">
        <v>1.1220000000000001E-2</v>
      </c>
      <c r="AB19" s="374">
        <f t="shared" si="15"/>
        <v>360</v>
      </c>
      <c r="AC19" s="399">
        <f t="shared" si="16"/>
        <v>38231</v>
      </c>
      <c r="AD19" s="399">
        <v>38261</v>
      </c>
      <c r="AE19" s="400">
        <f t="shared" si="0"/>
        <v>30</v>
      </c>
      <c r="AF19" s="401">
        <f t="shared" si="1"/>
        <v>29920.000000000004</v>
      </c>
      <c r="AG19" s="363">
        <f t="shared" si="26"/>
        <v>97200</v>
      </c>
      <c r="AH19" s="402">
        <f t="shared" si="2"/>
        <v>-67280</v>
      </c>
      <c r="AI19" s="402"/>
      <c r="AJ19" s="382" t="s">
        <v>370</v>
      </c>
      <c r="AK19" s="375"/>
      <c r="AL19" s="403">
        <f t="shared" si="17"/>
        <v>32000000</v>
      </c>
      <c r="AM19" s="404">
        <v>1.1220000000000001E-2</v>
      </c>
      <c r="AN19" s="383">
        <f t="shared" si="18"/>
        <v>360</v>
      </c>
      <c r="AO19" s="405">
        <f t="shared" si="19"/>
        <v>38231</v>
      </c>
      <c r="AP19" s="406">
        <v>38261</v>
      </c>
      <c r="AQ19" s="407">
        <f t="shared" si="20"/>
        <v>30</v>
      </c>
      <c r="AR19" s="408">
        <f t="shared" si="21"/>
        <v>29920.000000000004</v>
      </c>
      <c r="AS19" s="409">
        <f t="shared" si="27"/>
        <v>97280</v>
      </c>
      <c r="AT19" s="410">
        <f t="shared" si="22"/>
        <v>-67360</v>
      </c>
      <c r="AU19" s="375"/>
    </row>
    <row r="20" spans="2:47" x14ac:dyDescent="0.25">
      <c r="B20" s="396">
        <f t="shared" si="3"/>
        <v>32000000</v>
      </c>
      <c r="C20" s="397">
        <v>1.2512000000000001E-2</v>
      </c>
      <c r="D20" s="374">
        <f t="shared" si="4"/>
        <v>360</v>
      </c>
      <c r="E20" s="398">
        <f t="shared" si="5"/>
        <v>38261</v>
      </c>
      <c r="F20" s="399">
        <v>38292</v>
      </c>
      <c r="G20" s="400">
        <f t="shared" si="6"/>
        <v>31</v>
      </c>
      <c r="H20" s="401">
        <f t="shared" si="7"/>
        <v>34477.511111111118</v>
      </c>
      <c r="I20" s="363">
        <f>(32000000*0.03695)*30/D20</f>
        <v>98533.333333333328</v>
      </c>
      <c r="J20" s="402">
        <f t="shared" si="8"/>
        <v>-64055.82222222221</v>
      </c>
      <c r="K20" s="402"/>
      <c r="L20" s="381" t="s">
        <v>370</v>
      </c>
      <c r="N20" s="396">
        <f t="shared" si="9"/>
        <v>32000000</v>
      </c>
      <c r="O20" s="397">
        <v>1.2512000000000001E-2</v>
      </c>
      <c r="P20" s="374">
        <f t="shared" si="10"/>
        <v>360</v>
      </c>
      <c r="Q20" s="398">
        <f t="shared" si="11"/>
        <v>38261</v>
      </c>
      <c r="R20" s="399">
        <v>38292</v>
      </c>
      <c r="S20" s="400">
        <f t="shared" si="12"/>
        <v>31</v>
      </c>
      <c r="T20" s="401">
        <f t="shared" si="24"/>
        <v>34477.511111111118</v>
      </c>
      <c r="U20" s="363">
        <f t="shared" si="25"/>
        <v>97520</v>
      </c>
      <c r="V20" s="402">
        <f t="shared" si="13"/>
        <v>-63042.488888888882</v>
      </c>
      <c r="W20" s="402"/>
      <c r="X20" s="381" t="s">
        <v>370</v>
      </c>
      <c r="Z20" s="396">
        <f t="shared" si="14"/>
        <v>32000000</v>
      </c>
      <c r="AA20" s="397">
        <v>1.2512000000000001E-2</v>
      </c>
      <c r="AB20" s="374">
        <f t="shared" si="15"/>
        <v>360</v>
      </c>
      <c r="AC20" s="399">
        <f t="shared" si="16"/>
        <v>38261</v>
      </c>
      <c r="AD20" s="399">
        <v>38292</v>
      </c>
      <c r="AE20" s="400">
        <f t="shared" si="0"/>
        <v>31</v>
      </c>
      <c r="AF20" s="401">
        <f t="shared" si="1"/>
        <v>34477.511111111118</v>
      </c>
      <c r="AG20" s="363">
        <f t="shared" si="26"/>
        <v>97200</v>
      </c>
      <c r="AH20" s="402">
        <f t="shared" si="2"/>
        <v>-62722.488888888882</v>
      </c>
      <c r="AI20" s="402"/>
      <c r="AJ20" s="382" t="s">
        <v>370</v>
      </c>
      <c r="AK20" s="375"/>
      <c r="AL20" s="403">
        <f t="shared" si="17"/>
        <v>32000000</v>
      </c>
      <c r="AM20" s="404">
        <v>1.2512000000000001E-2</v>
      </c>
      <c r="AN20" s="383">
        <f t="shared" si="18"/>
        <v>360</v>
      </c>
      <c r="AO20" s="405">
        <f t="shared" si="19"/>
        <v>38261</v>
      </c>
      <c r="AP20" s="406">
        <v>38292</v>
      </c>
      <c r="AQ20" s="407">
        <f t="shared" si="20"/>
        <v>31</v>
      </c>
      <c r="AR20" s="408">
        <f t="shared" si="21"/>
        <v>34477.511111111118</v>
      </c>
      <c r="AS20" s="409">
        <f t="shared" si="27"/>
        <v>97280</v>
      </c>
      <c r="AT20" s="410">
        <f t="shared" si="22"/>
        <v>-62802.488888888882</v>
      </c>
      <c r="AU20" s="375"/>
    </row>
    <row r="21" spans="2:47" x14ac:dyDescent="0.25">
      <c r="B21" s="396">
        <f t="shared" si="3"/>
        <v>32000000</v>
      </c>
      <c r="C21" s="397">
        <v>1.3531999999999999E-2</v>
      </c>
      <c r="D21" s="374">
        <f t="shared" si="4"/>
        <v>360</v>
      </c>
      <c r="E21" s="398">
        <f t="shared" si="5"/>
        <v>38292</v>
      </c>
      <c r="F21" s="399">
        <v>38322</v>
      </c>
      <c r="G21" s="400">
        <f t="shared" si="6"/>
        <v>30</v>
      </c>
      <c r="H21" s="401">
        <f t="shared" si="7"/>
        <v>36085.333333333328</v>
      </c>
      <c r="I21" s="363">
        <f t="shared" si="23"/>
        <v>98533.333333333328</v>
      </c>
      <c r="J21" s="402">
        <f t="shared" si="8"/>
        <v>-62448</v>
      </c>
      <c r="K21" s="402"/>
      <c r="L21" s="381" t="s">
        <v>370</v>
      </c>
      <c r="N21" s="396">
        <f t="shared" si="9"/>
        <v>32000000</v>
      </c>
      <c r="O21" s="397">
        <v>1.3531999999999999E-2</v>
      </c>
      <c r="P21" s="374">
        <f t="shared" si="10"/>
        <v>360</v>
      </c>
      <c r="Q21" s="398">
        <f t="shared" si="11"/>
        <v>38292</v>
      </c>
      <c r="R21" s="399">
        <v>38322</v>
      </c>
      <c r="S21" s="400">
        <f t="shared" si="12"/>
        <v>30</v>
      </c>
      <c r="T21" s="401">
        <f t="shared" si="24"/>
        <v>36085.333333333328</v>
      </c>
      <c r="U21" s="363">
        <f t="shared" si="25"/>
        <v>97520</v>
      </c>
      <c r="V21" s="402">
        <f t="shared" si="13"/>
        <v>-61434.666666666672</v>
      </c>
      <c r="W21" s="402"/>
      <c r="X21" s="381" t="s">
        <v>370</v>
      </c>
      <c r="Z21" s="396">
        <f t="shared" si="14"/>
        <v>32000000</v>
      </c>
      <c r="AA21" s="397">
        <v>1.3531999999999999E-2</v>
      </c>
      <c r="AB21" s="374">
        <f t="shared" si="15"/>
        <v>360</v>
      </c>
      <c r="AC21" s="399">
        <f t="shared" si="16"/>
        <v>38292</v>
      </c>
      <c r="AD21" s="399">
        <v>38322</v>
      </c>
      <c r="AE21" s="400">
        <f t="shared" si="0"/>
        <v>30</v>
      </c>
      <c r="AF21" s="401">
        <f t="shared" si="1"/>
        <v>36085.333333333328</v>
      </c>
      <c r="AG21" s="363">
        <f t="shared" si="26"/>
        <v>97200</v>
      </c>
      <c r="AH21" s="402">
        <f t="shared" si="2"/>
        <v>-61114.666666666672</v>
      </c>
      <c r="AI21" s="402"/>
      <c r="AJ21" s="382" t="s">
        <v>370</v>
      </c>
      <c r="AK21" s="375"/>
      <c r="AL21" s="403">
        <f t="shared" si="17"/>
        <v>32000000</v>
      </c>
      <c r="AM21" s="404">
        <v>1.3531999999999999E-2</v>
      </c>
      <c r="AN21" s="383">
        <f t="shared" si="18"/>
        <v>360</v>
      </c>
      <c r="AO21" s="405">
        <f t="shared" si="19"/>
        <v>38292</v>
      </c>
      <c r="AP21" s="406">
        <v>38322</v>
      </c>
      <c r="AQ21" s="407">
        <f t="shared" si="20"/>
        <v>30</v>
      </c>
      <c r="AR21" s="408">
        <f t="shared" si="21"/>
        <v>36085.333333333328</v>
      </c>
      <c r="AS21" s="409">
        <f t="shared" si="27"/>
        <v>97280</v>
      </c>
      <c r="AT21" s="410">
        <f t="shared" si="22"/>
        <v>-61194.666666666672</v>
      </c>
      <c r="AU21" s="375"/>
    </row>
    <row r="22" spans="2:47" x14ac:dyDescent="0.25">
      <c r="B22" s="396">
        <f t="shared" si="3"/>
        <v>32000000</v>
      </c>
      <c r="C22" s="397">
        <v>1.5504E-2</v>
      </c>
      <c r="D22" s="374">
        <f t="shared" si="4"/>
        <v>360</v>
      </c>
      <c r="E22" s="398">
        <f t="shared" si="5"/>
        <v>38322</v>
      </c>
      <c r="F22" s="399">
        <v>38356</v>
      </c>
      <c r="G22" s="400">
        <f t="shared" si="6"/>
        <v>34</v>
      </c>
      <c r="H22" s="401">
        <f t="shared" si="7"/>
        <v>46856.533333333333</v>
      </c>
      <c r="I22" s="363">
        <f>(32000000*0.03695)*33/D22</f>
        <v>108386.66666666667</v>
      </c>
      <c r="J22" s="402">
        <f t="shared" si="8"/>
        <v>-61530.133333333339</v>
      </c>
      <c r="K22" s="402"/>
      <c r="L22" s="381" t="s">
        <v>370</v>
      </c>
      <c r="N22" s="396">
        <f t="shared" si="9"/>
        <v>32000000</v>
      </c>
      <c r="O22" s="397">
        <v>1.5504E-2</v>
      </c>
      <c r="P22" s="374">
        <f t="shared" si="10"/>
        <v>360</v>
      </c>
      <c r="Q22" s="398">
        <f t="shared" si="11"/>
        <v>38322</v>
      </c>
      <c r="R22" s="399">
        <v>38356</v>
      </c>
      <c r="S22" s="400">
        <f t="shared" si="12"/>
        <v>34</v>
      </c>
      <c r="T22" s="401">
        <f t="shared" si="24"/>
        <v>46856.533333333333</v>
      </c>
      <c r="U22" s="363">
        <f>(32000000*0.03657)*33/P22</f>
        <v>107272</v>
      </c>
      <c r="V22" s="402">
        <f t="shared" si="13"/>
        <v>-60415.466666666667</v>
      </c>
      <c r="W22" s="402"/>
      <c r="X22" s="381" t="s">
        <v>370</v>
      </c>
      <c r="Z22" s="396">
        <f t="shared" si="14"/>
        <v>32000000</v>
      </c>
      <c r="AA22" s="397">
        <v>1.5504E-2</v>
      </c>
      <c r="AB22" s="374">
        <f t="shared" si="15"/>
        <v>360</v>
      </c>
      <c r="AC22" s="399">
        <f t="shared" si="16"/>
        <v>38322</v>
      </c>
      <c r="AD22" s="399">
        <v>38356</v>
      </c>
      <c r="AE22" s="400">
        <f t="shared" si="0"/>
        <v>34</v>
      </c>
      <c r="AF22" s="401">
        <f t="shared" si="1"/>
        <v>46856.533333333333</v>
      </c>
      <c r="AG22" s="363">
        <f>(32000000*0.03645)*33/AB22</f>
        <v>106920</v>
      </c>
      <c r="AH22" s="402">
        <f t="shared" si="2"/>
        <v>-60063.466666666667</v>
      </c>
      <c r="AI22" s="402"/>
      <c r="AJ22" s="382" t="s">
        <v>370</v>
      </c>
      <c r="AK22" s="375"/>
      <c r="AL22" s="403">
        <f t="shared" si="17"/>
        <v>32000000</v>
      </c>
      <c r="AM22" s="404">
        <v>1.5504E-2</v>
      </c>
      <c r="AN22" s="383">
        <f t="shared" si="18"/>
        <v>360</v>
      </c>
      <c r="AO22" s="405">
        <f t="shared" si="19"/>
        <v>38322</v>
      </c>
      <c r="AP22" s="406">
        <v>38356</v>
      </c>
      <c r="AQ22" s="407">
        <f t="shared" si="20"/>
        <v>34</v>
      </c>
      <c r="AR22" s="408">
        <f t="shared" si="21"/>
        <v>46856.533333333333</v>
      </c>
      <c r="AS22" s="409">
        <f t="shared" si="27"/>
        <v>97280</v>
      </c>
      <c r="AT22" s="410">
        <f t="shared" si="22"/>
        <v>-50423.466666666667</v>
      </c>
      <c r="AU22" s="375"/>
    </row>
    <row r="23" spans="2:47" x14ac:dyDescent="0.25">
      <c r="B23" s="396">
        <f t="shared" si="3"/>
        <v>32000000</v>
      </c>
      <c r="C23" s="397">
        <v>1.6251999999999999E-2</v>
      </c>
      <c r="D23" s="374">
        <f t="shared" si="4"/>
        <v>360</v>
      </c>
      <c r="E23" s="398">
        <f t="shared" si="5"/>
        <v>38356</v>
      </c>
      <c r="F23" s="399">
        <v>38384</v>
      </c>
      <c r="G23" s="400">
        <f t="shared" si="6"/>
        <v>28</v>
      </c>
      <c r="H23" s="401">
        <f t="shared" si="7"/>
        <v>40449.422222222216</v>
      </c>
      <c r="I23" s="363">
        <f>(32000000*0.03695)*27/D23</f>
        <v>88680</v>
      </c>
      <c r="J23" s="402">
        <f t="shared" si="8"/>
        <v>-48230.577777777784</v>
      </c>
      <c r="K23" s="402"/>
      <c r="L23" s="381" t="s">
        <v>370</v>
      </c>
      <c r="N23" s="396">
        <f t="shared" si="9"/>
        <v>32000000</v>
      </c>
      <c r="O23" s="397">
        <v>1.6251999999999999E-2</v>
      </c>
      <c r="P23" s="374">
        <f t="shared" si="10"/>
        <v>360</v>
      </c>
      <c r="Q23" s="398">
        <f t="shared" si="11"/>
        <v>38356</v>
      </c>
      <c r="R23" s="399">
        <v>38384</v>
      </c>
      <c r="S23" s="400">
        <f t="shared" si="12"/>
        <v>28</v>
      </c>
      <c r="T23" s="401">
        <f t="shared" si="24"/>
        <v>40449.422222222216</v>
      </c>
      <c r="U23" s="363">
        <f>(32000000*0.03657)*27/P23</f>
        <v>87768</v>
      </c>
      <c r="V23" s="402">
        <f t="shared" si="13"/>
        <v>-47318.577777777784</v>
      </c>
      <c r="W23" s="402"/>
      <c r="X23" s="381" t="s">
        <v>370</v>
      </c>
      <c r="Z23" s="396">
        <f t="shared" si="14"/>
        <v>32000000</v>
      </c>
      <c r="AA23" s="397">
        <v>1.6251999999999999E-2</v>
      </c>
      <c r="AB23" s="374">
        <f t="shared" si="15"/>
        <v>360</v>
      </c>
      <c r="AC23" s="399">
        <f t="shared" si="16"/>
        <v>38356</v>
      </c>
      <c r="AD23" s="399">
        <v>38384</v>
      </c>
      <c r="AE23" s="400">
        <f t="shared" si="0"/>
        <v>28</v>
      </c>
      <c r="AF23" s="401">
        <f t="shared" si="1"/>
        <v>40449.422222222216</v>
      </c>
      <c r="AG23" s="363">
        <f>(32000000*0.03645)*27/AB23</f>
        <v>87480</v>
      </c>
      <c r="AH23" s="402">
        <f t="shared" si="2"/>
        <v>-47030.577777777784</v>
      </c>
      <c r="AI23" s="402"/>
      <c r="AJ23" s="382" t="s">
        <v>370</v>
      </c>
      <c r="AK23" s="375"/>
      <c r="AL23" s="403">
        <f t="shared" si="17"/>
        <v>32000000</v>
      </c>
      <c r="AM23" s="404">
        <v>1.6251999999999999E-2</v>
      </c>
      <c r="AN23" s="383">
        <f t="shared" si="18"/>
        <v>360</v>
      </c>
      <c r="AO23" s="405">
        <f t="shared" si="19"/>
        <v>38356</v>
      </c>
      <c r="AP23" s="406">
        <v>38384</v>
      </c>
      <c r="AQ23" s="407">
        <f t="shared" si="20"/>
        <v>28</v>
      </c>
      <c r="AR23" s="408">
        <f t="shared" si="21"/>
        <v>40449.422222222216</v>
      </c>
      <c r="AS23" s="409">
        <f t="shared" si="27"/>
        <v>97280</v>
      </c>
      <c r="AT23" s="410">
        <f t="shared" si="22"/>
        <v>-56830.577777777784</v>
      </c>
      <c r="AU23" s="375"/>
    </row>
    <row r="24" spans="2:47" x14ac:dyDescent="0.25">
      <c r="B24" s="396">
        <f t="shared" si="3"/>
        <v>32000000</v>
      </c>
      <c r="C24" s="397">
        <v>1.7612000000000003E-2</v>
      </c>
      <c r="D24" s="374">
        <f t="shared" si="4"/>
        <v>360</v>
      </c>
      <c r="E24" s="398">
        <f t="shared" si="5"/>
        <v>38384</v>
      </c>
      <c r="F24" s="399">
        <v>38412</v>
      </c>
      <c r="G24" s="400">
        <f t="shared" si="6"/>
        <v>28</v>
      </c>
      <c r="H24" s="401">
        <f t="shared" si="7"/>
        <v>43834.311111111121</v>
      </c>
      <c r="I24" s="363">
        <f t="shared" si="23"/>
        <v>98533.333333333328</v>
      </c>
      <c r="J24" s="402">
        <f t="shared" si="8"/>
        <v>-54699.022222222207</v>
      </c>
      <c r="K24" s="402"/>
      <c r="L24" s="381" t="s">
        <v>370</v>
      </c>
      <c r="N24" s="396">
        <f t="shared" si="9"/>
        <v>32000000</v>
      </c>
      <c r="O24" s="397">
        <v>1.7612000000000003E-2</v>
      </c>
      <c r="P24" s="374">
        <f t="shared" si="10"/>
        <v>360</v>
      </c>
      <c r="Q24" s="398">
        <f t="shared" si="11"/>
        <v>38384</v>
      </c>
      <c r="R24" s="399">
        <v>38412</v>
      </c>
      <c r="S24" s="400">
        <f t="shared" si="12"/>
        <v>28</v>
      </c>
      <c r="T24" s="401">
        <f t="shared" si="24"/>
        <v>43834.311111111121</v>
      </c>
      <c r="U24" s="363">
        <f t="shared" si="25"/>
        <v>97520</v>
      </c>
      <c r="V24" s="402">
        <f t="shared" si="13"/>
        <v>-53685.688888888879</v>
      </c>
      <c r="W24" s="402"/>
      <c r="X24" s="381" t="s">
        <v>370</v>
      </c>
      <c r="Z24" s="396">
        <f t="shared" si="14"/>
        <v>32000000</v>
      </c>
      <c r="AA24" s="397">
        <v>1.7612000000000003E-2</v>
      </c>
      <c r="AB24" s="374">
        <f t="shared" si="15"/>
        <v>360</v>
      </c>
      <c r="AC24" s="399">
        <f t="shared" si="16"/>
        <v>38384</v>
      </c>
      <c r="AD24" s="399">
        <v>38412</v>
      </c>
      <c r="AE24" s="400">
        <f t="shared" si="0"/>
        <v>28</v>
      </c>
      <c r="AF24" s="401">
        <f t="shared" si="1"/>
        <v>43834.311111111121</v>
      </c>
      <c r="AG24" s="363">
        <f t="shared" si="26"/>
        <v>97200</v>
      </c>
      <c r="AH24" s="402">
        <f t="shared" si="2"/>
        <v>-53365.688888888879</v>
      </c>
      <c r="AI24" s="402"/>
      <c r="AJ24" s="382" t="s">
        <v>370</v>
      </c>
      <c r="AK24" s="375"/>
      <c r="AL24" s="403">
        <f t="shared" si="17"/>
        <v>32000000</v>
      </c>
      <c r="AM24" s="404">
        <v>1.7612000000000003E-2</v>
      </c>
      <c r="AN24" s="383">
        <f t="shared" si="18"/>
        <v>360</v>
      </c>
      <c r="AO24" s="405">
        <f t="shared" si="19"/>
        <v>38384</v>
      </c>
      <c r="AP24" s="406">
        <v>38412</v>
      </c>
      <c r="AQ24" s="407">
        <f t="shared" si="20"/>
        <v>28</v>
      </c>
      <c r="AR24" s="408">
        <f t="shared" si="21"/>
        <v>43834.311111111121</v>
      </c>
      <c r="AS24" s="409">
        <f t="shared" si="27"/>
        <v>97280</v>
      </c>
      <c r="AT24" s="410">
        <f t="shared" si="22"/>
        <v>-53445.688888888879</v>
      </c>
      <c r="AU24" s="375"/>
    </row>
    <row r="25" spans="2:47" x14ac:dyDescent="0.25">
      <c r="B25" s="396">
        <f t="shared" si="3"/>
        <v>32000000</v>
      </c>
      <c r="C25" s="397">
        <v>1.8291999999999999E-2</v>
      </c>
      <c r="D25" s="374">
        <f t="shared" si="4"/>
        <v>360</v>
      </c>
      <c r="E25" s="398">
        <f t="shared" si="5"/>
        <v>38412</v>
      </c>
      <c r="F25" s="399">
        <v>38443</v>
      </c>
      <c r="G25" s="400">
        <f t="shared" si="6"/>
        <v>31</v>
      </c>
      <c r="H25" s="401">
        <f t="shared" si="7"/>
        <v>50404.62222222222</v>
      </c>
      <c r="I25" s="363">
        <f t="shared" si="23"/>
        <v>98533.333333333328</v>
      </c>
      <c r="J25" s="402">
        <f t="shared" si="8"/>
        <v>-48128.711111111108</v>
      </c>
      <c r="K25" s="402"/>
      <c r="L25" s="381" t="s">
        <v>370</v>
      </c>
      <c r="N25" s="396">
        <f t="shared" si="9"/>
        <v>32000000</v>
      </c>
      <c r="O25" s="397">
        <v>1.8291999999999999E-2</v>
      </c>
      <c r="P25" s="374">
        <f t="shared" si="10"/>
        <v>360</v>
      </c>
      <c r="Q25" s="398">
        <f t="shared" si="11"/>
        <v>38412</v>
      </c>
      <c r="R25" s="399">
        <v>38443</v>
      </c>
      <c r="S25" s="400">
        <f t="shared" si="12"/>
        <v>31</v>
      </c>
      <c r="T25" s="401">
        <f t="shared" si="24"/>
        <v>50404.62222222222</v>
      </c>
      <c r="U25" s="363">
        <f t="shared" si="25"/>
        <v>97520</v>
      </c>
      <c r="V25" s="402">
        <f t="shared" si="13"/>
        <v>-47115.37777777778</v>
      </c>
      <c r="W25" s="402"/>
      <c r="X25" s="381" t="s">
        <v>370</v>
      </c>
      <c r="Z25" s="396">
        <f t="shared" si="14"/>
        <v>32000000</v>
      </c>
      <c r="AA25" s="397">
        <v>1.8291999999999999E-2</v>
      </c>
      <c r="AB25" s="374">
        <f t="shared" si="15"/>
        <v>360</v>
      </c>
      <c r="AC25" s="399">
        <f t="shared" si="16"/>
        <v>38412</v>
      </c>
      <c r="AD25" s="399">
        <v>38443</v>
      </c>
      <c r="AE25" s="400">
        <f t="shared" si="0"/>
        <v>31</v>
      </c>
      <c r="AF25" s="401">
        <f t="shared" si="1"/>
        <v>50404.62222222222</v>
      </c>
      <c r="AG25" s="363">
        <f t="shared" si="26"/>
        <v>97200</v>
      </c>
      <c r="AH25" s="402">
        <f t="shared" si="2"/>
        <v>-46795.37777777778</v>
      </c>
      <c r="AI25" s="402"/>
      <c r="AJ25" s="382" t="s">
        <v>370</v>
      </c>
      <c r="AK25" s="375"/>
      <c r="AL25" s="403">
        <f t="shared" si="17"/>
        <v>32000000</v>
      </c>
      <c r="AM25" s="404">
        <v>1.8291999999999999E-2</v>
      </c>
      <c r="AN25" s="383">
        <f t="shared" si="18"/>
        <v>360</v>
      </c>
      <c r="AO25" s="405">
        <f t="shared" si="19"/>
        <v>38412</v>
      </c>
      <c r="AP25" s="406">
        <v>38443</v>
      </c>
      <c r="AQ25" s="407">
        <f t="shared" si="20"/>
        <v>31</v>
      </c>
      <c r="AR25" s="408">
        <f t="shared" si="21"/>
        <v>50404.62222222222</v>
      </c>
      <c r="AS25" s="409">
        <f t="shared" si="27"/>
        <v>97280</v>
      </c>
      <c r="AT25" s="410">
        <f t="shared" si="22"/>
        <v>-46875.37777777778</v>
      </c>
      <c r="AU25" s="375"/>
    </row>
    <row r="26" spans="2:47" x14ac:dyDescent="0.25">
      <c r="B26" s="396">
        <f t="shared" si="3"/>
        <v>32000000</v>
      </c>
      <c r="C26" s="397">
        <v>1.9448E-2</v>
      </c>
      <c r="D26" s="374">
        <f t="shared" si="4"/>
        <v>360</v>
      </c>
      <c r="E26" s="398">
        <f t="shared" si="5"/>
        <v>38443</v>
      </c>
      <c r="F26" s="399">
        <v>38475</v>
      </c>
      <c r="G26" s="400">
        <f t="shared" si="6"/>
        <v>32</v>
      </c>
      <c r="H26" s="401">
        <f t="shared" si="7"/>
        <v>55318.755555555559</v>
      </c>
      <c r="I26" s="363">
        <f>(32000000*0.03695)*32/D26</f>
        <v>105102.22222222222</v>
      </c>
      <c r="J26" s="402">
        <f t="shared" si="8"/>
        <v>-49783.46666666666</v>
      </c>
      <c r="K26" s="402"/>
      <c r="L26" s="381" t="s">
        <v>370</v>
      </c>
      <c r="N26" s="396">
        <f t="shared" si="9"/>
        <v>32000000</v>
      </c>
      <c r="O26" s="397">
        <v>1.9448E-2</v>
      </c>
      <c r="P26" s="374">
        <f t="shared" si="10"/>
        <v>360</v>
      </c>
      <c r="Q26" s="398">
        <f t="shared" si="11"/>
        <v>38443</v>
      </c>
      <c r="R26" s="399">
        <v>38475</v>
      </c>
      <c r="S26" s="400">
        <f t="shared" si="12"/>
        <v>32</v>
      </c>
      <c r="T26" s="401">
        <f t="shared" si="24"/>
        <v>55318.755555555559</v>
      </c>
      <c r="U26" s="363">
        <f>(32000000*0.03657)*32/P26</f>
        <v>104021.33333333333</v>
      </c>
      <c r="V26" s="402">
        <f t="shared" si="13"/>
        <v>-48702.577777777769</v>
      </c>
      <c r="W26" s="402"/>
      <c r="X26" s="381" t="s">
        <v>370</v>
      </c>
      <c r="Z26" s="396">
        <f t="shared" si="14"/>
        <v>32000000</v>
      </c>
      <c r="AA26" s="397">
        <v>1.9448E-2</v>
      </c>
      <c r="AB26" s="374">
        <f t="shared" si="15"/>
        <v>360</v>
      </c>
      <c r="AC26" s="399">
        <f t="shared" si="16"/>
        <v>38443</v>
      </c>
      <c r="AD26" s="399">
        <v>38475</v>
      </c>
      <c r="AE26" s="400">
        <f t="shared" si="0"/>
        <v>32</v>
      </c>
      <c r="AF26" s="401">
        <f t="shared" si="1"/>
        <v>55318.755555555559</v>
      </c>
      <c r="AG26" s="363">
        <f>(32000000*0.03645)*32/AB26</f>
        <v>103680</v>
      </c>
      <c r="AH26" s="402">
        <f t="shared" si="2"/>
        <v>-48361.244444444441</v>
      </c>
      <c r="AI26" s="402"/>
      <c r="AJ26" s="382" t="s">
        <v>370</v>
      </c>
      <c r="AK26" s="375"/>
      <c r="AL26" s="403">
        <f t="shared" si="17"/>
        <v>32000000</v>
      </c>
      <c r="AM26" s="404">
        <v>1.9448E-2</v>
      </c>
      <c r="AN26" s="383">
        <f t="shared" si="18"/>
        <v>360</v>
      </c>
      <c r="AO26" s="405">
        <f t="shared" si="19"/>
        <v>38443</v>
      </c>
      <c r="AP26" s="406">
        <v>38475</v>
      </c>
      <c r="AQ26" s="407">
        <f t="shared" si="20"/>
        <v>32</v>
      </c>
      <c r="AR26" s="408">
        <f t="shared" si="21"/>
        <v>55318.755555555559</v>
      </c>
      <c r="AS26" s="409">
        <f t="shared" si="27"/>
        <v>97280</v>
      </c>
      <c r="AT26" s="410">
        <f t="shared" si="22"/>
        <v>-41961.244444444441</v>
      </c>
      <c r="AU26" s="375"/>
    </row>
    <row r="27" spans="2:47" x14ac:dyDescent="0.25">
      <c r="B27" s="396">
        <f t="shared" si="3"/>
        <v>32000000</v>
      </c>
      <c r="C27" s="397">
        <v>2.0952499999999999E-2</v>
      </c>
      <c r="D27" s="374">
        <f t="shared" si="4"/>
        <v>360</v>
      </c>
      <c r="E27" s="398">
        <f t="shared" si="5"/>
        <v>38475</v>
      </c>
      <c r="F27" s="399">
        <v>38504</v>
      </c>
      <c r="G27" s="400">
        <f t="shared" si="6"/>
        <v>29</v>
      </c>
      <c r="H27" s="401">
        <f t="shared" si="7"/>
        <v>54010.888888888891</v>
      </c>
      <c r="I27" s="363">
        <f>(32000000*0.03695)*28/D27</f>
        <v>91964.444444444438</v>
      </c>
      <c r="J27" s="402">
        <f t="shared" si="8"/>
        <v>-37953.555555555547</v>
      </c>
      <c r="K27" s="402"/>
      <c r="L27" s="381" t="s">
        <v>370</v>
      </c>
      <c r="N27" s="396">
        <f t="shared" si="9"/>
        <v>32000000</v>
      </c>
      <c r="O27" s="397">
        <v>2.0952499999999999E-2</v>
      </c>
      <c r="P27" s="374">
        <f t="shared" si="10"/>
        <v>360</v>
      </c>
      <c r="Q27" s="398">
        <f t="shared" si="11"/>
        <v>38475</v>
      </c>
      <c r="R27" s="399">
        <v>38504</v>
      </c>
      <c r="S27" s="400">
        <f t="shared" si="12"/>
        <v>29</v>
      </c>
      <c r="T27" s="401">
        <f t="shared" si="24"/>
        <v>54010.888888888891</v>
      </c>
      <c r="U27" s="363">
        <f>(32000000*0.03657)*28/P27</f>
        <v>91018.666666666672</v>
      </c>
      <c r="V27" s="402">
        <f t="shared" si="13"/>
        <v>-37007.777777777781</v>
      </c>
      <c r="W27" s="402"/>
      <c r="X27" s="381" t="s">
        <v>370</v>
      </c>
      <c r="Z27" s="396">
        <f t="shared" si="14"/>
        <v>32000000</v>
      </c>
      <c r="AA27" s="397">
        <v>2.0952499999999999E-2</v>
      </c>
      <c r="AB27" s="374">
        <f t="shared" si="15"/>
        <v>360</v>
      </c>
      <c r="AC27" s="399">
        <f t="shared" si="16"/>
        <v>38475</v>
      </c>
      <c r="AD27" s="399">
        <v>38504</v>
      </c>
      <c r="AE27" s="400">
        <f t="shared" si="0"/>
        <v>29</v>
      </c>
      <c r="AF27" s="401">
        <f t="shared" si="1"/>
        <v>54010.888888888891</v>
      </c>
      <c r="AG27" s="363">
        <f>(32000000*0.03645)*28/AB27</f>
        <v>90720</v>
      </c>
      <c r="AH27" s="402">
        <f t="shared" si="2"/>
        <v>-36709.111111111109</v>
      </c>
      <c r="AI27" s="402"/>
      <c r="AJ27" s="382" t="s">
        <v>370</v>
      </c>
      <c r="AK27" s="375"/>
      <c r="AL27" s="403">
        <f t="shared" si="17"/>
        <v>32000000</v>
      </c>
      <c r="AM27" s="404">
        <v>2.0952499999999999E-2</v>
      </c>
      <c r="AN27" s="383">
        <f t="shared" si="18"/>
        <v>360</v>
      </c>
      <c r="AO27" s="405">
        <f t="shared" si="19"/>
        <v>38475</v>
      </c>
      <c r="AP27" s="406">
        <v>38504</v>
      </c>
      <c r="AQ27" s="407">
        <f t="shared" si="20"/>
        <v>29</v>
      </c>
      <c r="AR27" s="408">
        <f t="shared" si="21"/>
        <v>54010.888888888891</v>
      </c>
      <c r="AS27" s="409">
        <f t="shared" si="27"/>
        <v>97280</v>
      </c>
      <c r="AT27" s="410">
        <f t="shared" si="22"/>
        <v>-43269.111111111109</v>
      </c>
      <c r="AU27" s="375"/>
    </row>
    <row r="28" spans="2:47" x14ac:dyDescent="0.25">
      <c r="B28" s="396">
        <f t="shared" si="3"/>
        <v>32000000</v>
      </c>
      <c r="C28" s="397">
        <v>2.1156500000000002E-2</v>
      </c>
      <c r="D28" s="374">
        <f t="shared" si="4"/>
        <v>360</v>
      </c>
      <c r="E28" s="398">
        <f t="shared" si="5"/>
        <v>38504</v>
      </c>
      <c r="F28" s="399">
        <v>38534</v>
      </c>
      <c r="G28" s="400">
        <f t="shared" si="6"/>
        <v>30</v>
      </c>
      <c r="H28" s="401">
        <f t="shared" si="7"/>
        <v>56417.333333333336</v>
      </c>
      <c r="I28" s="363">
        <f t="shared" si="23"/>
        <v>98533.333333333328</v>
      </c>
      <c r="J28" s="402">
        <f t="shared" si="8"/>
        <v>-42115.999999999993</v>
      </c>
      <c r="K28" s="402"/>
      <c r="L28" s="381" t="s">
        <v>370</v>
      </c>
      <c r="N28" s="396">
        <f t="shared" si="9"/>
        <v>32000000</v>
      </c>
      <c r="O28" s="397">
        <v>2.1156500000000002E-2</v>
      </c>
      <c r="P28" s="374">
        <f t="shared" si="10"/>
        <v>360</v>
      </c>
      <c r="Q28" s="398">
        <f t="shared" si="11"/>
        <v>38504</v>
      </c>
      <c r="R28" s="399">
        <v>38534</v>
      </c>
      <c r="S28" s="400">
        <f t="shared" si="12"/>
        <v>30</v>
      </c>
      <c r="T28" s="401">
        <f t="shared" si="24"/>
        <v>56417.333333333336</v>
      </c>
      <c r="U28" s="363">
        <f t="shared" si="25"/>
        <v>97520</v>
      </c>
      <c r="V28" s="402">
        <f t="shared" si="13"/>
        <v>-41102.666666666664</v>
      </c>
      <c r="W28" s="402"/>
      <c r="X28" s="381" t="s">
        <v>370</v>
      </c>
      <c r="Z28" s="396">
        <f t="shared" si="14"/>
        <v>32000000</v>
      </c>
      <c r="AA28" s="397">
        <v>2.1156500000000002E-2</v>
      </c>
      <c r="AB28" s="374">
        <f t="shared" si="15"/>
        <v>360</v>
      </c>
      <c r="AC28" s="399">
        <f t="shared" si="16"/>
        <v>38504</v>
      </c>
      <c r="AD28" s="399">
        <v>38534</v>
      </c>
      <c r="AE28" s="400">
        <f t="shared" si="0"/>
        <v>30</v>
      </c>
      <c r="AF28" s="401">
        <f t="shared" si="1"/>
        <v>56417.333333333336</v>
      </c>
      <c r="AG28" s="363">
        <f t="shared" si="26"/>
        <v>97200</v>
      </c>
      <c r="AH28" s="402">
        <f t="shared" si="2"/>
        <v>-40782.666666666664</v>
      </c>
      <c r="AI28" s="402"/>
      <c r="AJ28" s="382" t="s">
        <v>370</v>
      </c>
      <c r="AK28" s="375"/>
      <c r="AL28" s="403">
        <f t="shared" si="17"/>
        <v>32000000</v>
      </c>
      <c r="AM28" s="404">
        <v>2.1156500000000002E-2</v>
      </c>
      <c r="AN28" s="383">
        <f t="shared" si="18"/>
        <v>360</v>
      </c>
      <c r="AO28" s="405">
        <f t="shared" si="19"/>
        <v>38504</v>
      </c>
      <c r="AP28" s="406">
        <v>38534</v>
      </c>
      <c r="AQ28" s="407">
        <f t="shared" si="20"/>
        <v>30</v>
      </c>
      <c r="AR28" s="408">
        <f t="shared" si="21"/>
        <v>56417.333333333336</v>
      </c>
      <c r="AS28" s="409">
        <f t="shared" si="27"/>
        <v>97280</v>
      </c>
      <c r="AT28" s="410">
        <f t="shared" si="22"/>
        <v>-40862.666666666664</v>
      </c>
      <c r="AU28" s="375"/>
    </row>
    <row r="29" spans="2:47" x14ac:dyDescent="0.25">
      <c r="B29" s="396">
        <f t="shared" si="3"/>
        <v>32000000</v>
      </c>
      <c r="C29" s="397">
        <v>2.2712E-2</v>
      </c>
      <c r="D29" s="374">
        <f t="shared" si="4"/>
        <v>360</v>
      </c>
      <c r="E29" s="398">
        <f t="shared" si="5"/>
        <v>38534</v>
      </c>
      <c r="F29" s="399">
        <v>38565</v>
      </c>
      <c r="G29" s="400">
        <f t="shared" si="6"/>
        <v>31</v>
      </c>
      <c r="H29" s="401">
        <f t="shared" si="7"/>
        <v>62584.177777777775</v>
      </c>
      <c r="I29" s="363">
        <f t="shared" si="23"/>
        <v>98533.333333333328</v>
      </c>
      <c r="J29" s="402">
        <f t="shared" si="8"/>
        <v>-35949.155555555553</v>
      </c>
      <c r="K29" s="402"/>
      <c r="L29" s="381" t="s">
        <v>370</v>
      </c>
      <c r="N29" s="396">
        <f t="shared" si="9"/>
        <v>32000000</v>
      </c>
      <c r="O29" s="397">
        <v>2.2712E-2</v>
      </c>
      <c r="P29" s="374">
        <f t="shared" si="10"/>
        <v>360</v>
      </c>
      <c r="Q29" s="398">
        <f t="shared" si="11"/>
        <v>38534</v>
      </c>
      <c r="R29" s="399">
        <v>38565</v>
      </c>
      <c r="S29" s="400">
        <f t="shared" si="12"/>
        <v>31</v>
      </c>
      <c r="T29" s="401">
        <f t="shared" si="24"/>
        <v>62584.177777777775</v>
      </c>
      <c r="U29" s="363">
        <f t="shared" si="25"/>
        <v>97520</v>
      </c>
      <c r="V29" s="402">
        <f t="shared" si="13"/>
        <v>-34935.822222222225</v>
      </c>
      <c r="W29" s="402"/>
      <c r="X29" s="381" t="s">
        <v>370</v>
      </c>
      <c r="Z29" s="396">
        <f t="shared" si="14"/>
        <v>32000000</v>
      </c>
      <c r="AA29" s="397">
        <v>2.2712E-2</v>
      </c>
      <c r="AB29" s="374">
        <f t="shared" si="15"/>
        <v>360</v>
      </c>
      <c r="AC29" s="399">
        <f t="shared" si="16"/>
        <v>38534</v>
      </c>
      <c r="AD29" s="399">
        <v>38565</v>
      </c>
      <c r="AE29" s="400">
        <f t="shared" si="0"/>
        <v>31</v>
      </c>
      <c r="AF29" s="401">
        <f t="shared" si="1"/>
        <v>62584.177777777775</v>
      </c>
      <c r="AG29" s="363">
        <f t="shared" si="26"/>
        <v>97200</v>
      </c>
      <c r="AH29" s="402">
        <f t="shared" si="2"/>
        <v>-34615.822222222225</v>
      </c>
      <c r="AI29" s="402"/>
      <c r="AJ29" s="382" t="s">
        <v>370</v>
      </c>
      <c r="AK29" s="375"/>
      <c r="AL29" s="403">
        <f t="shared" si="17"/>
        <v>32000000</v>
      </c>
      <c r="AM29" s="404">
        <v>2.2712E-2</v>
      </c>
      <c r="AN29" s="383">
        <f t="shared" si="18"/>
        <v>360</v>
      </c>
      <c r="AO29" s="405">
        <f t="shared" si="19"/>
        <v>38534</v>
      </c>
      <c r="AP29" s="406">
        <v>38565</v>
      </c>
      <c r="AQ29" s="407">
        <f t="shared" si="20"/>
        <v>31</v>
      </c>
      <c r="AR29" s="408">
        <f t="shared" si="21"/>
        <v>62584.177777777775</v>
      </c>
      <c r="AS29" s="409">
        <f t="shared" si="27"/>
        <v>97280</v>
      </c>
      <c r="AT29" s="410">
        <f t="shared" si="22"/>
        <v>-34695.822222222225</v>
      </c>
      <c r="AU29" s="375"/>
    </row>
    <row r="30" spans="2:47" x14ac:dyDescent="0.25">
      <c r="B30" s="396">
        <f t="shared" si="3"/>
        <v>32000000</v>
      </c>
      <c r="C30" s="397">
        <v>2.3868E-2</v>
      </c>
      <c r="D30" s="374">
        <f t="shared" si="4"/>
        <v>360</v>
      </c>
      <c r="E30" s="398">
        <f t="shared" si="5"/>
        <v>38565</v>
      </c>
      <c r="F30" s="399">
        <v>38596</v>
      </c>
      <c r="G30" s="400">
        <f t="shared" si="6"/>
        <v>31</v>
      </c>
      <c r="H30" s="401">
        <f t="shared" si="7"/>
        <v>65769.599999999991</v>
      </c>
      <c r="I30" s="363">
        <f t="shared" si="23"/>
        <v>98533.333333333328</v>
      </c>
      <c r="J30" s="402">
        <f t="shared" si="8"/>
        <v>-32763.733333333337</v>
      </c>
      <c r="K30" s="402"/>
      <c r="L30" s="381" t="s">
        <v>370</v>
      </c>
      <c r="N30" s="396">
        <f t="shared" si="9"/>
        <v>32000000</v>
      </c>
      <c r="O30" s="397">
        <v>2.3868E-2</v>
      </c>
      <c r="P30" s="374">
        <f t="shared" si="10"/>
        <v>360</v>
      </c>
      <c r="Q30" s="398">
        <f t="shared" si="11"/>
        <v>38565</v>
      </c>
      <c r="R30" s="399">
        <v>38596</v>
      </c>
      <c r="S30" s="400">
        <f t="shared" si="12"/>
        <v>31</v>
      </c>
      <c r="T30" s="401">
        <f t="shared" si="24"/>
        <v>65769.599999999991</v>
      </c>
      <c r="U30" s="363">
        <f t="shared" si="25"/>
        <v>97520</v>
      </c>
      <c r="V30" s="402">
        <f t="shared" si="13"/>
        <v>-31750.400000000009</v>
      </c>
      <c r="W30" s="402"/>
      <c r="X30" s="381" t="s">
        <v>370</v>
      </c>
      <c r="Z30" s="396">
        <f t="shared" si="14"/>
        <v>32000000</v>
      </c>
      <c r="AA30" s="397">
        <v>2.3868E-2</v>
      </c>
      <c r="AB30" s="374">
        <f t="shared" si="15"/>
        <v>360</v>
      </c>
      <c r="AC30" s="399">
        <f t="shared" si="16"/>
        <v>38565</v>
      </c>
      <c r="AD30" s="399">
        <v>38596</v>
      </c>
      <c r="AE30" s="400">
        <f t="shared" si="0"/>
        <v>31</v>
      </c>
      <c r="AF30" s="401">
        <f t="shared" si="1"/>
        <v>65769.599999999991</v>
      </c>
      <c r="AG30" s="363">
        <f t="shared" si="26"/>
        <v>97200</v>
      </c>
      <c r="AH30" s="402">
        <f t="shared" si="2"/>
        <v>-31430.400000000009</v>
      </c>
      <c r="AI30" s="402"/>
      <c r="AJ30" s="382" t="s">
        <v>370</v>
      </c>
      <c r="AK30" s="375"/>
      <c r="AL30" s="403">
        <f t="shared" si="17"/>
        <v>32000000</v>
      </c>
      <c r="AM30" s="404">
        <v>2.3868E-2</v>
      </c>
      <c r="AN30" s="383">
        <f t="shared" si="18"/>
        <v>360</v>
      </c>
      <c r="AO30" s="405">
        <f t="shared" si="19"/>
        <v>38565</v>
      </c>
      <c r="AP30" s="406">
        <v>38596</v>
      </c>
      <c r="AQ30" s="407">
        <f t="shared" si="20"/>
        <v>31</v>
      </c>
      <c r="AR30" s="408">
        <f t="shared" si="21"/>
        <v>65769.599999999991</v>
      </c>
      <c r="AS30" s="409">
        <f t="shared" si="27"/>
        <v>97280</v>
      </c>
      <c r="AT30" s="410">
        <f t="shared" si="22"/>
        <v>-31510.400000000009</v>
      </c>
      <c r="AU30" s="375"/>
    </row>
    <row r="31" spans="2:47" x14ac:dyDescent="0.25">
      <c r="B31" s="396">
        <f t="shared" si="3"/>
        <v>32000000</v>
      </c>
      <c r="C31" s="397">
        <v>2.5113300000000002E-2</v>
      </c>
      <c r="D31" s="374">
        <f t="shared" si="4"/>
        <v>360</v>
      </c>
      <c r="E31" s="398">
        <f t="shared" si="5"/>
        <v>38596</v>
      </c>
      <c r="F31" s="399">
        <v>38628</v>
      </c>
      <c r="G31" s="400">
        <f t="shared" si="6"/>
        <v>32</v>
      </c>
      <c r="H31" s="401">
        <f t="shared" si="7"/>
        <v>71433.386666666673</v>
      </c>
      <c r="I31" s="363">
        <f>ROUND((32000000*0.03695)*32/D31,5)</f>
        <v>105102.22222</v>
      </c>
      <c r="J31" s="402">
        <f t="shared" si="8"/>
        <v>-33668.835553333323</v>
      </c>
      <c r="K31" s="402"/>
      <c r="L31" s="381" t="s">
        <v>370</v>
      </c>
      <c r="N31" s="396">
        <f t="shared" si="9"/>
        <v>32000000</v>
      </c>
      <c r="O31" s="397">
        <v>2.5113280000000002E-2</v>
      </c>
      <c r="P31" s="374">
        <f t="shared" si="10"/>
        <v>360</v>
      </c>
      <c r="Q31" s="398">
        <f t="shared" si="11"/>
        <v>38596</v>
      </c>
      <c r="R31" s="399">
        <v>38628</v>
      </c>
      <c r="S31" s="400">
        <f t="shared" si="12"/>
        <v>32</v>
      </c>
      <c r="T31" s="401">
        <f>S31/P31*O31*N31+(0.009)</f>
        <v>71433.338777777797</v>
      </c>
      <c r="U31" s="363">
        <f>(32000000*0.03657)*32/P31</f>
        <v>104021.33333333333</v>
      </c>
      <c r="V31" s="402">
        <f t="shared" si="13"/>
        <v>-32587.994555555531</v>
      </c>
      <c r="W31" s="402"/>
      <c r="X31" s="381" t="s">
        <v>370</v>
      </c>
      <c r="Z31" s="396">
        <f t="shared" si="14"/>
        <v>32000000</v>
      </c>
      <c r="AA31" s="397">
        <v>2.5113280000000002E-2</v>
      </c>
      <c r="AB31" s="374">
        <f t="shared" si="15"/>
        <v>360</v>
      </c>
      <c r="AC31" s="399">
        <f t="shared" si="16"/>
        <v>38596</v>
      </c>
      <c r="AD31" s="399">
        <v>38628</v>
      </c>
      <c r="AE31" s="400">
        <f t="shared" si="0"/>
        <v>32</v>
      </c>
      <c r="AF31" s="401">
        <f>AE31/AB31*AA31*Z31+(0.009)</f>
        <v>71433.338777777797</v>
      </c>
      <c r="AG31" s="363">
        <f>(32000000*0.03645)*32/AB31</f>
        <v>103680</v>
      </c>
      <c r="AH31" s="402">
        <f t="shared" si="2"/>
        <v>-32246.661222222203</v>
      </c>
      <c r="AI31" s="402"/>
      <c r="AJ31" s="382" t="s">
        <v>370</v>
      </c>
      <c r="AK31" s="375"/>
      <c r="AL31" s="403">
        <f t="shared" si="17"/>
        <v>32000000</v>
      </c>
      <c r="AM31" s="404">
        <v>2.5113280000000002E-2</v>
      </c>
      <c r="AN31" s="383">
        <f t="shared" si="18"/>
        <v>360</v>
      </c>
      <c r="AO31" s="405">
        <f t="shared" si="19"/>
        <v>38596</v>
      </c>
      <c r="AP31" s="406">
        <v>38628</v>
      </c>
      <c r="AQ31" s="407">
        <f t="shared" si="20"/>
        <v>32</v>
      </c>
      <c r="AR31" s="408">
        <f>AQ31/AN31*AM31*AL31+(0.009)</f>
        <v>71433.338777777797</v>
      </c>
      <c r="AS31" s="409">
        <f t="shared" si="27"/>
        <v>97280</v>
      </c>
      <c r="AT31" s="410">
        <f t="shared" si="22"/>
        <v>-25846.661222222203</v>
      </c>
      <c r="AU31" s="375"/>
    </row>
    <row r="32" spans="2:47" x14ac:dyDescent="0.25">
      <c r="B32" s="396">
        <f t="shared" si="3"/>
        <v>32000000</v>
      </c>
      <c r="C32" s="397">
        <v>2.6248E-2</v>
      </c>
      <c r="D32" s="374">
        <f>D31</f>
        <v>360</v>
      </c>
      <c r="E32" s="398">
        <f>F31</f>
        <v>38628</v>
      </c>
      <c r="F32" s="399">
        <v>38657</v>
      </c>
      <c r="G32" s="400">
        <f t="shared" si="6"/>
        <v>29</v>
      </c>
      <c r="H32" s="401">
        <f t="shared" si="7"/>
        <v>67661.511111111118</v>
      </c>
      <c r="I32" s="363">
        <f>(32000000*0.03695*28/D32)</f>
        <v>91964.444444444438</v>
      </c>
      <c r="J32" s="402">
        <f t="shared" si="8"/>
        <v>-24302.93333333332</v>
      </c>
      <c r="K32" s="402"/>
      <c r="L32" s="381" t="s">
        <v>370</v>
      </c>
      <c r="N32" s="396">
        <f t="shared" si="9"/>
        <v>32000000</v>
      </c>
      <c r="O32" s="397">
        <v>2.6248E-2</v>
      </c>
      <c r="P32" s="374">
        <f>P31</f>
        <v>360</v>
      </c>
      <c r="Q32" s="398">
        <f>R31</f>
        <v>38628</v>
      </c>
      <c r="R32" s="399">
        <v>38657</v>
      </c>
      <c r="S32" s="400">
        <f t="shared" si="12"/>
        <v>29</v>
      </c>
      <c r="T32" s="401">
        <f>S32/P32*O32*N32</f>
        <v>67661.511111111118</v>
      </c>
      <c r="U32" s="363">
        <f>(32000000*0.03657)*28/P32</f>
        <v>91018.666666666672</v>
      </c>
      <c r="V32" s="402">
        <f t="shared" si="13"/>
        <v>-23357.155555555553</v>
      </c>
      <c r="W32" s="402"/>
      <c r="X32" s="381" t="s">
        <v>370</v>
      </c>
      <c r="Z32" s="396">
        <f t="shared" si="14"/>
        <v>32000000</v>
      </c>
      <c r="AA32" s="397">
        <v>2.6248E-2</v>
      </c>
      <c r="AB32" s="374">
        <f>AB31</f>
        <v>360</v>
      </c>
      <c r="AC32" s="399">
        <f>AD31</f>
        <v>38628</v>
      </c>
      <c r="AD32" s="399">
        <v>38657</v>
      </c>
      <c r="AE32" s="400">
        <f t="shared" si="0"/>
        <v>29</v>
      </c>
      <c r="AF32" s="401">
        <f>AE32/AB32*AA32*Z32</f>
        <v>67661.511111111118</v>
      </c>
      <c r="AG32" s="363">
        <f>(32000000*0.03645)*28/AB32</f>
        <v>90720</v>
      </c>
      <c r="AH32" s="402">
        <f t="shared" si="2"/>
        <v>-23058.488888888882</v>
      </c>
      <c r="AI32" s="402"/>
      <c r="AJ32" s="382" t="s">
        <v>370</v>
      </c>
      <c r="AK32" s="375"/>
      <c r="AL32" s="403">
        <f t="shared" si="17"/>
        <v>32000000</v>
      </c>
      <c r="AM32" s="404">
        <v>2.6248E-2</v>
      </c>
      <c r="AN32" s="383">
        <f>AN31</f>
        <v>360</v>
      </c>
      <c r="AO32" s="405">
        <f>AP31</f>
        <v>38628</v>
      </c>
      <c r="AP32" s="406">
        <v>38657</v>
      </c>
      <c r="AQ32" s="407">
        <f t="shared" si="20"/>
        <v>29</v>
      </c>
      <c r="AR32" s="408">
        <f>AQ32/AN32*AM32*AL32</f>
        <v>67661.511111111118</v>
      </c>
      <c r="AS32" s="409">
        <f t="shared" si="27"/>
        <v>97280</v>
      </c>
      <c r="AT32" s="410">
        <f t="shared" si="22"/>
        <v>-29618.488888888882</v>
      </c>
      <c r="AU32" s="375"/>
    </row>
    <row r="33" spans="2:47" x14ac:dyDescent="0.25">
      <c r="B33" s="396">
        <f t="shared" si="3"/>
        <v>32000000</v>
      </c>
      <c r="C33" s="397">
        <v>2.7803499999999998E-2</v>
      </c>
      <c r="D33" s="374">
        <f>D32</f>
        <v>360</v>
      </c>
      <c r="E33" s="398">
        <f>F32</f>
        <v>38657</v>
      </c>
      <c r="F33" s="399">
        <v>38687</v>
      </c>
      <c r="G33" s="400">
        <f t="shared" si="6"/>
        <v>30</v>
      </c>
      <c r="H33" s="401">
        <f t="shared" si="7"/>
        <v>74142.666666666657</v>
      </c>
      <c r="I33" s="363">
        <f>ROUND((32000000*0.03695)*30/D33,5)</f>
        <v>98533.333329999994</v>
      </c>
      <c r="J33" s="402">
        <f t="shared" si="8"/>
        <v>-24390.666663333337</v>
      </c>
      <c r="K33" s="402"/>
      <c r="L33" s="381" t="s">
        <v>370</v>
      </c>
      <c r="N33" s="396">
        <f t="shared" si="9"/>
        <v>32000000</v>
      </c>
      <c r="O33" s="397">
        <v>2.7803499999999998E-2</v>
      </c>
      <c r="P33" s="374">
        <f>P32</f>
        <v>360</v>
      </c>
      <c r="Q33" s="398">
        <f>R32</f>
        <v>38657</v>
      </c>
      <c r="R33" s="399">
        <v>38687</v>
      </c>
      <c r="S33" s="400">
        <f t="shared" si="12"/>
        <v>30</v>
      </c>
      <c r="T33" s="401">
        <f>S33/P33*O33*N33</f>
        <v>74142.666666666657</v>
      </c>
      <c r="U33" s="363">
        <f>(32000000*0.03657)*30/P33</f>
        <v>97520</v>
      </c>
      <c r="V33" s="402">
        <f t="shared" si="13"/>
        <v>-23377.333333333343</v>
      </c>
      <c r="W33" s="402"/>
      <c r="X33" s="381" t="s">
        <v>370</v>
      </c>
      <c r="Z33" s="396">
        <f t="shared" si="14"/>
        <v>32000000</v>
      </c>
      <c r="AA33" s="397">
        <v>2.7803499999999998E-2</v>
      </c>
      <c r="AB33" s="374">
        <f>AB32</f>
        <v>360</v>
      </c>
      <c r="AC33" s="398">
        <f>AD32</f>
        <v>38657</v>
      </c>
      <c r="AD33" s="399">
        <v>38687</v>
      </c>
      <c r="AE33" s="400">
        <f t="shared" si="0"/>
        <v>30</v>
      </c>
      <c r="AF33" s="401">
        <f>AE33/AB33*AA33*Z33</f>
        <v>74142.666666666657</v>
      </c>
      <c r="AG33" s="363">
        <f>(32000000*0.03645)*30/AB33</f>
        <v>97200</v>
      </c>
      <c r="AH33" s="402">
        <f t="shared" si="2"/>
        <v>-23057.333333333343</v>
      </c>
      <c r="AI33" s="402"/>
      <c r="AJ33" s="382" t="s">
        <v>370</v>
      </c>
      <c r="AK33" s="375"/>
      <c r="AL33" s="403">
        <f t="shared" si="17"/>
        <v>32000000</v>
      </c>
      <c r="AM33" s="404">
        <v>2.7803499999999998E-2</v>
      </c>
      <c r="AN33" s="383">
        <f>AN32</f>
        <v>360</v>
      </c>
      <c r="AO33" s="405">
        <f>AP32</f>
        <v>38657</v>
      </c>
      <c r="AP33" s="406">
        <v>38687</v>
      </c>
      <c r="AQ33" s="407">
        <f t="shared" si="20"/>
        <v>30</v>
      </c>
      <c r="AR33" s="408">
        <f>AQ33/AN33*AM33*AL33</f>
        <v>74142.666666666657</v>
      </c>
      <c r="AS33" s="409">
        <f t="shared" si="27"/>
        <v>97280</v>
      </c>
      <c r="AT33" s="410">
        <f t="shared" si="22"/>
        <v>-23137.333333333343</v>
      </c>
      <c r="AU33" s="375"/>
    </row>
    <row r="34" spans="2:47" x14ac:dyDescent="0.25">
      <c r="B34" s="396">
        <f t="shared" si="3"/>
        <v>32000000</v>
      </c>
      <c r="C34" s="397">
        <v>2.9176299999999999E-2</v>
      </c>
      <c r="D34" s="374">
        <f>D33</f>
        <v>360</v>
      </c>
      <c r="E34" s="398">
        <f>F33</f>
        <v>38687</v>
      </c>
      <c r="F34" s="399">
        <v>38720</v>
      </c>
      <c r="G34" s="400">
        <f t="shared" si="6"/>
        <v>33</v>
      </c>
      <c r="H34" s="401">
        <f t="shared" si="7"/>
        <v>85583.813333333324</v>
      </c>
      <c r="I34" s="363">
        <f>(32000000*0.03695)*32/D34</f>
        <v>105102.22222222222</v>
      </c>
      <c r="J34" s="402">
        <f t="shared" si="8"/>
        <v>-19518.408888888895</v>
      </c>
      <c r="K34" s="402"/>
      <c r="L34" s="381" t="s">
        <v>370</v>
      </c>
      <c r="N34" s="396">
        <f t="shared" si="9"/>
        <v>32000000</v>
      </c>
      <c r="O34" s="397">
        <v>2.9176279999999999E-2</v>
      </c>
      <c r="P34" s="374">
        <f>P33</f>
        <v>360</v>
      </c>
      <c r="Q34" s="398">
        <f>R33</f>
        <v>38687</v>
      </c>
      <c r="R34" s="399">
        <v>38720</v>
      </c>
      <c r="S34" s="400">
        <f t="shared" si="12"/>
        <v>33</v>
      </c>
      <c r="T34" s="401">
        <f>S34/P34*O34*N34+(0.02)</f>
        <v>85583.77466666665</v>
      </c>
      <c r="U34" s="363">
        <f>(32000000*0.03657)*32/P34</f>
        <v>104021.33333333333</v>
      </c>
      <c r="V34" s="402">
        <f t="shared" si="13"/>
        <v>-18437.558666666679</v>
      </c>
      <c r="W34" s="402"/>
      <c r="X34" s="381" t="s">
        <v>370</v>
      </c>
      <c r="Z34" s="396">
        <f t="shared" si="14"/>
        <v>32000000</v>
      </c>
      <c r="AA34" s="397">
        <v>2.9176279999999999E-2</v>
      </c>
      <c r="AB34" s="374">
        <f>AB33</f>
        <v>360</v>
      </c>
      <c r="AC34" s="398">
        <f>AD33</f>
        <v>38687</v>
      </c>
      <c r="AD34" s="399">
        <v>38720</v>
      </c>
      <c r="AE34" s="400">
        <f t="shared" si="0"/>
        <v>33</v>
      </c>
      <c r="AF34" s="401">
        <f>AE34/AB34*AA34*Z34+(0.02)</f>
        <v>85583.77466666665</v>
      </c>
      <c r="AG34" s="363">
        <f>(32000000*0.03645)*32/AB34</f>
        <v>103680</v>
      </c>
      <c r="AH34" s="402">
        <f t="shared" si="2"/>
        <v>-18096.22533333335</v>
      </c>
      <c r="AI34" s="402"/>
      <c r="AJ34" s="382" t="s">
        <v>370</v>
      </c>
      <c r="AK34" s="375"/>
      <c r="AL34" s="403">
        <f t="shared" si="17"/>
        <v>32000000</v>
      </c>
      <c r="AM34" s="404">
        <v>2.9176299999999999E-2</v>
      </c>
      <c r="AN34" s="383">
        <f>AN33</f>
        <v>360</v>
      </c>
      <c r="AO34" s="405">
        <f>AP33</f>
        <v>38687</v>
      </c>
      <c r="AP34" s="406">
        <v>38720</v>
      </c>
      <c r="AQ34" s="407">
        <f t="shared" si="20"/>
        <v>33</v>
      </c>
      <c r="AR34" s="408">
        <f>AQ34/AN34*AM34*AL34-(0.04)</f>
        <v>85583.773333333331</v>
      </c>
      <c r="AS34" s="409">
        <f t="shared" si="27"/>
        <v>97280</v>
      </c>
      <c r="AT34" s="410">
        <f t="shared" si="22"/>
        <v>-11696.226666666669</v>
      </c>
      <c r="AU34" s="375"/>
    </row>
    <row r="35" spans="2:47" x14ac:dyDescent="0.25">
      <c r="B35" s="396">
        <f t="shared" si="3"/>
        <v>32000000</v>
      </c>
      <c r="C35" s="397">
        <v>2.9818000000000001E-2</v>
      </c>
      <c r="D35" s="374">
        <f>D34</f>
        <v>360</v>
      </c>
      <c r="E35" s="398">
        <f>F34</f>
        <v>38720</v>
      </c>
      <c r="F35" s="399">
        <v>38749</v>
      </c>
      <c r="G35" s="400">
        <f t="shared" si="6"/>
        <v>29</v>
      </c>
      <c r="H35" s="401">
        <f t="shared" si="7"/>
        <v>76864.177777777775</v>
      </c>
      <c r="I35" s="363">
        <f>ROUND((32000000*0.03695)*28/D35,5)</f>
        <v>91964.444440000007</v>
      </c>
      <c r="J35" s="402">
        <f t="shared" si="8"/>
        <v>-15100.266662222231</v>
      </c>
      <c r="K35" s="402"/>
      <c r="L35" s="381" t="s">
        <v>370</v>
      </c>
      <c r="N35" s="396">
        <f t="shared" si="9"/>
        <v>32000000</v>
      </c>
      <c r="O35" s="397">
        <v>2.9818000000000001E-2</v>
      </c>
      <c r="P35" s="374">
        <f>P34</f>
        <v>360</v>
      </c>
      <c r="Q35" s="398">
        <f>R34</f>
        <v>38720</v>
      </c>
      <c r="R35" s="399">
        <v>38749</v>
      </c>
      <c r="S35" s="400">
        <f t="shared" si="12"/>
        <v>29</v>
      </c>
      <c r="T35" s="401">
        <f>S35/P35*O35*N35</f>
        <v>76864.177777777775</v>
      </c>
      <c r="U35" s="363">
        <f>(32000000*0.03657)*28/P35</f>
        <v>91018.666666666672</v>
      </c>
      <c r="V35" s="402">
        <f t="shared" si="13"/>
        <v>-14154.488888888896</v>
      </c>
      <c r="W35" s="402"/>
      <c r="X35" s="381" t="s">
        <v>370</v>
      </c>
      <c r="Z35" s="396">
        <f t="shared" si="14"/>
        <v>32000000</v>
      </c>
      <c r="AA35" s="397">
        <v>2.9818000000000001E-2</v>
      </c>
      <c r="AB35" s="374">
        <f>AB34</f>
        <v>360</v>
      </c>
      <c r="AC35" s="398">
        <f>AD34</f>
        <v>38720</v>
      </c>
      <c r="AD35" s="399">
        <v>38749</v>
      </c>
      <c r="AE35" s="400">
        <f t="shared" si="0"/>
        <v>29</v>
      </c>
      <c r="AF35" s="401">
        <f>AE35/AB35*AA35*Z35</f>
        <v>76864.177777777775</v>
      </c>
      <c r="AG35" s="363">
        <f>(32000000*0.03645)*28/AB35</f>
        <v>90720</v>
      </c>
      <c r="AH35" s="402">
        <f t="shared" si="2"/>
        <v>-13855.822222222225</v>
      </c>
      <c r="AI35" s="402"/>
      <c r="AJ35" s="382" t="s">
        <v>370</v>
      </c>
      <c r="AK35" s="375"/>
      <c r="AL35" s="403">
        <f t="shared" si="17"/>
        <v>32000000</v>
      </c>
      <c r="AM35" s="404">
        <v>2.9818000000000001E-2</v>
      </c>
      <c r="AN35" s="383">
        <f>AN34</f>
        <v>360</v>
      </c>
      <c r="AO35" s="405">
        <f>AP34</f>
        <v>38720</v>
      </c>
      <c r="AP35" s="406">
        <v>38749</v>
      </c>
      <c r="AQ35" s="407">
        <f t="shared" si="20"/>
        <v>29</v>
      </c>
      <c r="AR35" s="408">
        <f>AQ35/AN35*AM35*AL35</f>
        <v>76864.177777777775</v>
      </c>
      <c r="AS35" s="409">
        <f t="shared" si="27"/>
        <v>97280</v>
      </c>
      <c r="AT35" s="410">
        <f t="shared" si="22"/>
        <v>-20415.822222222225</v>
      </c>
      <c r="AU35" s="375"/>
    </row>
    <row r="36" spans="2:47" x14ac:dyDescent="0.25">
      <c r="B36" s="396">
        <f t="shared" si="3"/>
        <v>32000000</v>
      </c>
      <c r="C36" s="397">
        <v>3.1076000000000003E-2</v>
      </c>
      <c r="D36" s="374">
        <v>360</v>
      </c>
      <c r="E36" s="399">
        <v>38749</v>
      </c>
      <c r="F36" s="399">
        <v>38777</v>
      </c>
      <c r="G36" s="400">
        <f t="shared" si="6"/>
        <v>28</v>
      </c>
      <c r="H36" s="401">
        <f t="shared" si="7"/>
        <v>77344.711111111115</v>
      </c>
      <c r="I36" s="363">
        <f>ROUND((32000000*0.03695)*30/D36,5)</f>
        <v>98533.333329999994</v>
      </c>
      <c r="J36" s="402">
        <f t="shared" si="8"/>
        <v>-21188.622218888879</v>
      </c>
      <c r="K36" s="402"/>
      <c r="L36" s="381" t="s">
        <v>370</v>
      </c>
      <c r="N36" s="396">
        <f t="shared" si="9"/>
        <v>32000000</v>
      </c>
      <c r="O36" s="397">
        <v>3.1076000000000003E-2</v>
      </c>
      <c r="P36" s="374">
        <v>360</v>
      </c>
      <c r="Q36" s="399">
        <v>38749</v>
      </c>
      <c r="R36" s="399">
        <v>38777</v>
      </c>
      <c r="S36" s="400">
        <f t="shared" si="12"/>
        <v>28</v>
      </c>
      <c r="T36" s="401">
        <f>S36/P36*O36*N36</f>
        <v>77344.711111111115</v>
      </c>
      <c r="U36" s="363">
        <f>(32000000*0.03657)*30/P36</f>
        <v>97520</v>
      </c>
      <c r="V36" s="402">
        <f t="shared" si="13"/>
        <v>-20175.288888888885</v>
      </c>
      <c r="W36" s="402"/>
      <c r="X36" s="381" t="s">
        <v>370</v>
      </c>
      <c r="Z36" s="396">
        <f t="shared" si="14"/>
        <v>32000000</v>
      </c>
      <c r="AA36" s="397">
        <v>3.1076000000000003E-2</v>
      </c>
      <c r="AB36" s="374">
        <v>360</v>
      </c>
      <c r="AC36" s="399">
        <v>38749</v>
      </c>
      <c r="AD36" s="399">
        <v>38777</v>
      </c>
      <c r="AE36" s="400">
        <f t="shared" si="0"/>
        <v>28</v>
      </c>
      <c r="AF36" s="401">
        <f>AE36/AB36*AA36*Z36</f>
        <v>77344.711111111115</v>
      </c>
      <c r="AG36" s="363">
        <f>(32000000*0.03645)*30/AB36</f>
        <v>97200</v>
      </c>
      <c r="AH36" s="402">
        <f t="shared" si="2"/>
        <v>-19855.288888888885</v>
      </c>
      <c r="AI36" s="402"/>
      <c r="AJ36" s="382" t="s">
        <v>370</v>
      </c>
      <c r="AK36" s="375"/>
      <c r="AL36" s="403">
        <f t="shared" si="17"/>
        <v>32000000</v>
      </c>
      <c r="AM36" s="404">
        <v>3.1076000000000003E-2</v>
      </c>
      <c r="AN36" s="383">
        <v>360</v>
      </c>
      <c r="AO36" s="406">
        <v>38749</v>
      </c>
      <c r="AP36" s="406">
        <v>38777</v>
      </c>
      <c r="AQ36" s="407">
        <f t="shared" si="20"/>
        <v>28</v>
      </c>
      <c r="AR36" s="408">
        <f>AQ36/AN36*AM36*AL36</f>
        <v>77344.711111111115</v>
      </c>
      <c r="AS36" s="409">
        <f t="shared" si="27"/>
        <v>97280</v>
      </c>
      <c r="AT36" s="410">
        <f t="shared" si="22"/>
        <v>-19935.288888888885</v>
      </c>
      <c r="AU36" s="375"/>
    </row>
    <row r="37" spans="2:47" x14ac:dyDescent="0.25">
      <c r="B37" s="396">
        <f t="shared" si="3"/>
        <v>32000000</v>
      </c>
      <c r="C37" s="397">
        <v>3.1483999999999998E-2</v>
      </c>
      <c r="D37" s="374">
        <v>360</v>
      </c>
      <c r="E37" s="399">
        <f t="shared" ref="E37:E100" si="28">F36</f>
        <v>38777</v>
      </c>
      <c r="F37" s="399">
        <v>38810</v>
      </c>
      <c r="G37" s="400">
        <f t="shared" si="6"/>
        <v>33</v>
      </c>
      <c r="H37" s="401">
        <f t="shared" si="7"/>
        <v>92353.066666666651</v>
      </c>
      <c r="I37" s="363">
        <f>ROUND((32000000*0.03695)*32/D37,2)</f>
        <v>105102.22</v>
      </c>
      <c r="J37" s="402">
        <f t="shared" si="8"/>
        <v>-12749.15333333335</v>
      </c>
      <c r="K37" s="402"/>
      <c r="L37" s="381" t="s">
        <v>370</v>
      </c>
      <c r="N37" s="396">
        <f t="shared" si="9"/>
        <v>32000000</v>
      </c>
      <c r="O37" s="397">
        <v>3.1483999999999998E-2</v>
      </c>
      <c r="P37" s="374">
        <v>360</v>
      </c>
      <c r="Q37" s="399">
        <f t="shared" ref="Q37:Q100" si="29">R36</f>
        <v>38777</v>
      </c>
      <c r="R37" s="399">
        <v>38810</v>
      </c>
      <c r="S37" s="400">
        <f t="shared" si="12"/>
        <v>33</v>
      </c>
      <c r="T37" s="401">
        <f>S37/P37*O37*N37+0.004</f>
        <v>92353.070666666652</v>
      </c>
      <c r="U37" s="363">
        <f>(32000000*0.03657)*32/P37</f>
        <v>104021.33333333333</v>
      </c>
      <c r="V37" s="402">
        <f t="shared" si="13"/>
        <v>-11668.262666666677</v>
      </c>
      <c r="W37" s="402"/>
      <c r="X37" s="381" t="s">
        <v>370</v>
      </c>
      <c r="Z37" s="396">
        <f t="shared" si="14"/>
        <v>32000000</v>
      </c>
      <c r="AA37" s="397">
        <v>3.1483999999999998E-2</v>
      </c>
      <c r="AB37" s="374">
        <v>360</v>
      </c>
      <c r="AC37" s="399">
        <f t="shared" ref="AC37:AC100" si="30">AD36</f>
        <v>38777</v>
      </c>
      <c r="AD37" s="399">
        <v>38810</v>
      </c>
      <c r="AE37" s="400">
        <f t="shared" si="0"/>
        <v>33</v>
      </c>
      <c r="AF37" s="401">
        <f>AE37/AB37*AA37*Z37</f>
        <v>92353.066666666651</v>
      </c>
      <c r="AG37" s="363">
        <f>(32000000*0.03645)*32/AB37</f>
        <v>103680</v>
      </c>
      <c r="AH37" s="402">
        <f t="shared" si="2"/>
        <v>-11326.933333333349</v>
      </c>
      <c r="AI37" s="402"/>
      <c r="AJ37" s="382" t="s">
        <v>370</v>
      </c>
      <c r="AK37" s="375"/>
      <c r="AL37" s="403">
        <f t="shared" si="17"/>
        <v>32000000</v>
      </c>
      <c r="AM37" s="404">
        <v>3.1483999999999998E-2</v>
      </c>
      <c r="AN37" s="383">
        <v>360</v>
      </c>
      <c r="AO37" s="406">
        <f t="shared" ref="AO37:AO66" si="31">AP36</f>
        <v>38777</v>
      </c>
      <c r="AP37" s="406">
        <v>38810</v>
      </c>
      <c r="AQ37" s="407">
        <f t="shared" si="20"/>
        <v>33</v>
      </c>
      <c r="AR37" s="408">
        <f>AQ37/AN37*AM37*AL37</f>
        <v>92353.066666666651</v>
      </c>
      <c r="AS37" s="409">
        <f t="shared" si="27"/>
        <v>97280</v>
      </c>
      <c r="AT37" s="410">
        <f t="shared" si="22"/>
        <v>-4926.9333333333489</v>
      </c>
      <c r="AU37" s="375"/>
    </row>
    <row r="38" spans="2:47" x14ac:dyDescent="0.25">
      <c r="B38" s="396">
        <f t="shared" si="3"/>
        <v>32000000</v>
      </c>
      <c r="C38" s="397">
        <v>3.2814299999999998E-2</v>
      </c>
      <c r="D38" s="374">
        <v>360</v>
      </c>
      <c r="E38" s="399">
        <f t="shared" si="28"/>
        <v>38810</v>
      </c>
      <c r="F38" s="399">
        <v>38839</v>
      </c>
      <c r="G38" s="400">
        <f t="shared" si="6"/>
        <v>29</v>
      </c>
      <c r="H38" s="401">
        <f t="shared" si="7"/>
        <v>84587.973333333328</v>
      </c>
      <c r="I38" s="363">
        <f>ROUND((32000000*0.03695)*29/D38,2)</f>
        <v>95248.89</v>
      </c>
      <c r="J38" s="402">
        <f t="shared" si="8"/>
        <v>-10660.916666666672</v>
      </c>
      <c r="K38" s="402"/>
      <c r="L38" s="381" t="s">
        <v>370</v>
      </c>
      <c r="N38" s="396">
        <f t="shared" si="9"/>
        <v>32000000</v>
      </c>
      <c r="O38" s="397">
        <v>3.2814280000000001E-2</v>
      </c>
      <c r="P38" s="374">
        <v>360</v>
      </c>
      <c r="Q38" s="399">
        <f t="shared" si="29"/>
        <v>38810</v>
      </c>
      <c r="R38" s="399">
        <v>38839</v>
      </c>
      <c r="S38" s="400">
        <f t="shared" si="12"/>
        <v>29</v>
      </c>
      <c r="T38" s="401">
        <f>S38/P38*O38*N38+0.01</f>
        <v>84587.931777777776</v>
      </c>
      <c r="U38" s="363">
        <f>(32000000*0.03657)*29/P38</f>
        <v>94269.333333333328</v>
      </c>
      <c r="V38" s="402">
        <f t="shared" si="13"/>
        <v>-9681.4015555555525</v>
      </c>
      <c r="W38" s="402"/>
      <c r="X38" s="381" t="s">
        <v>370</v>
      </c>
      <c r="Z38" s="396">
        <f t="shared" si="14"/>
        <v>32000000</v>
      </c>
      <c r="AA38" s="397">
        <v>3.2814280000000001E-2</v>
      </c>
      <c r="AB38" s="374">
        <v>360</v>
      </c>
      <c r="AC38" s="399">
        <f t="shared" si="30"/>
        <v>38810</v>
      </c>
      <c r="AD38" s="399">
        <v>38839</v>
      </c>
      <c r="AE38" s="400">
        <f t="shared" si="0"/>
        <v>29</v>
      </c>
      <c r="AF38" s="401">
        <f>AE38/AB38*AA38*Z38+0.01</f>
        <v>84587.931777777776</v>
      </c>
      <c r="AG38" s="363">
        <f>(32000000*0.03645)*29/AB38</f>
        <v>93960</v>
      </c>
      <c r="AH38" s="402">
        <f t="shared" si="2"/>
        <v>-9372.068222222224</v>
      </c>
      <c r="AI38" s="402"/>
      <c r="AJ38" s="382" t="s">
        <v>370</v>
      </c>
      <c r="AK38" s="375"/>
      <c r="AL38" s="403">
        <f t="shared" si="17"/>
        <v>32000000</v>
      </c>
      <c r="AM38" s="404">
        <v>3.2814280000000001E-2</v>
      </c>
      <c r="AN38" s="383">
        <v>360</v>
      </c>
      <c r="AO38" s="406">
        <f t="shared" si="31"/>
        <v>38810</v>
      </c>
      <c r="AP38" s="406">
        <v>38839</v>
      </c>
      <c r="AQ38" s="407">
        <f t="shared" si="20"/>
        <v>29</v>
      </c>
      <c r="AR38" s="408">
        <f>AQ38/AN38*AM38*AL38+0.01</f>
        <v>84587.931777777776</v>
      </c>
      <c r="AS38" s="409">
        <f t="shared" si="27"/>
        <v>97280</v>
      </c>
      <c r="AT38" s="410">
        <f t="shared" si="22"/>
        <v>-12692.068222222224</v>
      </c>
      <c r="AU38" s="375"/>
    </row>
    <row r="39" spans="2:47" x14ac:dyDescent="0.25">
      <c r="B39" s="396">
        <f t="shared" si="3"/>
        <v>32000000</v>
      </c>
      <c r="C39" s="397">
        <v>3.4153000000000003E-2</v>
      </c>
      <c r="D39" s="374">
        <v>360</v>
      </c>
      <c r="E39" s="399">
        <f t="shared" si="28"/>
        <v>38839</v>
      </c>
      <c r="F39" s="399">
        <v>38869</v>
      </c>
      <c r="G39" s="400">
        <f t="shared" si="6"/>
        <v>30</v>
      </c>
      <c r="H39" s="401">
        <f t="shared" si="7"/>
        <v>91074.666666666672</v>
      </c>
      <c r="I39" s="363">
        <f>ROUND((32000000*0.03695)*29/D39,2)</f>
        <v>95248.89</v>
      </c>
      <c r="J39" s="402">
        <f t="shared" si="8"/>
        <v>-4174.2233333333279</v>
      </c>
      <c r="K39" s="402"/>
      <c r="L39" s="381" t="s">
        <v>370</v>
      </c>
      <c r="N39" s="396">
        <f t="shared" si="9"/>
        <v>32000000</v>
      </c>
      <c r="O39" s="397">
        <f>C39</f>
        <v>3.4153000000000003E-2</v>
      </c>
      <c r="P39" s="374">
        <v>360</v>
      </c>
      <c r="Q39" s="399">
        <f t="shared" si="29"/>
        <v>38839</v>
      </c>
      <c r="R39" s="399">
        <v>38869</v>
      </c>
      <c r="S39" s="400">
        <f t="shared" si="12"/>
        <v>30</v>
      </c>
      <c r="T39" s="401">
        <f>S39/P39*O39*N39+0.004</f>
        <v>91074.670666666672</v>
      </c>
      <c r="U39" s="363">
        <f>(32000000*0.03657)*29/P39</f>
        <v>94269.333333333328</v>
      </c>
      <c r="V39" s="402">
        <f t="shared" si="13"/>
        <v>-3194.6626666666562</v>
      </c>
      <c r="W39" s="402"/>
      <c r="X39" s="381" t="s">
        <v>370</v>
      </c>
      <c r="Z39" s="396">
        <f t="shared" si="14"/>
        <v>32000000</v>
      </c>
      <c r="AA39" s="397">
        <f>C39</f>
        <v>3.4153000000000003E-2</v>
      </c>
      <c r="AB39" s="374">
        <v>360</v>
      </c>
      <c r="AC39" s="399">
        <f t="shared" si="30"/>
        <v>38839</v>
      </c>
      <c r="AD39" s="399">
        <v>38869</v>
      </c>
      <c r="AE39" s="400">
        <f t="shared" si="0"/>
        <v>30</v>
      </c>
      <c r="AF39" s="401">
        <f>AE39/AB39*AA39*Z39+0.004</f>
        <v>91074.670666666672</v>
      </c>
      <c r="AG39" s="363">
        <f>(32000000*0.03645)*29/AB39</f>
        <v>93960</v>
      </c>
      <c r="AH39" s="402">
        <f t="shared" si="2"/>
        <v>-2885.3293333333277</v>
      </c>
      <c r="AI39" s="402"/>
      <c r="AJ39" s="382" t="s">
        <v>370</v>
      </c>
      <c r="AK39" s="375"/>
      <c r="AL39" s="403">
        <f t="shared" si="17"/>
        <v>32000000</v>
      </c>
      <c r="AM39" s="404">
        <f>C39</f>
        <v>3.4153000000000003E-2</v>
      </c>
      <c r="AN39" s="383">
        <v>360</v>
      </c>
      <c r="AO39" s="406">
        <f t="shared" si="31"/>
        <v>38839</v>
      </c>
      <c r="AP39" s="406">
        <v>38869</v>
      </c>
      <c r="AQ39" s="407">
        <f t="shared" si="20"/>
        <v>30</v>
      </c>
      <c r="AR39" s="408">
        <f>AQ39/AN39*AM39*AL39+0.004</f>
        <v>91074.670666666672</v>
      </c>
      <c r="AS39" s="409">
        <f t="shared" si="27"/>
        <v>97280</v>
      </c>
      <c r="AT39" s="410">
        <f t="shared" si="22"/>
        <v>-6205.3293333333277</v>
      </c>
      <c r="AU39" s="375"/>
    </row>
    <row r="40" spans="2:47" x14ac:dyDescent="0.25">
      <c r="B40" s="396">
        <f t="shared" si="3"/>
        <v>32000000</v>
      </c>
      <c r="C40" s="397">
        <v>3.4741599999999997E-2</v>
      </c>
      <c r="D40" s="374">
        <v>360</v>
      </c>
      <c r="E40" s="399">
        <f t="shared" si="28"/>
        <v>38869</v>
      </c>
      <c r="F40" s="399">
        <v>38901</v>
      </c>
      <c r="G40" s="400">
        <f t="shared" si="6"/>
        <v>32</v>
      </c>
      <c r="H40" s="401">
        <f t="shared" si="7"/>
        <v>98820.551111111112</v>
      </c>
      <c r="I40" s="363">
        <f>ROUND((32000000*0.03695)*G40/D40,2)</f>
        <v>105102.22</v>
      </c>
      <c r="J40" s="402">
        <f t="shared" si="8"/>
        <v>-6281.6688888888893</v>
      </c>
      <c r="K40" s="402"/>
      <c r="L40" s="381" t="s">
        <v>370</v>
      </c>
      <c r="N40" s="396">
        <f t="shared" si="9"/>
        <v>32000000</v>
      </c>
      <c r="O40" s="397">
        <f>C40</f>
        <v>3.4741599999999997E-2</v>
      </c>
      <c r="P40" s="374">
        <v>360</v>
      </c>
      <c r="Q40" s="399">
        <f t="shared" si="29"/>
        <v>38869</v>
      </c>
      <c r="R40" s="399">
        <v>38901</v>
      </c>
      <c r="S40" s="400">
        <f t="shared" si="12"/>
        <v>32</v>
      </c>
      <c r="T40" s="401">
        <f>S40/P40*O40*N40+0.02</f>
        <v>98820.571111111116</v>
      </c>
      <c r="U40" s="363">
        <f>ROUND((32000000*0.03657)*S40/P40,2)</f>
        <v>104021.33</v>
      </c>
      <c r="V40" s="402">
        <f t="shared" si="13"/>
        <v>-5200.7588888888858</v>
      </c>
      <c r="W40" s="402"/>
      <c r="X40" s="381" t="s">
        <v>370</v>
      </c>
      <c r="Z40" s="396">
        <f t="shared" si="14"/>
        <v>32000000</v>
      </c>
      <c r="AA40" s="397">
        <f>C40</f>
        <v>3.4741599999999997E-2</v>
      </c>
      <c r="AB40" s="374">
        <v>360</v>
      </c>
      <c r="AC40" s="399">
        <f t="shared" si="30"/>
        <v>38869</v>
      </c>
      <c r="AD40" s="399">
        <v>38901</v>
      </c>
      <c r="AE40" s="400">
        <f t="shared" si="0"/>
        <v>32</v>
      </c>
      <c r="AF40" s="401">
        <f>AE40/AB40*AA40*Z40+0.02</f>
        <v>98820.571111111116</v>
      </c>
      <c r="AG40" s="363">
        <f>(32000000*0.03645)*AE40/AB40</f>
        <v>103680</v>
      </c>
      <c r="AH40" s="402">
        <f t="shared" si="2"/>
        <v>-4859.4288888888841</v>
      </c>
      <c r="AI40" s="402"/>
      <c r="AJ40" s="382" t="s">
        <v>370</v>
      </c>
      <c r="AK40" s="375"/>
      <c r="AL40" s="403">
        <f t="shared" si="17"/>
        <v>32000000</v>
      </c>
      <c r="AM40" s="404">
        <f>C40</f>
        <v>3.4741599999999997E-2</v>
      </c>
      <c r="AN40" s="383">
        <v>360</v>
      </c>
      <c r="AO40" s="406">
        <f t="shared" si="31"/>
        <v>38869</v>
      </c>
      <c r="AP40" s="406">
        <v>38901</v>
      </c>
      <c r="AQ40" s="407">
        <f t="shared" si="20"/>
        <v>32</v>
      </c>
      <c r="AR40" s="408">
        <f>AQ40/AN40*AM40*AL40+0.02</f>
        <v>98820.571111111116</v>
      </c>
      <c r="AS40" s="409">
        <f t="shared" si="27"/>
        <v>97280</v>
      </c>
      <c r="AT40" s="410">
        <f t="shared" si="22"/>
        <v>1540.5711111111159</v>
      </c>
      <c r="AU40" s="375"/>
    </row>
    <row r="41" spans="2:47" x14ac:dyDescent="0.25">
      <c r="B41" s="396">
        <f t="shared" si="3"/>
        <v>32000000</v>
      </c>
      <c r="C41" s="397">
        <v>3.6354499999999998E-2</v>
      </c>
      <c r="D41" s="374">
        <v>360</v>
      </c>
      <c r="E41" s="399">
        <f t="shared" si="28"/>
        <v>38901</v>
      </c>
      <c r="F41" s="399">
        <v>38930</v>
      </c>
      <c r="G41" s="400">
        <f t="shared" si="6"/>
        <v>29</v>
      </c>
      <c r="H41" s="401">
        <f t="shared" si="7"/>
        <v>93713.822222222225</v>
      </c>
      <c r="I41" s="363">
        <f>ROUND((32000000*0.03695)*28/D41,2)</f>
        <v>91964.44</v>
      </c>
      <c r="J41" s="402">
        <f t="shared" si="8"/>
        <v>1749.3822222222225</v>
      </c>
      <c r="K41" s="402"/>
      <c r="L41" s="381" t="s">
        <v>370</v>
      </c>
      <c r="N41" s="396">
        <f t="shared" si="9"/>
        <v>32000000</v>
      </c>
      <c r="O41" s="397">
        <f>C41</f>
        <v>3.6354499999999998E-2</v>
      </c>
      <c r="P41" s="374">
        <v>360</v>
      </c>
      <c r="Q41" s="399">
        <f t="shared" si="29"/>
        <v>38901</v>
      </c>
      <c r="R41" s="399">
        <v>38930</v>
      </c>
      <c r="S41" s="400">
        <f t="shared" si="12"/>
        <v>29</v>
      </c>
      <c r="T41" s="401">
        <f t="shared" ref="T41:T104" si="32">S41/P41*O41*N41</f>
        <v>93713.822222222225</v>
      </c>
      <c r="U41" s="363">
        <f>ROUND((32000000*0.03657)*28/P41,2)</f>
        <v>91018.67</v>
      </c>
      <c r="V41" s="402">
        <f t="shared" si="13"/>
        <v>2695.1522222222266</v>
      </c>
      <c r="W41" s="402"/>
      <c r="X41" s="381" t="s">
        <v>370</v>
      </c>
      <c r="Z41" s="396">
        <f t="shared" si="14"/>
        <v>32000000</v>
      </c>
      <c r="AA41" s="397">
        <f>C41</f>
        <v>3.6354499999999998E-2</v>
      </c>
      <c r="AB41" s="374">
        <v>360</v>
      </c>
      <c r="AC41" s="399">
        <f t="shared" si="30"/>
        <v>38901</v>
      </c>
      <c r="AD41" s="399">
        <v>38930</v>
      </c>
      <c r="AE41" s="400">
        <f t="shared" si="0"/>
        <v>29</v>
      </c>
      <c r="AF41" s="401">
        <f t="shared" ref="AF41:AF104" si="33">AE41/AB41*AA41*Z41</f>
        <v>93713.822222222225</v>
      </c>
      <c r="AG41" s="363">
        <f>(32000000*0.03645)*28/AB41</f>
        <v>90720</v>
      </c>
      <c r="AH41" s="402">
        <f t="shared" si="2"/>
        <v>2993.8222222222248</v>
      </c>
      <c r="AI41" s="402"/>
      <c r="AJ41" s="382" t="s">
        <v>370</v>
      </c>
      <c r="AK41" s="375"/>
      <c r="AL41" s="403">
        <f t="shared" si="17"/>
        <v>32000000</v>
      </c>
      <c r="AM41" s="404">
        <f>C41</f>
        <v>3.6354499999999998E-2</v>
      </c>
      <c r="AN41" s="383">
        <v>360</v>
      </c>
      <c r="AO41" s="406">
        <f t="shared" si="31"/>
        <v>38901</v>
      </c>
      <c r="AP41" s="406">
        <v>38930</v>
      </c>
      <c r="AQ41" s="407">
        <f t="shared" si="20"/>
        <v>29</v>
      </c>
      <c r="AR41" s="408">
        <f t="shared" ref="AR41:AR70" si="34">AQ41/AN41*AM41*AL41</f>
        <v>93713.822222222225</v>
      </c>
      <c r="AS41" s="409">
        <f t="shared" si="27"/>
        <v>97280</v>
      </c>
      <c r="AT41" s="410">
        <f t="shared" si="22"/>
        <v>-3566.1777777777752</v>
      </c>
      <c r="AU41" s="375"/>
    </row>
    <row r="42" spans="2:47" x14ac:dyDescent="0.25">
      <c r="B42" s="396">
        <f t="shared" si="3"/>
        <v>32000000</v>
      </c>
      <c r="C42" s="397">
        <v>3.6732800000000003E-2</v>
      </c>
      <c r="D42" s="374">
        <v>360</v>
      </c>
      <c r="E42" s="399">
        <f t="shared" si="28"/>
        <v>38930</v>
      </c>
      <c r="F42" s="399">
        <v>38961</v>
      </c>
      <c r="G42" s="400">
        <f t="shared" si="6"/>
        <v>31</v>
      </c>
      <c r="H42" s="401">
        <f t="shared" si="7"/>
        <v>101219.27111111111</v>
      </c>
      <c r="I42" s="363">
        <f>ROUND((32000000*0.03695)*30/D42,2)</f>
        <v>98533.33</v>
      </c>
      <c r="J42" s="402">
        <f t="shared" si="8"/>
        <v>2685.9411111111112</v>
      </c>
      <c r="K42" s="402"/>
      <c r="L42" s="381" t="s">
        <v>370</v>
      </c>
      <c r="N42" s="396">
        <f t="shared" si="9"/>
        <v>32000000</v>
      </c>
      <c r="O42" s="397">
        <v>3.6732783999999997E-2</v>
      </c>
      <c r="P42" s="374">
        <v>360</v>
      </c>
      <c r="Q42" s="399">
        <f t="shared" si="29"/>
        <v>38930</v>
      </c>
      <c r="R42" s="399">
        <f t="shared" ref="R42:R71" si="35">F42</f>
        <v>38961</v>
      </c>
      <c r="S42" s="400">
        <f t="shared" si="12"/>
        <v>31</v>
      </c>
      <c r="T42" s="401">
        <f t="shared" si="32"/>
        <v>101219.22702222221</v>
      </c>
      <c r="U42" s="363">
        <f>ROUND((32000000*0.03657)*30/P42,2)</f>
        <v>97520</v>
      </c>
      <c r="V42" s="402">
        <f t="shared" si="13"/>
        <v>3699.2270222222141</v>
      </c>
      <c r="W42" s="402"/>
      <c r="X42" s="381" t="s">
        <v>370</v>
      </c>
      <c r="Z42" s="396">
        <f t="shared" si="14"/>
        <v>32000000</v>
      </c>
      <c r="AA42" s="397">
        <v>3.6732783999999997E-2</v>
      </c>
      <c r="AB42" s="374">
        <v>360</v>
      </c>
      <c r="AC42" s="399">
        <f t="shared" si="30"/>
        <v>38930</v>
      </c>
      <c r="AD42" s="399">
        <f t="shared" ref="AD42:AD71" si="36">F42</f>
        <v>38961</v>
      </c>
      <c r="AE42" s="400">
        <f t="shared" si="0"/>
        <v>31</v>
      </c>
      <c r="AF42" s="401">
        <f t="shared" si="33"/>
        <v>101219.22702222221</v>
      </c>
      <c r="AG42" s="363">
        <f>(32000000*0.03645)*30/AB42</f>
        <v>97200</v>
      </c>
      <c r="AH42" s="402">
        <f t="shared" si="2"/>
        <v>4019.2270222222141</v>
      </c>
      <c r="AI42" s="402"/>
      <c r="AJ42" s="382" t="s">
        <v>370</v>
      </c>
      <c r="AK42" s="375"/>
      <c r="AL42" s="403">
        <f t="shared" si="17"/>
        <v>32000000</v>
      </c>
      <c r="AM42" s="404">
        <v>3.6732783999999997E-2</v>
      </c>
      <c r="AN42" s="383">
        <v>360</v>
      </c>
      <c r="AO42" s="406">
        <f t="shared" si="31"/>
        <v>38930</v>
      </c>
      <c r="AP42" s="406">
        <f t="shared" ref="AP42:AP65" si="37">F42</f>
        <v>38961</v>
      </c>
      <c r="AQ42" s="407">
        <f t="shared" si="20"/>
        <v>31</v>
      </c>
      <c r="AR42" s="408">
        <f t="shared" si="34"/>
        <v>101219.22702222221</v>
      </c>
      <c r="AS42" s="409">
        <f t="shared" si="27"/>
        <v>97280</v>
      </c>
      <c r="AT42" s="410">
        <f t="shared" si="22"/>
        <v>3939.2270222222141</v>
      </c>
      <c r="AU42" s="375"/>
    </row>
    <row r="43" spans="2:47" x14ac:dyDescent="0.25">
      <c r="B43" s="396">
        <f t="shared" si="3"/>
        <v>32000000</v>
      </c>
      <c r="C43" s="397">
        <v>3.6243999999999998E-2</v>
      </c>
      <c r="D43" s="374">
        <v>360</v>
      </c>
      <c r="E43" s="399">
        <f t="shared" si="28"/>
        <v>38961</v>
      </c>
      <c r="F43" s="399">
        <v>38992</v>
      </c>
      <c r="G43" s="400">
        <f t="shared" si="6"/>
        <v>31</v>
      </c>
      <c r="H43" s="401">
        <f t="shared" si="7"/>
        <v>99872.35555555555</v>
      </c>
      <c r="I43" s="363">
        <f>ROUND((32000000*0.03695)*31/D43,2)</f>
        <v>101817.78</v>
      </c>
      <c r="J43" s="402">
        <f t="shared" si="8"/>
        <v>-1945.4244444444485</v>
      </c>
      <c r="K43" s="402"/>
      <c r="L43" s="381" t="s">
        <v>370</v>
      </c>
      <c r="N43" s="396">
        <f t="shared" si="9"/>
        <v>32000000</v>
      </c>
      <c r="O43" s="397">
        <v>3.6243999999999998E-2</v>
      </c>
      <c r="P43" s="374">
        <v>360</v>
      </c>
      <c r="Q43" s="399">
        <f t="shared" si="29"/>
        <v>38961</v>
      </c>
      <c r="R43" s="399">
        <f t="shared" si="35"/>
        <v>38992</v>
      </c>
      <c r="S43" s="400">
        <f t="shared" si="12"/>
        <v>31</v>
      </c>
      <c r="T43" s="401">
        <f t="shared" si="32"/>
        <v>99872.35555555555</v>
      </c>
      <c r="U43" s="363">
        <f>ROUND((32000000*0.03657)*31/P43,2)</f>
        <v>100770.67</v>
      </c>
      <c r="V43" s="402">
        <f t="shared" si="13"/>
        <v>-898.31444444444787</v>
      </c>
      <c r="W43" s="402"/>
      <c r="X43" s="381" t="s">
        <v>370</v>
      </c>
      <c r="Z43" s="396">
        <f t="shared" si="14"/>
        <v>32000000</v>
      </c>
      <c r="AA43" s="397">
        <v>3.6243999999999998E-2</v>
      </c>
      <c r="AB43" s="374">
        <v>360</v>
      </c>
      <c r="AC43" s="399">
        <f t="shared" si="30"/>
        <v>38961</v>
      </c>
      <c r="AD43" s="399">
        <f t="shared" si="36"/>
        <v>38992</v>
      </c>
      <c r="AE43" s="400">
        <f t="shared" si="0"/>
        <v>31</v>
      </c>
      <c r="AF43" s="401">
        <f t="shared" si="33"/>
        <v>99872.35555555555</v>
      </c>
      <c r="AG43" s="363">
        <f>(32000000*0.03645)*31/AB43</f>
        <v>100440</v>
      </c>
      <c r="AH43" s="402">
        <f t="shared" si="2"/>
        <v>-567.64444444444962</v>
      </c>
      <c r="AI43" s="402"/>
      <c r="AJ43" s="382" t="s">
        <v>370</v>
      </c>
      <c r="AK43" s="375"/>
      <c r="AL43" s="403">
        <f t="shared" si="17"/>
        <v>32000000</v>
      </c>
      <c r="AM43" s="404">
        <v>3.6243999999999998E-2</v>
      </c>
      <c r="AN43" s="383">
        <v>360</v>
      </c>
      <c r="AO43" s="406">
        <f t="shared" si="31"/>
        <v>38961</v>
      </c>
      <c r="AP43" s="406">
        <f t="shared" si="37"/>
        <v>38992</v>
      </c>
      <c r="AQ43" s="407">
        <f t="shared" si="20"/>
        <v>31</v>
      </c>
      <c r="AR43" s="408">
        <f t="shared" si="34"/>
        <v>99872.35555555555</v>
      </c>
      <c r="AS43" s="409">
        <f t="shared" si="27"/>
        <v>97280</v>
      </c>
      <c r="AT43" s="410">
        <f t="shared" si="22"/>
        <v>2592.3555555555504</v>
      </c>
      <c r="AU43" s="375"/>
    </row>
    <row r="44" spans="2:47" x14ac:dyDescent="0.25">
      <c r="B44" s="396">
        <f t="shared" si="3"/>
        <v>32000000</v>
      </c>
      <c r="C44" s="397">
        <v>3.6193000000000003E-2</v>
      </c>
      <c r="D44" s="374">
        <v>360</v>
      </c>
      <c r="E44" s="399">
        <f t="shared" si="28"/>
        <v>38992</v>
      </c>
      <c r="F44" s="399">
        <v>39022</v>
      </c>
      <c r="G44" s="400">
        <f t="shared" si="6"/>
        <v>30</v>
      </c>
      <c r="H44" s="401">
        <f t="shared" si="7"/>
        <v>96514.666666666672</v>
      </c>
      <c r="I44" s="363">
        <f>ROUND((32000000*0.03695)*29/D44,2)</f>
        <v>95248.89</v>
      </c>
      <c r="J44" s="402">
        <f t="shared" si="8"/>
        <v>1265.7766666666721</v>
      </c>
      <c r="K44" s="402"/>
      <c r="L44" s="381" t="s">
        <v>370</v>
      </c>
      <c r="N44" s="396">
        <f t="shared" si="9"/>
        <v>32000000</v>
      </c>
      <c r="O44" s="397">
        <v>3.6193000000000003E-2</v>
      </c>
      <c r="P44" s="374">
        <v>360</v>
      </c>
      <c r="Q44" s="399">
        <f t="shared" si="29"/>
        <v>38992</v>
      </c>
      <c r="R44" s="399">
        <f t="shared" si="35"/>
        <v>39022</v>
      </c>
      <c r="S44" s="400">
        <f t="shared" si="12"/>
        <v>30</v>
      </c>
      <c r="T44" s="401">
        <f t="shared" si="32"/>
        <v>96514.666666666672</v>
      </c>
      <c r="U44" s="363">
        <f>ROUND((32000000*0.03657)*29/P44,2)</f>
        <v>94269.33</v>
      </c>
      <c r="V44" s="402">
        <f t="shared" si="13"/>
        <v>2245.3366666666698</v>
      </c>
      <c r="W44" s="402"/>
      <c r="X44" s="381" t="s">
        <v>370</v>
      </c>
      <c r="Z44" s="396">
        <f t="shared" si="14"/>
        <v>32000000</v>
      </c>
      <c r="AA44" s="397">
        <v>3.6193000000000003E-2</v>
      </c>
      <c r="AB44" s="374">
        <v>360</v>
      </c>
      <c r="AC44" s="399">
        <f t="shared" si="30"/>
        <v>38992</v>
      </c>
      <c r="AD44" s="399">
        <f t="shared" si="36"/>
        <v>39022</v>
      </c>
      <c r="AE44" s="400">
        <f t="shared" si="0"/>
        <v>30</v>
      </c>
      <c r="AF44" s="401">
        <f t="shared" si="33"/>
        <v>96514.666666666672</v>
      </c>
      <c r="AG44" s="363">
        <f>(32000000*0.03645)*29/AB44</f>
        <v>93960</v>
      </c>
      <c r="AH44" s="402">
        <f t="shared" si="2"/>
        <v>2554.6666666666715</v>
      </c>
      <c r="AI44" s="402"/>
      <c r="AJ44" s="382" t="s">
        <v>370</v>
      </c>
      <c r="AK44" s="375"/>
      <c r="AL44" s="403">
        <f t="shared" si="17"/>
        <v>32000000</v>
      </c>
      <c r="AM44" s="404">
        <v>3.6193000000000003E-2</v>
      </c>
      <c r="AN44" s="383">
        <v>360</v>
      </c>
      <c r="AO44" s="406">
        <f t="shared" si="31"/>
        <v>38992</v>
      </c>
      <c r="AP44" s="406">
        <f t="shared" si="37"/>
        <v>39022</v>
      </c>
      <c r="AQ44" s="407">
        <f t="shared" si="20"/>
        <v>30</v>
      </c>
      <c r="AR44" s="408">
        <f t="shared" si="34"/>
        <v>96514.666666666672</v>
      </c>
      <c r="AS44" s="409">
        <f t="shared" si="27"/>
        <v>97280</v>
      </c>
      <c r="AT44" s="410">
        <f t="shared" si="22"/>
        <v>-765.33333333332848</v>
      </c>
      <c r="AU44" s="375"/>
    </row>
    <row r="45" spans="2:47" x14ac:dyDescent="0.25">
      <c r="B45" s="396">
        <f t="shared" si="3"/>
        <v>32000000</v>
      </c>
      <c r="C45" s="397">
        <v>3.6176E-2</v>
      </c>
      <c r="D45" s="374">
        <v>360</v>
      </c>
      <c r="E45" s="399">
        <f t="shared" si="28"/>
        <v>39022</v>
      </c>
      <c r="F45" s="399">
        <v>39052</v>
      </c>
      <c r="G45" s="400">
        <f t="shared" si="6"/>
        <v>30</v>
      </c>
      <c r="H45" s="401">
        <f t="shared" si="7"/>
        <v>96469.333333333328</v>
      </c>
      <c r="I45" s="363">
        <f>ROUND((32000000*0.03695)*30/D45,2)</f>
        <v>98533.33</v>
      </c>
      <c r="J45" s="402">
        <f t="shared" si="8"/>
        <v>-2063.9966666666733</v>
      </c>
      <c r="K45" s="402"/>
      <c r="L45" s="381" t="s">
        <v>370</v>
      </c>
      <c r="N45" s="396">
        <f t="shared" si="9"/>
        <v>32000000</v>
      </c>
      <c r="O45" s="397">
        <v>3.6176E-2</v>
      </c>
      <c r="P45" s="374">
        <v>360</v>
      </c>
      <c r="Q45" s="399">
        <f t="shared" si="29"/>
        <v>39022</v>
      </c>
      <c r="R45" s="399">
        <f t="shared" si="35"/>
        <v>39052</v>
      </c>
      <c r="S45" s="400">
        <f t="shared" si="12"/>
        <v>30</v>
      </c>
      <c r="T45" s="401">
        <f t="shared" si="32"/>
        <v>96469.333333333328</v>
      </c>
      <c r="U45" s="363">
        <f>ROUND((32000000*0.03657)*30/P45,2)</f>
        <v>97520</v>
      </c>
      <c r="V45" s="402">
        <f t="shared" si="13"/>
        <v>-1050.6666666666715</v>
      </c>
      <c r="W45" s="402"/>
      <c r="X45" s="381" t="s">
        <v>370</v>
      </c>
      <c r="Z45" s="396">
        <f t="shared" si="14"/>
        <v>32000000</v>
      </c>
      <c r="AA45" s="397">
        <v>3.6176E-2</v>
      </c>
      <c r="AB45" s="374">
        <v>360</v>
      </c>
      <c r="AC45" s="399">
        <f t="shared" si="30"/>
        <v>39022</v>
      </c>
      <c r="AD45" s="399">
        <f t="shared" si="36"/>
        <v>39052</v>
      </c>
      <c r="AE45" s="400">
        <f t="shared" si="0"/>
        <v>30</v>
      </c>
      <c r="AF45" s="401">
        <f t="shared" si="33"/>
        <v>96469.333333333328</v>
      </c>
      <c r="AG45" s="363">
        <f>(32000000*0.03645)*30/AB45</f>
        <v>97200</v>
      </c>
      <c r="AH45" s="402">
        <f t="shared" si="2"/>
        <v>-730.66666666667152</v>
      </c>
      <c r="AI45" s="402"/>
      <c r="AJ45" s="382" t="s">
        <v>370</v>
      </c>
      <c r="AK45" s="375"/>
      <c r="AL45" s="403">
        <f t="shared" si="17"/>
        <v>32000000</v>
      </c>
      <c r="AM45" s="404">
        <v>3.6176E-2</v>
      </c>
      <c r="AN45" s="383">
        <v>360</v>
      </c>
      <c r="AO45" s="406">
        <f t="shared" si="31"/>
        <v>39022</v>
      </c>
      <c r="AP45" s="406">
        <f t="shared" si="37"/>
        <v>39052</v>
      </c>
      <c r="AQ45" s="407">
        <f t="shared" si="20"/>
        <v>30</v>
      </c>
      <c r="AR45" s="408">
        <f t="shared" si="34"/>
        <v>96469.333333333328</v>
      </c>
      <c r="AS45" s="409">
        <f t="shared" si="27"/>
        <v>97280</v>
      </c>
      <c r="AT45" s="410">
        <f t="shared" si="22"/>
        <v>-810.66666666667152</v>
      </c>
      <c r="AU45" s="375"/>
    </row>
    <row r="46" spans="2:47" x14ac:dyDescent="0.25">
      <c r="B46" s="396">
        <f t="shared" si="3"/>
        <v>32000000</v>
      </c>
      <c r="C46" s="397">
        <v>3.63758E-2</v>
      </c>
      <c r="D46" s="374">
        <v>360</v>
      </c>
      <c r="E46" s="399">
        <f t="shared" si="28"/>
        <v>39052</v>
      </c>
      <c r="F46" s="399">
        <v>39084</v>
      </c>
      <c r="G46" s="400">
        <f t="shared" si="6"/>
        <v>32</v>
      </c>
      <c r="H46" s="401">
        <f t="shared" si="7"/>
        <v>103468.94222222222</v>
      </c>
      <c r="I46" s="363">
        <f>ROUND((32000000*0.03695)*31/D46,2)</f>
        <v>101817.78</v>
      </c>
      <c r="J46" s="402">
        <f t="shared" si="8"/>
        <v>1651.1622222222213</v>
      </c>
      <c r="K46" s="402"/>
      <c r="L46" s="381" t="s">
        <v>370</v>
      </c>
      <c r="N46" s="396">
        <f t="shared" si="9"/>
        <v>32000000</v>
      </c>
      <c r="O46" s="397">
        <v>3.6375784000000001E-2</v>
      </c>
      <c r="P46" s="374">
        <v>360</v>
      </c>
      <c r="Q46" s="399">
        <f t="shared" si="29"/>
        <v>39052</v>
      </c>
      <c r="R46" s="399">
        <f t="shared" si="35"/>
        <v>39084</v>
      </c>
      <c r="S46" s="400">
        <f t="shared" si="12"/>
        <v>32</v>
      </c>
      <c r="T46" s="401">
        <f t="shared" si="32"/>
        <v>103468.89671111111</v>
      </c>
      <c r="U46" s="363">
        <f>ROUND((32000000*0.03657)*31/P46,2)</f>
        <v>100770.67</v>
      </c>
      <c r="V46" s="402">
        <f t="shared" si="13"/>
        <v>2698.2267111111141</v>
      </c>
      <c r="W46" s="402"/>
      <c r="X46" s="381" t="s">
        <v>370</v>
      </c>
      <c r="Z46" s="396">
        <f t="shared" si="14"/>
        <v>32000000</v>
      </c>
      <c r="AA46" s="397">
        <v>3.6375784000000001E-2</v>
      </c>
      <c r="AB46" s="374">
        <v>360</v>
      </c>
      <c r="AC46" s="399">
        <f t="shared" si="30"/>
        <v>39052</v>
      </c>
      <c r="AD46" s="399">
        <f t="shared" si="36"/>
        <v>39084</v>
      </c>
      <c r="AE46" s="400">
        <f t="shared" si="0"/>
        <v>32</v>
      </c>
      <c r="AF46" s="401">
        <f t="shared" si="33"/>
        <v>103468.89671111111</v>
      </c>
      <c r="AG46" s="363">
        <f>(32000000*0.03645)*31/AB46</f>
        <v>100440</v>
      </c>
      <c r="AH46" s="402">
        <f t="shared" si="2"/>
        <v>3028.8967111111124</v>
      </c>
      <c r="AI46" s="402"/>
      <c r="AJ46" s="382" t="s">
        <v>370</v>
      </c>
      <c r="AK46" s="375"/>
      <c r="AL46" s="403">
        <f t="shared" si="17"/>
        <v>32000000</v>
      </c>
      <c r="AM46" s="404">
        <v>3.6375784000000001E-2</v>
      </c>
      <c r="AN46" s="383">
        <v>360</v>
      </c>
      <c r="AO46" s="406">
        <f t="shared" si="31"/>
        <v>39052</v>
      </c>
      <c r="AP46" s="406">
        <f t="shared" si="37"/>
        <v>39084</v>
      </c>
      <c r="AQ46" s="407">
        <f t="shared" si="20"/>
        <v>32</v>
      </c>
      <c r="AR46" s="408">
        <f t="shared" si="34"/>
        <v>103468.89671111111</v>
      </c>
      <c r="AS46" s="409">
        <f t="shared" si="27"/>
        <v>97280</v>
      </c>
      <c r="AT46" s="410">
        <f t="shared" si="22"/>
        <v>6188.8967111111124</v>
      </c>
      <c r="AU46" s="375"/>
    </row>
    <row r="47" spans="2:47" x14ac:dyDescent="0.25">
      <c r="B47" s="396">
        <f t="shared" si="3"/>
        <v>32000000</v>
      </c>
      <c r="C47" s="397">
        <v>3.6214299999999998E-2</v>
      </c>
      <c r="D47" s="374">
        <v>360</v>
      </c>
      <c r="E47" s="399">
        <f t="shared" si="28"/>
        <v>39084</v>
      </c>
      <c r="F47" s="399">
        <v>39114</v>
      </c>
      <c r="G47" s="400">
        <f t="shared" si="6"/>
        <v>30</v>
      </c>
      <c r="H47" s="401">
        <f t="shared" si="7"/>
        <v>96571.46666666666</v>
      </c>
      <c r="I47" s="363">
        <f>ROUND((32000000*0.03695)*29/D47,2)</f>
        <v>95248.89</v>
      </c>
      <c r="J47" s="402">
        <f t="shared" si="8"/>
        <v>1322.5766666666605</v>
      </c>
      <c r="K47" s="402"/>
      <c r="L47" s="381" t="s">
        <v>370</v>
      </c>
      <c r="N47" s="396">
        <f t="shared" si="9"/>
        <v>32000000</v>
      </c>
      <c r="O47" s="397">
        <v>3.6214283999999999E-2</v>
      </c>
      <c r="P47" s="374">
        <v>360</v>
      </c>
      <c r="Q47" s="399">
        <f t="shared" si="29"/>
        <v>39084</v>
      </c>
      <c r="R47" s="399">
        <f t="shared" si="35"/>
        <v>39114</v>
      </c>
      <c r="S47" s="400">
        <f t="shared" si="12"/>
        <v>30</v>
      </c>
      <c r="T47" s="401">
        <f t="shared" si="32"/>
        <v>96571.423999999985</v>
      </c>
      <c r="U47" s="363">
        <f>ROUND((32000000*0.03657)*29/P47,2)</f>
        <v>94269.33</v>
      </c>
      <c r="V47" s="402">
        <f t="shared" si="13"/>
        <v>2302.0939999999828</v>
      </c>
      <c r="W47" s="402"/>
      <c r="X47" s="381" t="s">
        <v>370</v>
      </c>
      <c r="Z47" s="396">
        <f t="shared" si="14"/>
        <v>32000000</v>
      </c>
      <c r="AA47" s="397">
        <v>3.6214283999999999E-2</v>
      </c>
      <c r="AB47" s="374">
        <v>360</v>
      </c>
      <c r="AC47" s="399">
        <f t="shared" si="30"/>
        <v>39084</v>
      </c>
      <c r="AD47" s="399">
        <f t="shared" si="36"/>
        <v>39114</v>
      </c>
      <c r="AE47" s="400">
        <f t="shared" si="0"/>
        <v>30</v>
      </c>
      <c r="AF47" s="401">
        <f t="shared" si="33"/>
        <v>96571.423999999985</v>
      </c>
      <c r="AG47" s="363">
        <f>(32000000*0.03645)*29/AB47</f>
        <v>93960</v>
      </c>
      <c r="AH47" s="402">
        <f t="shared" si="2"/>
        <v>2611.4239999999845</v>
      </c>
      <c r="AI47" s="402"/>
      <c r="AJ47" s="382" t="s">
        <v>370</v>
      </c>
      <c r="AK47" s="375"/>
      <c r="AL47" s="403">
        <f t="shared" si="17"/>
        <v>32000000</v>
      </c>
      <c r="AM47" s="404">
        <v>3.6214283999999999E-2</v>
      </c>
      <c r="AN47" s="383">
        <v>360</v>
      </c>
      <c r="AO47" s="406">
        <f t="shared" si="31"/>
        <v>39084</v>
      </c>
      <c r="AP47" s="406">
        <f t="shared" si="37"/>
        <v>39114</v>
      </c>
      <c r="AQ47" s="407">
        <f t="shared" si="20"/>
        <v>30</v>
      </c>
      <c r="AR47" s="408">
        <f t="shared" si="34"/>
        <v>96571.423999999985</v>
      </c>
      <c r="AS47" s="409">
        <f t="shared" si="27"/>
        <v>97280</v>
      </c>
      <c r="AT47" s="410">
        <f t="shared" si="22"/>
        <v>-708.57600000001548</v>
      </c>
      <c r="AU47" s="375"/>
    </row>
    <row r="48" spans="2:47" x14ac:dyDescent="0.25">
      <c r="B48" s="396">
        <f t="shared" si="3"/>
        <v>32000000</v>
      </c>
      <c r="C48" s="397">
        <v>3.6176E-2</v>
      </c>
      <c r="D48" s="374">
        <v>360</v>
      </c>
      <c r="E48" s="399">
        <f t="shared" si="28"/>
        <v>39114</v>
      </c>
      <c r="F48" s="399">
        <v>39142</v>
      </c>
      <c r="G48" s="400">
        <f t="shared" si="6"/>
        <v>28</v>
      </c>
      <c r="H48" s="401">
        <f t="shared" si="7"/>
        <v>90038.044444444458</v>
      </c>
      <c r="I48" s="363">
        <f>ROUND((32000000*0.03695)*30/D48,2)</f>
        <v>98533.33</v>
      </c>
      <c r="J48" s="402">
        <f t="shared" si="8"/>
        <v>-8495.2855555555434</v>
      </c>
      <c r="K48" s="402"/>
      <c r="L48" s="381" t="s">
        <v>370</v>
      </c>
      <c r="N48" s="396">
        <f t="shared" si="9"/>
        <v>32000000</v>
      </c>
      <c r="O48" s="397">
        <f t="shared" ref="O48:O71" si="38">C48</f>
        <v>3.6176E-2</v>
      </c>
      <c r="P48" s="374">
        <v>360</v>
      </c>
      <c r="Q48" s="399">
        <f t="shared" si="29"/>
        <v>39114</v>
      </c>
      <c r="R48" s="399">
        <f t="shared" si="35"/>
        <v>39142</v>
      </c>
      <c r="S48" s="400">
        <f t="shared" si="12"/>
        <v>28</v>
      </c>
      <c r="T48" s="401">
        <f t="shared" si="32"/>
        <v>90038.044444444458</v>
      </c>
      <c r="U48" s="363">
        <f>ROUND((32000000*0.03657)*30/P48,2)</f>
        <v>97520</v>
      </c>
      <c r="V48" s="402">
        <f t="shared" si="13"/>
        <v>-7481.9555555555417</v>
      </c>
      <c r="W48" s="402"/>
      <c r="X48" s="381" t="s">
        <v>370</v>
      </c>
      <c r="Z48" s="396">
        <f t="shared" si="14"/>
        <v>32000000</v>
      </c>
      <c r="AA48" s="397">
        <f t="shared" ref="AA48:AA71" si="39">C48</f>
        <v>3.6176E-2</v>
      </c>
      <c r="AB48" s="374">
        <v>360</v>
      </c>
      <c r="AC48" s="399">
        <f t="shared" si="30"/>
        <v>39114</v>
      </c>
      <c r="AD48" s="399">
        <f t="shared" si="36"/>
        <v>39142</v>
      </c>
      <c r="AE48" s="400">
        <f t="shared" si="0"/>
        <v>28</v>
      </c>
      <c r="AF48" s="401">
        <f t="shared" si="33"/>
        <v>90038.044444444458</v>
      </c>
      <c r="AG48" s="363">
        <f>(32000000*0.03645)*30/AB48</f>
        <v>97200</v>
      </c>
      <c r="AH48" s="402">
        <f t="shared" si="2"/>
        <v>-7161.9555555555417</v>
      </c>
      <c r="AI48" s="402"/>
      <c r="AJ48" s="382" t="s">
        <v>370</v>
      </c>
      <c r="AK48" s="375"/>
      <c r="AL48" s="403">
        <f t="shared" si="17"/>
        <v>32000000</v>
      </c>
      <c r="AM48" s="404">
        <f t="shared" ref="AM48:AM71" si="40">C48</f>
        <v>3.6176E-2</v>
      </c>
      <c r="AN48" s="383">
        <v>360</v>
      </c>
      <c r="AO48" s="406">
        <f t="shared" si="31"/>
        <v>39114</v>
      </c>
      <c r="AP48" s="406">
        <f t="shared" si="37"/>
        <v>39142</v>
      </c>
      <c r="AQ48" s="407">
        <f t="shared" si="20"/>
        <v>28</v>
      </c>
      <c r="AR48" s="408">
        <f t="shared" si="34"/>
        <v>90038.044444444458</v>
      </c>
      <c r="AS48" s="409">
        <f t="shared" si="27"/>
        <v>97280</v>
      </c>
      <c r="AT48" s="410">
        <f t="shared" si="22"/>
        <v>-7241.9555555555417</v>
      </c>
      <c r="AU48" s="375"/>
    </row>
    <row r="49" spans="2:47" x14ac:dyDescent="0.25">
      <c r="B49" s="396">
        <f t="shared" si="3"/>
        <v>32000000</v>
      </c>
      <c r="C49" s="397">
        <v>3.6176E-2</v>
      </c>
      <c r="D49" s="374">
        <v>360</v>
      </c>
      <c r="E49" s="399">
        <f t="shared" si="28"/>
        <v>39142</v>
      </c>
      <c r="F49" s="399">
        <v>39174</v>
      </c>
      <c r="G49" s="400">
        <f t="shared" si="6"/>
        <v>32</v>
      </c>
      <c r="H49" s="401">
        <f t="shared" si="7"/>
        <v>102900.62222222223</v>
      </c>
      <c r="I49" s="363">
        <f>ROUND((32000000*0.03695)*31/D49,2)</f>
        <v>101817.78</v>
      </c>
      <c r="J49" s="402">
        <f t="shared" si="8"/>
        <v>1082.8422222222289</v>
      </c>
      <c r="K49" s="402"/>
      <c r="L49" s="381" t="s">
        <v>370</v>
      </c>
      <c r="N49" s="396">
        <f t="shared" si="9"/>
        <v>32000000</v>
      </c>
      <c r="O49" s="397">
        <f t="shared" si="38"/>
        <v>3.6176E-2</v>
      </c>
      <c r="P49" s="374">
        <v>360</v>
      </c>
      <c r="Q49" s="399">
        <f t="shared" si="29"/>
        <v>39142</v>
      </c>
      <c r="R49" s="399">
        <f t="shared" si="35"/>
        <v>39174</v>
      </c>
      <c r="S49" s="400">
        <f t="shared" si="12"/>
        <v>32</v>
      </c>
      <c r="T49" s="401">
        <f t="shared" si="32"/>
        <v>102900.62222222223</v>
      </c>
      <c r="U49" s="363">
        <f>ROUND((32000000*0.03657)*31/P49,2)</f>
        <v>100770.67</v>
      </c>
      <c r="V49" s="402">
        <f t="shared" si="13"/>
        <v>2129.9522222222295</v>
      </c>
      <c r="W49" s="402"/>
      <c r="X49" s="381" t="s">
        <v>370</v>
      </c>
      <c r="Z49" s="396">
        <f t="shared" si="14"/>
        <v>32000000</v>
      </c>
      <c r="AA49" s="397">
        <f t="shared" si="39"/>
        <v>3.6176E-2</v>
      </c>
      <c r="AB49" s="374">
        <v>360</v>
      </c>
      <c r="AC49" s="399">
        <f t="shared" si="30"/>
        <v>39142</v>
      </c>
      <c r="AD49" s="399">
        <f t="shared" si="36"/>
        <v>39174</v>
      </c>
      <c r="AE49" s="400">
        <f t="shared" si="0"/>
        <v>32</v>
      </c>
      <c r="AF49" s="401">
        <f t="shared" si="33"/>
        <v>102900.62222222223</v>
      </c>
      <c r="AG49" s="363">
        <f>(32000000*0.03645)*31/AB49</f>
        <v>100440</v>
      </c>
      <c r="AH49" s="402">
        <f t="shared" si="2"/>
        <v>2460.6222222222277</v>
      </c>
      <c r="AI49" s="402"/>
      <c r="AJ49" s="382" t="s">
        <v>370</v>
      </c>
      <c r="AK49" s="375"/>
      <c r="AL49" s="403">
        <f t="shared" si="17"/>
        <v>32000000</v>
      </c>
      <c r="AM49" s="404">
        <f t="shared" si="40"/>
        <v>3.6176E-2</v>
      </c>
      <c r="AN49" s="383">
        <v>360</v>
      </c>
      <c r="AO49" s="406">
        <f t="shared" si="31"/>
        <v>39142</v>
      </c>
      <c r="AP49" s="406">
        <f t="shared" si="37"/>
        <v>39174</v>
      </c>
      <c r="AQ49" s="407">
        <f t="shared" si="20"/>
        <v>32</v>
      </c>
      <c r="AR49" s="408">
        <f t="shared" si="34"/>
        <v>102900.62222222223</v>
      </c>
      <c r="AS49" s="409">
        <f t="shared" si="27"/>
        <v>97280</v>
      </c>
      <c r="AT49" s="410">
        <f t="shared" si="22"/>
        <v>5620.6222222222277</v>
      </c>
      <c r="AU49" s="375"/>
    </row>
    <row r="50" spans="2:47" x14ac:dyDescent="0.25">
      <c r="B50" s="396">
        <f t="shared" si="3"/>
        <v>32000000</v>
      </c>
      <c r="C50" s="397">
        <v>3.6176E-2</v>
      </c>
      <c r="D50" s="374">
        <v>360</v>
      </c>
      <c r="E50" s="399">
        <f t="shared" si="28"/>
        <v>39174</v>
      </c>
      <c r="F50" s="399">
        <v>39203</v>
      </c>
      <c r="G50" s="400">
        <f t="shared" si="6"/>
        <v>29</v>
      </c>
      <c r="H50" s="401">
        <f t="shared" si="7"/>
        <v>93253.688888888893</v>
      </c>
      <c r="I50" s="363">
        <f>ROUND((32000000*0.03695)*29/D50,2)</f>
        <v>95248.89</v>
      </c>
      <c r="J50" s="402">
        <f t="shared" si="8"/>
        <v>-1995.201111111106</v>
      </c>
      <c r="K50" s="402"/>
      <c r="L50" s="381" t="s">
        <v>370</v>
      </c>
      <c r="N50" s="396">
        <f t="shared" si="9"/>
        <v>32000000</v>
      </c>
      <c r="O50" s="397">
        <f t="shared" si="38"/>
        <v>3.6176E-2</v>
      </c>
      <c r="P50" s="374">
        <v>360</v>
      </c>
      <c r="Q50" s="399">
        <f t="shared" si="29"/>
        <v>39174</v>
      </c>
      <c r="R50" s="399">
        <f t="shared" si="35"/>
        <v>39203</v>
      </c>
      <c r="S50" s="400">
        <f t="shared" si="12"/>
        <v>29</v>
      </c>
      <c r="T50" s="401">
        <f t="shared" si="32"/>
        <v>93253.688888888893</v>
      </c>
      <c r="U50" s="363">
        <f>ROUND((32000000*0.03657)*29/P50,2)</f>
        <v>94269.33</v>
      </c>
      <c r="V50" s="402">
        <f t="shared" si="13"/>
        <v>-1015.6411111111083</v>
      </c>
      <c r="W50" s="402"/>
      <c r="X50" s="381" t="s">
        <v>370</v>
      </c>
      <c r="Z50" s="396">
        <f t="shared" si="14"/>
        <v>32000000</v>
      </c>
      <c r="AA50" s="397">
        <f t="shared" si="39"/>
        <v>3.6176E-2</v>
      </c>
      <c r="AB50" s="374">
        <v>360</v>
      </c>
      <c r="AC50" s="399">
        <f t="shared" si="30"/>
        <v>39174</v>
      </c>
      <c r="AD50" s="399">
        <f t="shared" si="36"/>
        <v>39203</v>
      </c>
      <c r="AE50" s="400">
        <f t="shared" si="0"/>
        <v>29</v>
      </c>
      <c r="AF50" s="401">
        <f t="shared" si="33"/>
        <v>93253.688888888893</v>
      </c>
      <c r="AG50" s="363">
        <f>(32000000*0.03645)*29/AB50</f>
        <v>93960</v>
      </c>
      <c r="AH50" s="402">
        <f t="shared" si="2"/>
        <v>-706.31111111110658</v>
      </c>
      <c r="AI50" s="402"/>
      <c r="AJ50" s="382" t="s">
        <v>370</v>
      </c>
      <c r="AK50" s="375"/>
      <c r="AL50" s="403">
        <f t="shared" si="17"/>
        <v>32000000</v>
      </c>
      <c r="AM50" s="404">
        <f t="shared" si="40"/>
        <v>3.6176E-2</v>
      </c>
      <c r="AN50" s="383">
        <v>360</v>
      </c>
      <c r="AO50" s="406">
        <f t="shared" si="31"/>
        <v>39174</v>
      </c>
      <c r="AP50" s="406">
        <f t="shared" si="37"/>
        <v>39203</v>
      </c>
      <c r="AQ50" s="407">
        <f t="shared" si="20"/>
        <v>29</v>
      </c>
      <c r="AR50" s="408">
        <f t="shared" si="34"/>
        <v>93253.688888888893</v>
      </c>
      <c r="AS50" s="409">
        <f t="shared" si="27"/>
        <v>97280</v>
      </c>
      <c r="AT50" s="410">
        <f t="shared" si="22"/>
        <v>-4026.3111111111066</v>
      </c>
      <c r="AU50" s="375"/>
    </row>
    <row r="51" spans="2:47" x14ac:dyDescent="0.25">
      <c r="B51" s="396">
        <f t="shared" si="3"/>
        <v>32000000</v>
      </c>
      <c r="C51" s="397">
        <v>3.6176E-2</v>
      </c>
      <c r="D51" s="374">
        <v>360</v>
      </c>
      <c r="E51" s="399">
        <f t="shared" si="28"/>
        <v>39203</v>
      </c>
      <c r="F51" s="399">
        <v>39234</v>
      </c>
      <c r="G51" s="400">
        <f t="shared" si="6"/>
        <v>31</v>
      </c>
      <c r="H51" s="401">
        <f t="shared" si="7"/>
        <v>99684.977777777778</v>
      </c>
      <c r="I51" s="363">
        <f>ROUND((32000000*0.03695)*30/D51,2)</f>
        <v>98533.33</v>
      </c>
      <c r="J51" s="402">
        <f t="shared" si="8"/>
        <v>1151.6477777777764</v>
      </c>
      <c r="K51" s="402"/>
      <c r="L51" s="381" t="s">
        <v>370</v>
      </c>
      <c r="N51" s="396">
        <f t="shared" si="9"/>
        <v>32000000</v>
      </c>
      <c r="O51" s="397">
        <f t="shared" si="38"/>
        <v>3.6176E-2</v>
      </c>
      <c r="P51" s="374">
        <v>360</v>
      </c>
      <c r="Q51" s="399">
        <f t="shared" si="29"/>
        <v>39203</v>
      </c>
      <c r="R51" s="399">
        <f t="shared" si="35"/>
        <v>39234</v>
      </c>
      <c r="S51" s="400">
        <f t="shared" si="12"/>
        <v>31</v>
      </c>
      <c r="T51" s="401">
        <f t="shared" si="32"/>
        <v>99684.977777777778</v>
      </c>
      <c r="U51" s="363">
        <f>ROUND((32000000*0.03657)*30/P51,2)</f>
        <v>97520</v>
      </c>
      <c r="V51" s="402">
        <f t="shared" si="13"/>
        <v>2164.9777777777781</v>
      </c>
      <c r="W51" s="402"/>
      <c r="X51" s="381" t="s">
        <v>370</v>
      </c>
      <c r="Z51" s="396">
        <f t="shared" si="14"/>
        <v>32000000</v>
      </c>
      <c r="AA51" s="397">
        <f t="shared" si="39"/>
        <v>3.6176E-2</v>
      </c>
      <c r="AB51" s="374">
        <v>360</v>
      </c>
      <c r="AC51" s="399">
        <f t="shared" si="30"/>
        <v>39203</v>
      </c>
      <c r="AD51" s="399">
        <f t="shared" si="36"/>
        <v>39234</v>
      </c>
      <c r="AE51" s="400">
        <f t="shared" si="0"/>
        <v>31</v>
      </c>
      <c r="AF51" s="401">
        <f t="shared" si="33"/>
        <v>99684.977777777778</v>
      </c>
      <c r="AG51" s="363">
        <f>(32000000*0.03645)*30/AB51</f>
        <v>97200</v>
      </c>
      <c r="AH51" s="402">
        <f t="shared" si="2"/>
        <v>2484.9777777777781</v>
      </c>
      <c r="AI51" s="402"/>
      <c r="AJ51" s="382" t="s">
        <v>370</v>
      </c>
      <c r="AK51" s="375"/>
      <c r="AL51" s="403">
        <f t="shared" si="17"/>
        <v>32000000</v>
      </c>
      <c r="AM51" s="404">
        <f t="shared" si="40"/>
        <v>3.6176E-2</v>
      </c>
      <c r="AN51" s="383">
        <v>360</v>
      </c>
      <c r="AO51" s="406">
        <f t="shared" si="31"/>
        <v>39203</v>
      </c>
      <c r="AP51" s="406">
        <f t="shared" si="37"/>
        <v>39234</v>
      </c>
      <c r="AQ51" s="407">
        <f t="shared" si="20"/>
        <v>31</v>
      </c>
      <c r="AR51" s="408">
        <f t="shared" si="34"/>
        <v>99684.977777777778</v>
      </c>
      <c r="AS51" s="409">
        <f t="shared" si="27"/>
        <v>97280</v>
      </c>
      <c r="AT51" s="410">
        <f t="shared" si="22"/>
        <v>2404.9777777777781</v>
      </c>
      <c r="AU51" s="375"/>
    </row>
    <row r="52" spans="2:47" x14ac:dyDescent="0.25">
      <c r="B52" s="396">
        <f t="shared" si="3"/>
        <v>32000000</v>
      </c>
      <c r="C52" s="397">
        <v>3.6176E-2</v>
      </c>
      <c r="D52" s="374">
        <v>360</v>
      </c>
      <c r="E52" s="399">
        <f t="shared" si="28"/>
        <v>39234</v>
      </c>
      <c r="F52" s="399">
        <v>39265</v>
      </c>
      <c r="G52" s="400">
        <f t="shared" si="6"/>
        <v>31</v>
      </c>
      <c r="H52" s="401">
        <f t="shared" si="7"/>
        <v>99684.977777777778</v>
      </c>
      <c r="I52" s="363">
        <f>ROUND((32000000*0.03695)*31/D52,2)</f>
        <v>101817.78</v>
      </c>
      <c r="J52" s="402">
        <f t="shared" si="8"/>
        <v>-2132.8022222222207</v>
      </c>
      <c r="K52" s="402"/>
      <c r="L52" s="381" t="s">
        <v>370</v>
      </c>
      <c r="N52" s="396">
        <f t="shared" si="9"/>
        <v>32000000</v>
      </c>
      <c r="O52" s="397">
        <f t="shared" si="38"/>
        <v>3.6176E-2</v>
      </c>
      <c r="P52" s="374">
        <v>360</v>
      </c>
      <c r="Q52" s="399">
        <f t="shared" si="29"/>
        <v>39234</v>
      </c>
      <c r="R52" s="399">
        <f t="shared" si="35"/>
        <v>39265</v>
      </c>
      <c r="S52" s="400">
        <f t="shared" si="12"/>
        <v>31</v>
      </c>
      <c r="T52" s="401">
        <f t="shared" si="32"/>
        <v>99684.977777777778</v>
      </c>
      <c r="U52" s="363">
        <f>ROUND((32000000*0.03657)*31/P52,2)</f>
        <v>100770.67</v>
      </c>
      <c r="V52" s="402">
        <f t="shared" si="13"/>
        <v>-1085.6922222222202</v>
      </c>
      <c r="W52" s="402"/>
      <c r="X52" s="381" t="s">
        <v>370</v>
      </c>
      <c r="Z52" s="396">
        <f t="shared" si="14"/>
        <v>32000000</v>
      </c>
      <c r="AA52" s="397">
        <f t="shared" si="39"/>
        <v>3.6176E-2</v>
      </c>
      <c r="AB52" s="374">
        <v>360</v>
      </c>
      <c r="AC52" s="399">
        <f t="shared" si="30"/>
        <v>39234</v>
      </c>
      <c r="AD52" s="399">
        <f t="shared" si="36"/>
        <v>39265</v>
      </c>
      <c r="AE52" s="400">
        <f t="shared" si="0"/>
        <v>31</v>
      </c>
      <c r="AF52" s="401">
        <f t="shared" si="33"/>
        <v>99684.977777777778</v>
      </c>
      <c r="AG52" s="363">
        <f>(32000000*0.03645)*31/AB52</f>
        <v>100440</v>
      </c>
      <c r="AH52" s="402">
        <f t="shared" si="2"/>
        <v>-755.0222222222219</v>
      </c>
      <c r="AI52" s="402"/>
      <c r="AJ52" s="382" t="s">
        <v>370</v>
      </c>
      <c r="AK52" s="375"/>
      <c r="AL52" s="403">
        <f t="shared" si="17"/>
        <v>32000000</v>
      </c>
      <c r="AM52" s="404">
        <f t="shared" si="40"/>
        <v>3.6176E-2</v>
      </c>
      <c r="AN52" s="383">
        <v>360</v>
      </c>
      <c r="AO52" s="406">
        <f t="shared" si="31"/>
        <v>39234</v>
      </c>
      <c r="AP52" s="406">
        <f t="shared" si="37"/>
        <v>39265</v>
      </c>
      <c r="AQ52" s="407">
        <f t="shared" si="20"/>
        <v>31</v>
      </c>
      <c r="AR52" s="408">
        <f t="shared" si="34"/>
        <v>99684.977777777778</v>
      </c>
      <c r="AS52" s="409">
        <f t="shared" si="27"/>
        <v>97280</v>
      </c>
      <c r="AT52" s="410">
        <f t="shared" si="22"/>
        <v>2404.9777777777781</v>
      </c>
      <c r="AU52" s="375"/>
    </row>
    <row r="53" spans="2:47" x14ac:dyDescent="0.25">
      <c r="B53" s="396">
        <f t="shared" si="3"/>
        <v>32000000</v>
      </c>
      <c r="C53" s="397">
        <v>3.6176E-2</v>
      </c>
      <c r="D53" s="374">
        <v>360</v>
      </c>
      <c r="E53" s="399">
        <f t="shared" si="28"/>
        <v>39265</v>
      </c>
      <c r="F53" s="399">
        <v>39295</v>
      </c>
      <c r="G53" s="400">
        <f t="shared" si="6"/>
        <v>30</v>
      </c>
      <c r="H53" s="401">
        <f t="shared" si="7"/>
        <v>96469.333333333328</v>
      </c>
      <c r="I53" s="363">
        <f>ROUND((32000000*0.03695)*29/D53,2)</f>
        <v>95248.89</v>
      </c>
      <c r="J53" s="402">
        <f t="shared" si="8"/>
        <v>1220.4433333333291</v>
      </c>
      <c r="K53" s="402"/>
      <c r="L53" s="381" t="s">
        <v>370</v>
      </c>
      <c r="N53" s="396">
        <f t="shared" si="9"/>
        <v>32000000</v>
      </c>
      <c r="O53" s="397">
        <f t="shared" si="38"/>
        <v>3.6176E-2</v>
      </c>
      <c r="P53" s="374">
        <v>360</v>
      </c>
      <c r="Q53" s="399">
        <f t="shared" si="29"/>
        <v>39265</v>
      </c>
      <c r="R53" s="399">
        <f t="shared" si="35"/>
        <v>39295</v>
      </c>
      <c r="S53" s="400">
        <f t="shared" si="12"/>
        <v>30</v>
      </c>
      <c r="T53" s="401">
        <f t="shared" si="32"/>
        <v>96469.333333333328</v>
      </c>
      <c r="U53" s="363">
        <f>ROUND((32000000*0.03657)*29/P53,2)</f>
        <v>94269.33</v>
      </c>
      <c r="V53" s="402">
        <f t="shared" si="13"/>
        <v>2200.0033333333267</v>
      </c>
      <c r="W53" s="402"/>
      <c r="X53" s="381" t="s">
        <v>370</v>
      </c>
      <c r="Z53" s="396">
        <f t="shared" si="14"/>
        <v>32000000</v>
      </c>
      <c r="AA53" s="397">
        <f t="shared" si="39"/>
        <v>3.6176E-2</v>
      </c>
      <c r="AB53" s="374">
        <v>360</v>
      </c>
      <c r="AC53" s="399">
        <f t="shared" si="30"/>
        <v>39265</v>
      </c>
      <c r="AD53" s="399">
        <f t="shared" si="36"/>
        <v>39295</v>
      </c>
      <c r="AE53" s="400">
        <f t="shared" si="0"/>
        <v>30</v>
      </c>
      <c r="AF53" s="401">
        <f t="shared" si="33"/>
        <v>96469.333333333328</v>
      </c>
      <c r="AG53" s="363">
        <f>(32000000*0.03645)*29/AB53</f>
        <v>93960</v>
      </c>
      <c r="AH53" s="402">
        <f t="shared" si="2"/>
        <v>2509.3333333333285</v>
      </c>
      <c r="AI53" s="402"/>
      <c r="AJ53" s="382" t="s">
        <v>370</v>
      </c>
      <c r="AK53" s="375"/>
      <c r="AL53" s="403">
        <f t="shared" si="17"/>
        <v>32000000</v>
      </c>
      <c r="AM53" s="404">
        <f t="shared" si="40"/>
        <v>3.6176E-2</v>
      </c>
      <c r="AN53" s="383">
        <v>360</v>
      </c>
      <c r="AO53" s="406">
        <f t="shared" si="31"/>
        <v>39265</v>
      </c>
      <c r="AP53" s="406">
        <f t="shared" si="37"/>
        <v>39295</v>
      </c>
      <c r="AQ53" s="407">
        <f t="shared" si="20"/>
        <v>30</v>
      </c>
      <c r="AR53" s="408">
        <f t="shared" si="34"/>
        <v>96469.333333333328</v>
      </c>
      <c r="AS53" s="409">
        <f t="shared" si="27"/>
        <v>97280</v>
      </c>
      <c r="AT53" s="410">
        <f t="shared" si="22"/>
        <v>-810.66666666667152</v>
      </c>
      <c r="AU53" s="375"/>
    </row>
    <row r="54" spans="2:47" x14ac:dyDescent="0.25">
      <c r="B54" s="396">
        <f t="shared" si="3"/>
        <v>32000000</v>
      </c>
      <c r="C54" s="397">
        <v>3.6176E-2</v>
      </c>
      <c r="D54" s="374">
        <v>360</v>
      </c>
      <c r="E54" s="399">
        <f t="shared" si="28"/>
        <v>39295</v>
      </c>
      <c r="F54" s="399">
        <v>39329</v>
      </c>
      <c r="G54" s="400">
        <f t="shared" si="6"/>
        <v>34</v>
      </c>
      <c r="H54" s="401">
        <f t="shared" si="7"/>
        <v>109331.91111111111</v>
      </c>
      <c r="I54" s="363">
        <f>ROUND((32000000*0.03695)*33/D54,2)</f>
        <v>108386.67</v>
      </c>
      <c r="J54" s="402">
        <f t="shared" si="8"/>
        <v>945.24111111111415</v>
      </c>
      <c r="K54" s="402"/>
      <c r="L54" s="381" t="s">
        <v>370</v>
      </c>
      <c r="N54" s="396">
        <f t="shared" si="9"/>
        <v>32000000</v>
      </c>
      <c r="O54" s="397">
        <f t="shared" si="38"/>
        <v>3.6176E-2</v>
      </c>
      <c r="P54" s="374">
        <v>360</v>
      </c>
      <c r="Q54" s="399">
        <f t="shared" si="29"/>
        <v>39295</v>
      </c>
      <c r="R54" s="399">
        <f t="shared" si="35"/>
        <v>39329</v>
      </c>
      <c r="S54" s="400">
        <f t="shared" si="12"/>
        <v>34</v>
      </c>
      <c r="T54" s="401">
        <f t="shared" si="32"/>
        <v>109331.91111111111</v>
      </c>
      <c r="U54" s="363">
        <f>ROUND((32000000*0.03657)*33/P54,2)</f>
        <v>107272</v>
      </c>
      <c r="V54" s="402">
        <f t="shared" si="13"/>
        <v>2059.9111111111124</v>
      </c>
      <c r="W54" s="402"/>
      <c r="X54" s="381" t="s">
        <v>370</v>
      </c>
      <c r="Z54" s="396">
        <f t="shared" si="14"/>
        <v>32000000</v>
      </c>
      <c r="AA54" s="397">
        <f t="shared" si="39"/>
        <v>3.6176E-2</v>
      </c>
      <c r="AB54" s="374">
        <v>360</v>
      </c>
      <c r="AC54" s="399">
        <f t="shared" si="30"/>
        <v>39295</v>
      </c>
      <c r="AD54" s="399">
        <f t="shared" si="36"/>
        <v>39329</v>
      </c>
      <c r="AE54" s="400">
        <f t="shared" si="0"/>
        <v>34</v>
      </c>
      <c r="AF54" s="401">
        <f t="shared" si="33"/>
        <v>109331.91111111111</v>
      </c>
      <c r="AG54" s="363">
        <f>(32000000*0.03645)*33/AB54</f>
        <v>106920</v>
      </c>
      <c r="AH54" s="402">
        <f t="shared" si="2"/>
        <v>2411.9111111111124</v>
      </c>
      <c r="AI54" s="402"/>
      <c r="AJ54" s="382" t="s">
        <v>370</v>
      </c>
      <c r="AK54" s="375"/>
      <c r="AL54" s="403">
        <f t="shared" si="17"/>
        <v>32000000</v>
      </c>
      <c r="AM54" s="404">
        <f t="shared" si="40"/>
        <v>3.6176E-2</v>
      </c>
      <c r="AN54" s="383">
        <v>360</v>
      </c>
      <c r="AO54" s="406">
        <f t="shared" si="31"/>
        <v>39295</v>
      </c>
      <c r="AP54" s="406">
        <f t="shared" si="37"/>
        <v>39329</v>
      </c>
      <c r="AQ54" s="407">
        <f t="shared" si="20"/>
        <v>34</v>
      </c>
      <c r="AR54" s="408">
        <f t="shared" si="34"/>
        <v>109331.91111111111</v>
      </c>
      <c r="AS54" s="409">
        <f t="shared" si="27"/>
        <v>97280</v>
      </c>
      <c r="AT54" s="410">
        <f t="shared" si="22"/>
        <v>12051.911111111112</v>
      </c>
      <c r="AU54" s="375"/>
    </row>
    <row r="55" spans="2:47" x14ac:dyDescent="0.25">
      <c r="B55" s="396">
        <f t="shared" si="3"/>
        <v>32000000</v>
      </c>
      <c r="C55" s="397">
        <v>3.8896E-2</v>
      </c>
      <c r="D55" s="374">
        <v>360</v>
      </c>
      <c r="E55" s="399">
        <f t="shared" si="28"/>
        <v>39329</v>
      </c>
      <c r="F55" s="399">
        <v>39356</v>
      </c>
      <c r="G55" s="400">
        <f t="shared" si="6"/>
        <v>27</v>
      </c>
      <c r="H55" s="401">
        <f t="shared" si="7"/>
        <v>93350.399999999994</v>
      </c>
      <c r="I55" s="363">
        <f>ROUND((32000000*0.03695)*27/D55,2)</f>
        <v>88680</v>
      </c>
      <c r="J55" s="402">
        <f t="shared" si="8"/>
        <v>4670.3999999999942</v>
      </c>
      <c r="K55" s="402"/>
      <c r="L55" s="381" t="s">
        <v>370</v>
      </c>
      <c r="N55" s="396">
        <f t="shared" si="9"/>
        <v>32000000</v>
      </c>
      <c r="O55" s="397">
        <f t="shared" si="38"/>
        <v>3.8896E-2</v>
      </c>
      <c r="P55" s="374">
        <v>360</v>
      </c>
      <c r="Q55" s="399">
        <f t="shared" si="29"/>
        <v>39329</v>
      </c>
      <c r="R55" s="399">
        <f t="shared" si="35"/>
        <v>39356</v>
      </c>
      <c r="S55" s="400">
        <f t="shared" si="12"/>
        <v>27</v>
      </c>
      <c r="T55" s="401">
        <f t="shared" si="32"/>
        <v>93350.399999999994</v>
      </c>
      <c r="U55" s="363">
        <f>ROUND((32000000*0.03657)*27/P55,2)</f>
        <v>87768</v>
      </c>
      <c r="V55" s="402">
        <f t="shared" si="13"/>
        <v>5582.3999999999942</v>
      </c>
      <c r="W55" s="402"/>
      <c r="X55" s="381" t="s">
        <v>370</v>
      </c>
      <c r="Z55" s="396">
        <f t="shared" si="14"/>
        <v>32000000</v>
      </c>
      <c r="AA55" s="397">
        <f t="shared" si="39"/>
        <v>3.8896E-2</v>
      </c>
      <c r="AB55" s="374">
        <v>360</v>
      </c>
      <c r="AC55" s="399">
        <f t="shared" si="30"/>
        <v>39329</v>
      </c>
      <c r="AD55" s="399">
        <f t="shared" si="36"/>
        <v>39356</v>
      </c>
      <c r="AE55" s="400">
        <f t="shared" si="0"/>
        <v>27</v>
      </c>
      <c r="AF55" s="401">
        <f t="shared" si="33"/>
        <v>93350.399999999994</v>
      </c>
      <c r="AG55" s="363">
        <f>(32000000*0.03645)*27/AB55</f>
        <v>87480</v>
      </c>
      <c r="AH55" s="402">
        <f t="shared" si="2"/>
        <v>5870.3999999999942</v>
      </c>
      <c r="AI55" s="402"/>
      <c r="AJ55" s="382" t="s">
        <v>370</v>
      </c>
      <c r="AK55" s="375"/>
      <c r="AL55" s="403">
        <f t="shared" si="17"/>
        <v>32000000</v>
      </c>
      <c r="AM55" s="404">
        <f t="shared" si="40"/>
        <v>3.8896E-2</v>
      </c>
      <c r="AN55" s="383">
        <v>360</v>
      </c>
      <c r="AO55" s="406">
        <f t="shared" si="31"/>
        <v>39329</v>
      </c>
      <c r="AP55" s="406">
        <f t="shared" si="37"/>
        <v>39356</v>
      </c>
      <c r="AQ55" s="407">
        <f t="shared" si="20"/>
        <v>27</v>
      </c>
      <c r="AR55" s="408">
        <f t="shared" si="34"/>
        <v>93350.399999999994</v>
      </c>
      <c r="AS55" s="409">
        <f t="shared" si="27"/>
        <v>97280</v>
      </c>
      <c r="AT55" s="410">
        <f t="shared" si="22"/>
        <v>-3929.6000000000058</v>
      </c>
      <c r="AU55" s="375"/>
    </row>
    <row r="56" spans="2:47" x14ac:dyDescent="0.25">
      <c r="B56" s="396">
        <f t="shared" si="3"/>
        <v>32000000</v>
      </c>
      <c r="C56" s="397">
        <v>3.4867000000000002E-2</v>
      </c>
      <c r="D56" s="374">
        <v>360</v>
      </c>
      <c r="E56" s="399">
        <f t="shared" si="28"/>
        <v>39356</v>
      </c>
      <c r="F56" s="399">
        <v>39387</v>
      </c>
      <c r="G56" s="400">
        <f t="shared" si="6"/>
        <v>31</v>
      </c>
      <c r="H56" s="401">
        <f t="shared" si="7"/>
        <v>96077.955555555571</v>
      </c>
      <c r="I56" s="363">
        <f>ROUND((32000000*0.03695)*30/D56,2)</f>
        <v>98533.33</v>
      </c>
      <c r="J56" s="402">
        <f t="shared" si="8"/>
        <v>-2455.374444444431</v>
      </c>
      <c r="K56" s="402"/>
      <c r="L56" s="381" t="s">
        <v>370</v>
      </c>
      <c r="N56" s="396">
        <f t="shared" si="9"/>
        <v>32000000</v>
      </c>
      <c r="O56" s="397">
        <f t="shared" si="38"/>
        <v>3.4867000000000002E-2</v>
      </c>
      <c r="P56" s="374">
        <v>360</v>
      </c>
      <c r="Q56" s="399">
        <f t="shared" si="29"/>
        <v>39356</v>
      </c>
      <c r="R56" s="399">
        <f t="shared" si="35"/>
        <v>39387</v>
      </c>
      <c r="S56" s="400">
        <f t="shared" si="12"/>
        <v>31</v>
      </c>
      <c r="T56" s="401">
        <f t="shared" si="32"/>
        <v>96077.955555555571</v>
      </c>
      <c r="U56" s="363">
        <f>ROUND((32000000*0.03657)*30/P56,2)</f>
        <v>97520</v>
      </c>
      <c r="V56" s="402">
        <f t="shared" si="13"/>
        <v>-1442.0444444444292</v>
      </c>
      <c r="W56" s="402"/>
      <c r="X56" s="381" t="s">
        <v>370</v>
      </c>
      <c r="Z56" s="396">
        <f t="shared" si="14"/>
        <v>32000000</v>
      </c>
      <c r="AA56" s="397">
        <f t="shared" si="39"/>
        <v>3.4867000000000002E-2</v>
      </c>
      <c r="AB56" s="374">
        <v>360</v>
      </c>
      <c r="AC56" s="399">
        <f t="shared" si="30"/>
        <v>39356</v>
      </c>
      <c r="AD56" s="399">
        <f t="shared" si="36"/>
        <v>39387</v>
      </c>
      <c r="AE56" s="400">
        <f t="shared" si="0"/>
        <v>31</v>
      </c>
      <c r="AF56" s="401">
        <f t="shared" si="33"/>
        <v>96077.955555555571</v>
      </c>
      <c r="AG56" s="363">
        <f>(32000000*0.03645)*30/AB56</f>
        <v>97200</v>
      </c>
      <c r="AH56" s="402">
        <f t="shared" si="2"/>
        <v>-1122.0444444444292</v>
      </c>
      <c r="AI56" s="402"/>
      <c r="AJ56" s="382" t="s">
        <v>370</v>
      </c>
      <c r="AK56" s="375"/>
      <c r="AL56" s="403">
        <f t="shared" si="17"/>
        <v>32000000</v>
      </c>
      <c r="AM56" s="404">
        <f t="shared" si="40"/>
        <v>3.4867000000000002E-2</v>
      </c>
      <c r="AN56" s="383">
        <v>360</v>
      </c>
      <c r="AO56" s="406">
        <f t="shared" si="31"/>
        <v>39356</v>
      </c>
      <c r="AP56" s="406">
        <f t="shared" si="37"/>
        <v>39387</v>
      </c>
      <c r="AQ56" s="407">
        <f t="shared" si="20"/>
        <v>31</v>
      </c>
      <c r="AR56" s="408">
        <f t="shared" si="34"/>
        <v>96077.955555555571</v>
      </c>
      <c r="AS56" s="409">
        <f t="shared" si="27"/>
        <v>97280</v>
      </c>
      <c r="AT56" s="410">
        <f t="shared" si="22"/>
        <v>-1202.0444444444292</v>
      </c>
      <c r="AU56" s="375"/>
    </row>
    <row r="57" spans="2:47" x14ac:dyDescent="0.25">
      <c r="B57" s="396">
        <f t="shared" si="3"/>
        <v>32000000</v>
      </c>
      <c r="C57" s="397">
        <v>3.2070500000000002E-2</v>
      </c>
      <c r="D57" s="374">
        <v>360</v>
      </c>
      <c r="E57" s="399">
        <f t="shared" si="28"/>
        <v>39387</v>
      </c>
      <c r="F57" s="399">
        <v>39419</v>
      </c>
      <c r="G57" s="400">
        <f t="shared" si="6"/>
        <v>32</v>
      </c>
      <c r="H57" s="401">
        <f t="shared" si="7"/>
        <v>91222.755555555559</v>
      </c>
      <c r="I57" s="363">
        <f>ROUND((32000000*0.03695)*32/D57,2)</f>
        <v>105102.22</v>
      </c>
      <c r="J57" s="402">
        <f t="shared" si="8"/>
        <v>-13879.464444444442</v>
      </c>
      <c r="K57" s="402"/>
      <c r="L57" s="381" t="s">
        <v>370</v>
      </c>
      <c r="N57" s="396">
        <f t="shared" si="9"/>
        <v>32000000</v>
      </c>
      <c r="O57" s="397">
        <f t="shared" si="38"/>
        <v>3.2070500000000002E-2</v>
      </c>
      <c r="P57" s="374">
        <v>360</v>
      </c>
      <c r="Q57" s="399">
        <f t="shared" si="29"/>
        <v>39387</v>
      </c>
      <c r="R57" s="399">
        <f t="shared" si="35"/>
        <v>39419</v>
      </c>
      <c r="S57" s="400">
        <f t="shared" si="12"/>
        <v>32</v>
      </c>
      <c r="T57" s="401">
        <f t="shared" si="32"/>
        <v>91222.755555555559</v>
      </c>
      <c r="U57" s="363">
        <f>ROUND((32000000*0.03657)*32/P57,2)</f>
        <v>104021.33</v>
      </c>
      <c r="V57" s="402">
        <f t="shared" si="13"/>
        <v>-12798.574444444443</v>
      </c>
      <c r="W57" s="402"/>
      <c r="X57" s="381" t="s">
        <v>370</v>
      </c>
      <c r="Z57" s="396">
        <f t="shared" si="14"/>
        <v>32000000</v>
      </c>
      <c r="AA57" s="397">
        <f t="shared" si="39"/>
        <v>3.2070500000000002E-2</v>
      </c>
      <c r="AB57" s="374">
        <v>360</v>
      </c>
      <c r="AC57" s="399">
        <f t="shared" si="30"/>
        <v>39387</v>
      </c>
      <c r="AD57" s="399">
        <f t="shared" si="36"/>
        <v>39419</v>
      </c>
      <c r="AE57" s="400">
        <f t="shared" si="0"/>
        <v>32</v>
      </c>
      <c r="AF57" s="401">
        <f t="shared" si="33"/>
        <v>91222.755555555559</v>
      </c>
      <c r="AG57" s="363">
        <f>(32000000*0.03645)*32/AB57</f>
        <v>103680</v>
      </c>
      <c r="AH57" s="402">
        <f t="shared" si="2"/>
        <v>-12457.244444444441</v>
      </c>
      <c r="AI57" s="402"/>
      <c r="AJ57" s="382" t="s">
        <v>370</v>
      </c>
      <c r="AK57" s="375"/>
      <c r="AL57" s="403">
        <f t="shared" si="17"/>
        <v>32000000</v>
      </c>
      <c r="AM57" s="404">
        <f t="shared" si="40"/>
        <v>3.2070500000000002E-2</v>
      </c>
      <c r="AN57" s="383">
        <v>360</v>
      </c>
      <c r="AO57" s="406">
        <f t="shared" si="31"/>
        <v>39387</v>
      </c>
      <c r="AP57" s="406">
        <f t="shared" si="37"/>
        <v>39419</v>
      </c>
      <c r="AQ57" s="407">
        <f t="shared" si="20"/>
        <v>32</v>
      </c>
      <c r="AR57" s="408">
        <f t="shared" si="34"/>
        <v>91222.755555555559</v>
      </c>
      <c r="AS57" s="409">
        <f t="shared" si="27"/>
        <v>97280</v>
      </c>
      <c r="AT57" s="410">
        <f t="shared" si="22"/>
        <v>-6057.2444444444409</v>
      </c>
      <c r="AU57" s="375"/>
    </row>
    <row r="58" spans="2:47" x14ac:dyDescent="0.25">
      <c r="B58" s="396">
        <f t="shared" si="3"/>
        <v>32000000</v>
      </c>
      <c r="C58" s="397">
        <v>3.5529999999999999E-2</v>
      </c>
      <c r="D58" s="374">
        <v>360</v>
      </c>
      <c r="E58" s="399">
        <f t="shared" si="28"/>
        <v>39419</v>
      </c>
      <c r="F58" s="399">
        <v>39449</v>
      </c>
      <c r="G58" s="400">
        <f t="shared" si="6"/>
        <v>30</v>
      </c>
      <c r="H58" s="401">
        <f t="shared" si="7"/>
        <v>94746.666666666657</v>
      </c>
      <c r="I58" s="363">
        <f>ROUND((32000000*0.03695)*29/D58,2)</f>
        <v>95248.89</v>
      </c>
      <c r="J58" s="402">
        <f t="shared" si="8"/>
        <v>-502.22333333334245</v>
      </c>
      <c r="K58" s="402"/>
      <c r="L58" s="381" t="s">
        <v>370</v>
      </c>
      <c r="N58" s="396">
        <f t="shared" si="9"/>
        <v>32000000</v>
      </c>
      <c r="O58" s="397">
        <f t="shared" si="38"/>
        <v>3.5529999999999999E-2</v>
      </c>
      <c r="P58" s="374">
        <v>360</v>
      </c>
      <c r="Q58" s="399">
        <f t="shared" si="29"/>
        <v>39419</v>
      </c>
      <c r="R58" s="399">
        <f t="shared" si="35"/>
        <v>39449</v>
      </c>
      <c r="S58" s="400">
        <f t="shared" si="12"/>
        <v>30</v>
      </c>
      <c r="T58" s="401">
        <f t="shared" si="32"/>
        <v>94746.666666666657</v>
      </c>
      <c r="U58" s="363">
        <f>ROUND((32000000*0.03657)*29/P58,2)</f>
        <v>94269.33</v>
      </c>
      <c r="V58" s="402">
        <f t="shared" si="13"/>
        <v>477.33666666665522</v>
      </c>
      <c r="W58" s="402"/>
      <c r="X58" s="381" t="s">
        <v>370</v>
      </c>
      <c r="Z58" s="396">
        <f t="shared" si="14"/>
        <v>32000000</v>
      </c>
      <c r="AA58" s="397">
        <f t="shared" si="39"/>
        <v>3.5529999999999999E-2</v>
      </c>
      <c r="AB58" s="374">
        <v>360</v>
      </c>
      <c r="AC58" s="399">
        <f t="shared" si="30"/>
        <v>39419</v>
      </c>
      <c r="AD58" s="399">
        <f t="shared" si="36"/>
        <v>39449</v>
      </c>
      <c r="AE58" s="400">
        <f t="shared" si="0"/>
        <v>30</v>
      </c>
      <c r="AF58" s="401">
        <f t="shared" si="33"/>
        <v>94746.666666666657</v>
      </c>
      <c r="AG58" s="363">
        <f>(32000000*0.03645)*29/AB58</f>
        <v>93960</v>
      </c>
      <c r="AH58" s="402">
        <f t="shared" si="2"/>
        <v>786.66666666665697</v>
      </c>
      <c r="AI58" s="402"/>
      <c r="AJ58" s="382" t="s">
        <v>370</v>
      </c>
      <c r="AK58" s="375"/>
      <c r="AL58" s="403">
        <f t="shared" si="17"/>
        <v>32000000</v>
      </c>
      <c r="AM58" s="404">
        <f t="shared" si="40"/>
        <v>3.5529999999999999E-2</v>
      </c>
      <c r="AN58" s="383">
        <v>360</v>
      </c>
      <c r="AO58" s="406">
        <f t="shared" si="31"/>
        <v>39419</v>
      </c>
      <c r="AP58" s="406">
        <f t="shared" si="37"/>
        <v>39449</v>
      </c>
      <c r="AQ58" s="407">
        <f t="shared" si="20"/>
        <v>30</v>
      </c>
      <c r="AR58" s="408">
        <f t="shared" si="34"/>
        <v>94746.666666666657</v>
      </c>
      <c r="AS58" s="409">
        <f t="shared" si="27"/>
        <v>97280</v>
      </c>
      <c r="AT58" s="410">
        <f t="shared" si="22"/>
        <v>-2533.333333333343</v>
      </c>
      <c r="AU58" s="375"/>
    </row>
    <row r="59" spans="2:47" x14ac:dyDescent="0.25">
      <c r="B59" s="396">
        <f t="shared" si="3"/>
        <v>32000000</v>
      </c>
      <c r="C59" s="397">
        <v>3.14925E-2</v>
      </c>
      <c r="D59" s="374">
        <v>360</v>
      </c>
      <c r="E59" s="399">
        <f t="shared" si="28"/>
        <v>39449</v>
      </c>
      <c r="F59" s="399">
        <v>39479</v>
      </c>
      <c r="G59" s="400">
        <f t="shared" si="6"/>
        <v>30</v>
      </c>
      <c r="H59" s="401">
        <f t="shared" si="7"/>
        <v>83980</v>
      </c>
      <c r="I59" s="363">
        <f>ROUND((32000000*0.03695)*29/D59,2)</f>
        <v>95248.89</v>
      </c>
      <c r="J59" s="402">
        <f t="shared" si="8"/>
        <v>-11268.89</v>
      </c>
      <c r="K59" s="402"/>
      <c r="L59" s="381" t="s">
        <v>370</v>
      </c>
      <c r="N59" s="396">
        <f t="shared" si="9"/>
        <v>32000000</v>
      </c>
      <c r="O59" s="397">
        <f t="shared" si="38"/>
        <v>3.14925E-2</v>
      </c>
      <c r="P59" s="374">
        <v>360</v>
      </c>
      <c r="Q59" s="399">
        <f t="shared" si="29"/>
        <v>39449</v>
      </c>
      <c r="R59" s="399">
        <f t="shared" si="35"/>
        <v>39479</v>
      </c>
      <c r="S59" s="400">
        <f t="shared" si="12"/>
        <v>30</v>
      </c>
      <c r="T59" s="401">
        <f t="shared" si="32"/>
        <v>83980</v>
      </c>
      <c r="U59" s="363">
        <f>ROUND((32000000*0.03657)*29/P59,2)</f>
        <v>94269.33</v>
      </c>
      <c r="V59" s="402">
        <f t="shared" si="13"/>
        <v>-10289.330000000002</v>
      </c>
      <c r="W59" s="402"/>
      <c r="X59" s="381" t="s">
        <v>370</v>
      </c>
      <c r="Z59" s="396">
        <f t="shared" si="14"/>
        <v>32000000</v>
      </c>
      <c r="AA59" s="397">
        <f t="shared" si="39"/>
        <v>3.14925E-2</v>
      </c>
      <c r="AB59" s="374">
        <v>360</v>
      </c>
      <c r="AC59" s="399">
        <f t="shared" si="30"/>
        <v>39449</v>
      </c>
      <c r="AD59" s="399">
        <f t="shared" si="36"/>
        <v>39479</v>
      </c>
      <c r="AE59" s="400">
        <f t="shared" si="0"/>
        <v>30</v>
      </c>
      <c r="AF59" s="401">
        <f t="shared" si="33"/>
        <v>83980</v>
      </c>
      <c r="AG59" s="363">
        <f>(32000000*0.03645)*29/AB59</f>
        <v>93960</v>
      </c>
      <c r="AH59" s="402">
        <f t="shared" si="2"/>
        <v>-9980</v>
      </c>
      <c r="AI59" s="402"/>
      <c r="AJ59" s="382" t="s">
        <v>370</v>
      </c>
      <c r="AK59" s="375"/>
      <c r="AL59" s="403">
        <f t="shared" si="17"/>
        <v>32000000</v>
      </c>
      <c r="AM59" s="404">
        <f t="shared" si="40"/>
        <v>3.14925E-2</v>
      </c>
      <c r="AN59" s="383">
        <v>360</v>
      </c>
      <c r="AO59" s="406">
        <f t="shared" si="31"/>
        <v>39449</v>
      </c>
      <c r="AP59" s="406">
        <f t="shared" si="37"/>
        <v>39479</v>
      </c>
      <c r="AQ59" s="407">
        <f t="shared" si="20"/>
        <v>30</v>
      </c>
      <c r="AR59" s="408">
        <f t="shared" si="34"/>
        <v>83980</v>
      </c>
      <c r="AS59" s="409">
        <f t="shared" si="27"/>
        <v>97280</v>
      </c>
      <c r="AT59" s="410">
        <f t="shared" si="22"/>
        <v>-13300</v>
      </c>
      <c r="AU59" s="375"/>
    </row>
    <row r="60" spans="2:47" x14ac:dyDescent="0.25">
      <c r="B60" s="396">
        <f t="shared" si="3"/>
        <v>32000000</v>
      </c>
      <c r="C60" s="397">
        <v>2.2193500000000001E-2</v>
      </c>
      <c r="D60" s="374">
        <v>360</v>
      </c>
      <c r="E60" s="399">
        <f t="shared" si="28"/>
        <v>39479</v>
      </c>
      <c r="F60" s="399">
        <v>39510</v>
      </c>
      <c r="G60" s="400">
        <f t="shared" si="6"/>
        <v>31</v>
      </c>
      <c r="H60" s="401">
        <f t="shared" si="7"/>
        <v>61155.422222222231</v>
      </c>
      <c r="I60" s="363">
        <f>ROUND((32000000*0.03695)*32/D60,2)</f>
        <v>105102.22</v>
      </c>
      <c r="J60" s="402">
        <f t="shared" si="8"/>
        <v>-43946.797777777771</v>
      </c>
      <c r="K60" s="402"/>
      <c r="L60" s="381" t="s">
        <v>370</v>
      </c>
      <c r="N60" s="396">
        <f t="shared" si="9"/>
        <v>32000000</v>
      </c>
      <c r="O60" s="397">
        <f t="shared" si="38"/>
        <v>2.2193500000000001E-2</v>
      </c>
      <c r="P60" s="374">
        <v>360</v>
      </c>
      <c r="Q60" s="399">
        <f t="shared" si="29"/>
        <v>39479</v>
      </c>
      <c r="R60" s="399">
        <f t="shared" si="35"/>
        <v>39510</v>
      </c>
      <c r="S60" s="400">
        <f t="shared" si="12"/>
        <v>31</v>
      </c>
      <c r="T60" s="401">
        <f t="shared" si="32"/>
        <v>61155.422222222231</v>
      </c>
      <c r="U60" s="363">
        <f>ROUND((32000000*0.03657)*32/P60,2)</f>
        <v>104021.33</v>
      </c>
      <c r="V60" s="402">
        <f t="shared" si="13"/>
        <v>-42865.907777777771</v>
      </c>
      <c r="W60" s="402"/>
      <c r="X60" s="381" t="s">
        <v>370</v>
      </c>
      <c r="Z60" s="396">
        <f t="shared" si="14"/>
        <v>32000000</v>
      </c>
      <c r="AA60" s="397">
        <f t="shared" si="39"/>
        <v>2.2193500000000001E-2</v>
      </c>
      <c r="AB60" s="374">
        <v>360</v>
      </c>
      <c r="AC60" s="399">
        <f t="shared" si="30"/>
        <v>39479</v>
      </c>
      <c r="AD60" s="399">
        <f t="shared" si="36"/>
        <v>39510</v>
      </c>
      <c r="AE60" s="400">
        <f t="shared" si="0"/>
        <v>31</v>
      </c>
      <c r="AF60" s="401">
        <f t="shared" si="33"/>
        <v>61155.422222222231</v>
      </c>
      <c r="AG60" s="363">
        <f>(32000000*0.03645)*32/AB60</f>
        <v>103680</v>
      </c>
      <c r="AH60" s="402">
        <f t="shared" si="2"/>
        <v>-42524.577777777769</v>
      </c>
      <c r="AI60" s="402"/>
      <c r="AJ60" s="382" t="s">
        <v>370</v>
      </c>
      <c r="AK60" s="375"/>
      <c r="AL60" s="403">
        <f t="shared" si="17"/>
        <v>32000000</v>
      </c>
      <c r="AM60" s="404">
        <f t="shared" si="40"/>
        <v>2.2193500000000001E-2</v>
      </c>
      <c r="AN60" s="383">
        <v>360</v>
      </c>
      <c r="AO60" s="406">
        <f t="shared" si="31"/>
        <v>39479</v>
      </c>
      <c r="AP60" s="406">
        <f t="shared" si="37"/>
        <v>39510</v>
      </c>
      <c r="AQ60" s="407">
        <f t="shared" si="20"/>
        <v>31</v>
      </c>
      <c r="AR60" s="408">
        <f t="shared" si="34"/>
        <v>61155.422222222231</v>
      </c>
      <c r="AS60" s="409">
        <f t="shared" si="27"/>
        <v>97280</v>
      </c>
      <c r="AT60" s="410">
        <f t="shared" si="22"/>
        <v>-36124.577777777769</v>
      </c>
      <c r="AU60" s="375"/>
    </row>
    <row r="61" spans="2:47" x14ac:dyDescent="0.25">
      <c r="B61" s="396">
        <f t="shared" si="3"/>
        <v>32000000</v>
      </c>
      <c r="C61" s="397">
        <v>2.1211784000000001E-2</v>
      </c>
      <c r="D61" s="374">
        <v>360</v>
      </c>
      <c r="E61" s="399">
        <f t="shared" si="28"/>
        <v>39510</v>
      </c>
      <c r="F61" s="399">
        <v>39539</v>
      </c>
      <c r="G61" s="400">
        <f t="shared" si="6"/>
        <v>29</v>
      </c>
      <c r="H61" s="401">
        <f t="shared" si="7"/>
        <v>54679.265422222226</v>
      </c>
      <c r="I61" s="363">
        <f>ROUND((32000000*0.03695)*28/D61,2)</f>
        <v>91964.44</v>
      </c>
      <c r="J61" s="402">
        <f t="shared" si="8"/>
        <v>-37285.174577777776</v>
      </c>
      <c r="K61" s="402"/>
      <c r="L61" s="381" t="s">
        <v>370</v>
      </c>
      <c r="N61" s="396">
        <f t="shared" si="9"/>
        <v>32000000</v>
      </c>
      <c r="O61" s="397">
        <f t="shared" si="38"/>
        <v>2.1211784000000001E-2</v>
      </c>
      <c r="P61" s="374">
        <v>360</v>
      </c>
      <c r="Q61" s="399">
        <f t="shared" si="29"/>
        <v>39510</v>
      </c>
      <c r="R61" s="399">
        <f t="shared" si="35"/>
        <v>39539</v>
      </c>
      <c r="S61" s="400">
        <f t="shared" si="12"/>
        <v>29</v>
      </c>
      <c r="T61" s="401">
        <f t="shared" si="32"/>
        <v>54679.265422222226</v>
      </c>
      <c r="U61" s="363">
        <f>ROUND((32000000*0.03657)*28/P61,2)</f>
        <v>91018.67</v>
      </c>
      <c r="V61" s="402">
        <f t="shared" si="13"/>
        <v>-36339.404577777772</v>
      </c>
      <c r="W61" s="402"/>
      <c r="X61" s="381" t="s">
        <v>370</v>
      </c>
      <c r="Z61" s="396">
        <f t="shared" si="14"/>
        <v>32000000</v>
      </c>
      <c r="AA61" s="397">
        <f t="shared" si="39"/>
        <v>2.1211784000000001E-2</v>
      </c>
      <c r="AB61" s="374">
        <v>360</v>
      </c>
      <c r="AC61" s="399">
        <f t="shared" si="30"/>
        <v>39510</v>
      </c>
      <c r="AD61" s="399">
        <f t="shared" si="36"/>
        <v>39539</v>
      </c>
      <c r="AE61" s="400">
        <f t="shared" si="0"/>
        <v>29</v>
      </c>
      <c r="AF61" s="401">
        <f t="shared" si="33"/>
        <v>54679.265422222226</v>
      </c>
      <c r="AG61" s="363">
        <f>(32000000*0.03645)*28/AB61</f>
        <v>90720</v>
      </c>
      <c r="AH61" s="402">
        <f t="shared" si="2"/>
        <v>-36040.734577777774</v>
      </c>
      <c r="AI61" s="402"/>
      <c r="AJ61" s="382" t="s">
        <v>370</v>
      </c>
      <c r="AK61" s="375"/>
      <c r="AL61" s="403">
        <f t="shared" si="17"/>
        <v>32000000</v>
      </c>
      <c r="AM61" s="404">
        <f t="shared" si="40"/>
        <v>2.1211784000000001E-2</v>
      </c>
      <c r="AN61" s="383">
        <v>360</v>
      </c>
      <c r="AO61" s="406">
        <f t="shared" si="31"/>
        <v>39510</v>
      </c>
      <c r="AP61" s="406">
        <f t="shared" si="37"/>
        <v>39539</v>
      </c>
      <c r="AQ61" s="407">
        <f t="shared" si="20"/>
        <v>29</v>
      </c>
      <c r="AR61" s="408">
        <f t="shared" si="34"/>
        <v>54679.265422222226</v>
      </c>
      <c r="AS61" s="409">
        <f t="shared" si="27"/>
        <v>97280</v>
      </c>
      <c r="AT61" s="410">
        <f t="shared" si="22"/>
        <v>-42600.734577777774</v>
      </c>
      <c r="AU61" s="375"/>
    </row>
    <row r="62" spans="2:47" x14ac:dyDescent="0.25">
      <c r="B62" s="396">
        <f t="shared" si="3"/>
        <v>32000000</v>
      </c>
      <c r="C62" s="397">
        <v>1.8419499999999998E-2</v>
      </c>
      <c r="D62" s="374">
        <v>360</v>
      </c>
      <c r="E62" s="399">
        <f t="shared" si="28"/>
        <v>39539</v>
      </c>
      <c r="F62" s="399">
        <v>39569</v>
      </c>
      <c r="G62" s="400">
        <f t="shared" si="6"/>
        <v>30</v>
      </c>
      <c r="H62" s="401">
        <f t="shared" si="7"/>
        <v>49118.666666666657</v>
      </c>
      <c r="I62" s="363">
        <f>ROUND((32000000*0.03695)*30/D62,2)</f>
        <v>98533.33</v>
      </c>
      <c r="J62" s="402">
        <f t="shared" si="8"/>
        <v>-49414.663333333345</v>
      </c>
      <c r="K62" s="402"/>
      <c r="L62" s="381" t="s">
        <v>370</v>
      </c>
      <c r="N62" s="396">
        <f t="shared" si="9"/>
        <v>32000000</v>
      </c>
      <c r="O62" s="397">
        <f t="shared" si="38"/>
        <v>1.8419499999999998E-2</v>
      </c>
      <c r="P62" s="374">
        <v>360</v>
      </c>
      <c r="Q62" s="399">
        <f t="shared" si="29"/>
        <v>39539</v>
      </c>
      <c r="R62" s="399">
        <f t="shared" si="35"/>
        <v>39569</v>
      </c>
      <c r="S62" s="400">
        <f t="shared" si="12"/>
        <v>30</v>
      </c>
      <c r="T62" s="401">
        <f t="shared" si="32"/>
        <v>49118.666666666657</v>
      </c>
      <c r="U62" s="363">
        <f>ROUND((32000000*0.03657)*30/P62,2)</f>
        <v>97520</v>
      </c>
      <c r="V62" s="402">
        <f t="shared" si="13"/>
        <v>-48401.333333333343</v>
      </c>
      <c r="W62" s="402"/>
      <c r="X62" s="381" t="s">
        <v>370</v>
      </c>
      <c r="Z62" s="396">
        <f t="shared" si="14"/>
        <v>32000000</v>
      </c>
      <c r="AA62" s="397">
        <f t="shared" si="39"/>
        <v>1.8419499999999998E-2</v>
      </c>
      <c r="AB62" s="374">
        <v>360</v>
      </c>
      <c r="AC62" s="399">
        <f t="shared" si="30"/>
        <v>39539</v>
      </c>
      <c r="AD62" s="399">
        <f t="shared" si="36"/>
        <v>39569</v>
      </c>
      <c r="AE62" s="400">
        <f t="shared" si="0"/>
        <v>30</v>
      </c>
      <c r="AF62" s="401">
        <f t="shared" si="33"/>
        <v>49118.666666666657</v>
      </c>
      <c r="AG62" s="363">
        <f>(32000000*0.03645)*30/AB62</f>
        <v>97200</v>
      </c>
      <c r="AH62" s="402">
        <f t="shared" si="2"/>
        <v>-48081.333333333343</v>
      </c>
      <c r="AI62" s="402"/>
      <c r="AJ62" s="382" t="s">
        <v>370</v>
      </c>
      <c r="AK62" s="375"/>
      <c r="AL62" s="403">
        <f t="shared" si="17"/>
        <v>32000000</v>
      </c>
      <c r="AM62" s="404">
        <f t="shared" si="40"/>
        <v>1.8419499999999998E-2</v>
      </c>
      <c r="AN62" s="383">
        <v>360</v>
      </c>
      <c r="AO62" s="406">
        <f t="shared" si="31"/>
        <v>39539</v>
      </c>
      <c r="AP62" s="406">
        <f t="shared" si="37"/>
        <v>39569</v>
      </c>
      <c r="AQ62" s="407">
        <f t="shared" si="20"/>
        <v>30</v>
      </c>
      <c r="AR62" s="408">
        <f t="shared" si="34"/>
        <v>49118.666666666657</v>
      </c>
      <c r="AS62" s="409">
        <f t="shared" si="27"/>
        <v>97280</v>
      </c>
      <c r="AT62" s="410">
        <f t="shared" si="22"/>
        <v>-48161.333333333343</v>
      </c>
      <c r="AU62" s="375"/>
    </row>
    <row r="63" spans="2:47" x14ac:dyDescent="0.25">
      <c r="B63" s="396">
        <f t="shared" si="3"/>
        <v>32000000</v>
      </c>
      <c r="C63" s="397">
        <v>1.9227000000000001E-2</v>
      </c>
      <c r="D63" s="374">
        <v>360</v>
      </c>
      <c r="E63" s="399">
        <f t="shared" si="28"/>
        <v>39569</v>
      </c>
      <c r="F63" s="399">
        <v>39601</v>
      </c>
      <c r="G63" s="400">
        <f t="shared" si="6"/>
        <v>32</v>
      </c>
      <c r="H63" s="401">
        <f t="shared" si="7"/>
        <v>54690.133333333339</v>
      </c>
      <c r="I63" s="363">
        <f>ROUND((32000000*0.03695)*31/D63,2)</f>
        <v>101817.78</v>
      </c>
      <c r="J63" s="402">
        <f t="shared" si="8"/>
        <v>-47127.64666666666</v>
      </c>
      <c r="K63" s="402"/>
      <c r="L63" s="381" t="s">
        <v>370</v>
      </c>
      <c r="N63" s="396">
        <f t="shared" si="9"/>
        <v>32000000</v>
      </c>
      <c r="O63" s="397">
        <f t="shared" si="38"/>
        <v>1.9227000000000001E-2</v>
      </c>
      <c r="P63" s="374">
        <v>360</v>
      </c>
      <c r="Q63" s="399">
        <f t="shared" si="29"/>
        <v>39569</v>
      </c>
      <c r="R63" s="399">
        <f t="shared" si="35"/>
        <v>39601</v>
      </c>
      <c r="S63" s="400">
        <f t="shared" si="12"/>
        <v>32</v>
      </c>
      <c r="T63" s="401">
        <f t="shared" si="32"/>
        <v>54690.133333333339</v>
      </c>
      <c r="U63" s="363">
        <f>ROUND((32000000*0.03657)*31/P63,2)</f>
        <v>100770.67</v>
      </c>
      <c r="V63" s="402">
        <f t="shared" si="13"/>
        <v>-46080.53666666666</v>
      </c>
      <c r="W63" s="402"/>
      <c r="X63" s="381" t="s">
        <v>370</v>
      </c>
      <c r="Z63" s="396">
        <f t="shared" si="14"/>
        <v>32000000</v>
      </c>
      <c r="AA63" s="397">
        <f t="shared" si="39"/>
        <v>1.9227000000000001E-2</v>
      </c>
      <c r="AB63" s="374">
        <v>360</v>
      </c>
      <c r="AC63" s="399">
        <f t="shared" si="30"/>
        <v>39569</v>
      </c>
      <c r="AD63" s="399">
        <f t="shared" si="36"/>
        <v>39601</v>
      </c>
      <c r="AE63" s="400">
        <f t="shared" si="0"/>
        <v>32</v>
      </c>
      <c r="AF63" s="401">
        <f t="shared" si="33"/>
        <v>54690.133333333339</v>
      </c>
      <c r="AG63" s="363">
        <f>(32000000*0.03645)*31/AB63</f>
        <v>100440</v>
      </c>
      <c r="AH63" s="402">
        <f t="shared" si="2"/>
        <v>-45749.866666666661</v>
      </c>
      <c r="AI63" s="402"/>
      <c r="AJ63" s="382" t="s">
        <v>370</v>
      </c>
      <c r="AK63" s="375"/>
      <c r="AL63" s="403">
        <f t="shared" si="17"/>
        <v>32000000</v>
      </c>
      <c r="AM63" s="404">
        <f t="shared" si="40"/>
        <v>1.9227000000000001E-2</v>
      </c>
      <c r="AN63" s="383">
        <v>360</v>
      </c>
      <c r="AO63" s="406">
        <f t="shared" si="31"/>
        <v>39569</v>
      </c>
      <c r="AP63" s="406">
        <f t="shared" si="37"/>
        <v>39601</v>
      </c>
      <c r="AQ63" s="407">
        <f t="shared" si="20"/>
        <v>32</v>
      </c>
      <c r="AR63" s="408">
        <f t="shared" si="34"/>
        <v>54690.133333333339</v>
      </c>
      <c r="AS63" s="409">
        <f t="shared" si="27"/>
        <v>97280</v>
      </c>
      <c r="AT63" s="410">
        <f t="shared" si="22"/>
        <v>-42589.866666666661</v>
      </c>
      <c r="AU63" s="375"/>
    </row>
    <row r="64" spans="2:47" x14ac:dyDescent="0.25">
      <c r="B64" s="396">
        <f t="shared" si="3"/>
        <v>32000000</v>
      </c>
      <c r="C64" s="397">
        <v>1.6723783999999998E-2</v>
      </c>
      <c r="D64" s="374">
        <v>360</v>
      </c>
      <c r="E64" s="399">
        <f t="shared" si="28"/>
        <v>39601</v>
      </c>
      <c r="F64" s="399">
        <v>39630</v>
      </c>
      <c r="G64" s="400">
        <f t="shared" si="6"/>
        <v>29</v>
      </c>
      <c r="H64" s="401">
        <f t="shared" si="7"/>
        <v>43110.198755555553</v>
      </c>
      <c r="I64" s="363">
        <f>ROUND((32000000*0.03695)*29/D64,2)</f>
        <v>95248.89</v>
      </c>
      <c r="J64" s="402">
        <f t="shared" si="8"/>
        <v>-52138.691244444446</v>
      </c>
      <c r="K64" s="402"/>
      <c r="L64" s="381" t="s">
        <v>370</v>
      </c>
      <c r="N64" s="396">
        <f t="shared" si="9"/>
        <v>32000000</v>
      </c>
      <c r="O64" s="397">
        <f t="shared" si="38"/>
        <v>1.6723783999999998E-2</v>
      </c>
      <c r="P64" s="374">
        <v>360</v>
      </c>
      <c r="Q64" s="399">
        <f t="shared" si="29"/>
        <v>39601</v>
      </c>
      <c r="R64" s="399">
        <f t="shared" si="35"/>
        <v>39630</v>
      </c>
      <c r="S64" s="400">
        <f t="shared" si="12"/>
        <v>29</v>
      </c>
      <c r="T64" s="401">
        <f t="shared" si="32"/>
        <v>43110.198755555553</v>
      </c>
      <c r="U64" s="363">
        <f>ROUND((32000000*0.03657)*29/P64,2)</f>
        <v>94269.33</v>
      </c>
      <c r="V64" s="402">
        <f t="shared" si="13"/>
        <v>-51159.131244444448</v>
      </c>
      <c r="W64" s="402"/>
      <c r="X64" s="381" t="s">
        <v>370</v>
      </c>
      <c r="Z64" s="396">
        <f t="shared" si="14"/>
        <v>32000000</v>
      </c>
      <c r="AA64" s="397">
        <f t="shared" si="39"/>
        <v>1.6723783999999998E-2</v>
      </c>
      <c r="AB64" s="374">
        <v>360</v>
      </c>
      <c r="AC64" s="399">
        <f t="shared" si="30"/>
        <v>39601</v>
      </c>
      <c r="AD64" s="399">
        <f t="shared" si="36"/>
        <v>39630</v>
      </c>
      <c r="AE64" s="400">
        <f t="shared" si="0"/>
        <v>29</v>
      </c>
      <c r="AF64" s="401">
        <f t="shared" si="33"/>
        <v>43110.198755555553</v>
      </c>
      <c r="AG64" s="363">
        <f>(32000000*0.03645)*29/AB64</f>
        <v>93960</v>
      </c>
      <c r="AH64" s="402">
        <f t="shared" si="2"/>
        <v>-50849.801244444447</v>
      </c>
      <c r="AI64" s="402"/>
      <c r="AJ64" s="382" t="s">
        <v>370</v>
      </c>
      <c r="AK64" s="375"/>
      <c r="AL64" s="403">
        <f t="shared" si="17"/>
        <v>32000000</v>
      </c>
      <c r="AM64" s="404">
        <f t="shared" si="40"/>
        <v>1.6723783999999998E-2</v>
      </c>
      <c r="AN64" s="383">
        <v>360</v>
      </c>
      <c r="AO64" s="406">
        <f t="shared" si="31"/>
        <v>39601</v>
      </c>
      <c r="AP64" s="406">
        <f t="shared" si="37"/>
        <v>39630</v>
      </c>
      <c r="AQ64" s="407">
        <f t="shared" si="20"/>
        <v>29</v>
      </c>
      <c r="AR64" s="408">
        <f t="shared" si="34"/>
        <v>43110.198755555553</v>
      </c>
      <c r="AS64" s="409">
        <f t="shared" si="27"/>
        <v>97280</v>
      </c>
      <c r="AT64" s="410">
        <f t="shared" si="22"/>
        <v>-54169.801244444447</v>
      </c>
      <c r="AU64" s="375"/>
    </row>
    <row r="65" spans="2:47" x14ac:dyDescent="0.25">
      <c r="B65" s="396">
        <f t="shared" si="3"/>
        <v>32000000</v>
      </c>
      <c r="C65" s="397">
        <v>1.6800283999999999E-2</v>
      </c>
      <c r="D65" s="374">
        <v>360</v>
      </c>
      <c r="E65" s="399">
        <f t="shared" si="28"/>
        <v>39630</v>
      </c>
      <c r="F65" s="399">
        <v>39661</v>
      </c>
      <c r="G65" s="400">
        <f t="shared" si="6"/>
        <v>31</v>
      </c>
      <c r="H65" s="401">
        <f t="shared" si="7"/>
        <v>46294.115911111105</v>
      </c>
      <c r="I65" s="363">
        <f>ROUND((32000000*0.03695)*30/D65,2)</f>
        <v>98533.33</v>
      </c>
      <c r="J65" s="402">
        <f t="shared" si="8"/>
        <v>-52239.214088888897</v>
      </c>
      <c r="K65" s="402"/>
      <c r="L65" s="381" t="s">
        <v>370</v>
      </c>
      <c r="N65" s="396">
        <f t="shared" si="9"/>
        <v>32000000</v>
      </c>
      <c r="O65" s="397">
        <f t="shared" si="38"/>
        <v>1.6800283999999999E-2</v>
      </c>
      <c r="P65" s="374">
        <v>360</v>
      </c>
      <c r="Q65" s="399">
        <f t="shared" si="29"/>
        <v>39630</v>
      </c>
      <c r="R65" s="399">
        <f t="shared" si="35"/>
        <v>39661</v>
      </c>
      <c r="S65" s="400">
        <f t="shared" si="12"/>
        <v>31</v>
      </c>
      <c r="T65" s="401">
        <f t="shared" si="32"/>
        <v>46294.115911111105</v>
      </c>
      <c r="U65" s="363">
        <f>ROUND((32000000*0.03657)*30/P65,2)</f>
        <v>97520</v>
      </c>
      <c r="V65" s="402">
        <f t="shared" si="13"/>
        <v>-51225.884088888895</v>
      </c>
      <c r="W65" s="402"/>
      <c r="X65" s="381" t="s">
        <v>370</v>
      </c>
      <c r="Z65" s="396">
        <f t="shared" si="14"/>
        <v>32000000</v>
      </c>
      <c r="AA65" s="397">
        <f t="shared" si="39"/>
        <v>1.6800283999999999E-2</v>
      </c>
      <c r="AB65" s="374">
        <v>360</v>
      </c>
      <c r="AC65" s="399">
        <f t="shared" si="30"/>
        <v>39630</v>
      </c>
      <c r="AD65" s="399">
        <f t="shared" si="36"/>
        <v>39661</v>
      </c>
      <c r="AE65" s="400">
        <f t="shared" si="0"/>
        <v>31</v>
      </c>
      <c r="AF65" s="401">
        <f t="shared" si="33"/>
        <v>46294.115911111105</v>
      </c>
      <c r="AG65" s="363">
        <f>(32000000*0.03645)*30/AB65</f>
        <v>97200</v>
      </c>
      <c r="AH65" s="402">
        <f t="shared" si="2"/>
        <v>-50905.884088888895</v>
      </c>
      <c r="AI65" s="402"/>
      <c r="AJ65" s="382" t="s">
        <v>370</v>
      </c>
      <c r="AK65" s="375"/>
      <c r="AL65" s="403">
        <f t="shared" si="17"/>
        <v>32000000</v>
      </c>
      <c r="AM65" s="404">
        <f t="shared" si="40"/>
        <v>1.6800283999999999E-2</v>
      </c>
      <c r="AN65" s="383">
        <v>360</v>
      </c>
      <c r="AO65" s="406">
        <f t="shared" si="31"/>
        <v>39630</v>
      </c>
      <c r="AP65" s="406">
        <f t="shared" si="37"/>
        <v>39661</v>
      </c>
      <c r="AQ65" s="407">
        <f t="shared" si="20"/>
        <v>31</v>
      </c>
      <c r="AR65" s="408">
        <f t="shared" si="34"/>
        <v>46294.115911111105</v>
      </c>
      <c r="AS65" s="409">
        <f t="shared" si="27"/>
        <v>97280</v>
      </c>
      <c r="AT65" s="410">
        <f t="shared" si="22"/>
        <v>-50985.884088888895</v>
      </c>
      <c r="AU65" s="375"/>
    </row>
    <row r="66" spans="2:47" x14ac:dyDescent="0.25">
      <c r="B66" s="396">
        <f t="shared" si="3"/>
        <v>32000000</v>
      </c>
      <c r="C66" s="397">
        <v>1.6753500000000001E-2</v>
      </c>
      <c r="D66" s="374">
        <v>360</v>
      </c>
      <c r="E66" s="399">
        <f t="shared" si="28"/>
        <v>39661</v>
      </c>
      <c r="F66" s="399">
        <v>39693</v>
      </c>
      <c r="G66" s="400">
        <f t="shared" si="6"/>
        <v>32</v>
      </c>
      <c r="H66" s="401">
        <f t="shared" si="7"/>
        <v>47654.400000000009</v>
      </c>
      <c r="I66" s="363">
        <f>ROUND((32000000*0.03695)*31/D66,2)</f>
        <v>101817.78</v>
      </c>
      <c r="J66" s="402">
        <f t="shared" si="8"/>
        <v>-54163.37999999999</v>
      </c>
      <c r="K66" s="402"/>
      <c r="L66" s="381" t="s">
        <v>370</v>
      </c>
      <c r="N66" s="396">
        <f t="shared" si="9"/>
        <v>32000000</v>
      </c>
      <c r="O66" s="397">
        <f t="shared" si="38"/>
        <v>1.6753500000000001E-2</v>
      </c>
      <c r="P66" s="374">
        <v>360</v>
      </c>
      <c r="Q66" s="399">
        <f t="shared" si="29"/>
        <v>39661</v>
      </c>
      <c r="R66" s="399">
        <f t="shared" si="35"/>
        <v>39693</v>
      </c>
      <c r="S66" s="400">
        <f t="shared" si="12"/>
        <v>32</v>
      </c>
      <c r="T66" s="401">
        <f t="shared" si="32"/>
        <v>47654.400000000009</v>
      </c>
      <c r="U66" s="363">
        <f>ROUND((32000000*0.03657)*31/P66,2)</f>
        <v>100770.67</v>
      </c>
      <c r="V66" s="402">
        <f t="shared" si="13"/>
        <v>-53116.26999999999</v>
      </c>
      <c r="W66" s="402"/>
      <c r="X66" s="381" t="s">
        <v>370</v>
      </c>
      <c r="Z66" s="396">
        <f t="shared" si="14"/>
        <v>32000000</v>
      </c>
      <c r="AA66" s="397">
        <f t="shared" si="39"/>
        <v>1.6753500000000001E-2</v>
      </c>
      <c r="AB66" s="374">
        <v>360</v>
      </c>
      <c r="AC66" s="399">
        <f t="shared" si="30"/>
        <v>39661</v>
      </c>
      <c r="AD66" s="399">
        <f t="shared" si="36"/>
        <v>39693</v>
      </c>
      <c r="AE66" s="400">
        <f t="shared" si="0"/>
        <v>32</v>
      </c>
      <c r="AF66" s="401">
        <f t="shared" si="33"/>
        <v>47654.400000000009</v>
      </c>
      <c r="AG66" s="363">
        <f>(32000000*0.03645)*31/AB66</f>
        <v>100440</v>
      </c>
      <c r="AH66" s="402">
        <f t="shared" si="2"/>
        <v>-52785.599999999991</v>
      </c>
      <c r="AI66" s="402"/>
      <c r="AJ66" s="382" t="s">
        <v>370</v>
      </c>
      <c r="AK66" s="375"/>
      <c r="AL66" s="403">
        <f t="shared" si="17"/>
        <v>32000000</v>
      </c>
      <c r="AM66" s="404">
        <f t="shared" si="40"/>
        <v>1.6753500000000001E-2</v>
      </c>
      <c r="AN66" s="383">
        <v>360</v>
      </c>
      <c r="AO66" s="406">
        <f t="shared" si="31"/>
        <v>39661</v>
      </c>
      <c r="AP66" s="406">
        <f>F66</f>
        <v>39693</v>
      </c>
      <c r="AQ66" s="407">
        <f t="shared" si="20"/>
        <v>32</v>
      </c>
      <c r="AR66" s="408">
        <f t="shared" si="34"/>
        <v>47654.400000000009</v>
      </c>
      <c r="AS66" s="409">
        <f t="shared" si="27"/>
        <v>97280</v>
      </c>
      <c r="AT66" s="410">
        <f t="shared" si="22"/>
        <v>-49625.599999999991</v>
      </c>
      <c r="AU66" s="375"/>
    </row>
    <row r="67" spans="2:47" x14ac:dyDescent="0.25">
      <c r="B67" s="396">
        <f t="shared" si="3"/>
        <v>32000000</v>
      </c>
      <c r="C67" s="397">
        <v>1.6902284E-2</v>
      </c>
      <c r="D67" s="374">
        <v>360</v>
      </c>
      <c r="E67" s="399">
        <f t="shared" si="28"/>
        <v>39693</v>
      </c>
      <c r="F67" s="399">
        <v>39722</v>
      </c>
      <c r="G67" s="400">
        <f t="shared" si="6"/>
        <v>29</v>
      </c>
      <c r="H67" s="401">
        <f t="shared" si="7"/>
        <v>43570.332088888892</v>
      </c>
      <c r="I67" s="363">
        <f>ROUND((32000000*0.03695)*29/D67,2)</f>
        <v>95248.89</v>
      </c>
      <c r="J67" s="402">
        <f t="shared" si="8"/>
        <v>-51678.557911111107</v>
      </c>
      <c r="K67" s="402"/>
      <c r="L67" s="381" t="s">
        <v>370</v>
      </c>
      <c r="N67" s="396">
        <f t="shared" si="9"/>
        <v>32000000</v>
      </c>
      <c r="O67" s="397">
        <f t="shared" si="38"/>
        <v>1.6902284E-2</v>
      </c>
      <c r="P67" s="374">
        <v>360</v>
      </c>
      <c r="Q67" s="399">
        <f t="shared" si="29"/>
        <v>39693</v>
      </c>
      <c r="R67" s="399">
        <f t="shared" si="35"/>
        <v>39722</v>
      </c>
      <c r="S67" s="400">
        <f t="shared" si="12"/>
        <v>29</v>
      </c>
      <c r="T67" s="401">
        <f t="shared" si="32"/>
        <v>43570.332088888892</v>
      </c>
      <c r="U67" s="363">
        <f>ROUND((32000000*0.03657)*29/P67,2)</f>
        <v>94269.33</v>
      </c>
      <c r="V67" s="402">
        <f t="shared" si="13"/>
        <v>-50698.99791111111</v>
      </c>
      <c r="W67" s="402"/>
      <c r="X67" s="381" t="s">
        <v>370</v>
      </c>
      <c r="Z67" s="396">
        <f t="shared" si="14"/>
        <v>32000000</v>
      </c>
      <c r="AA67" s="397">
        <f t="shared" si="39"/>
        <v>1.6902284E-2</v>
      </c>
      <c r="AB67" s="374">
        <v>360</v>
      </c>
      <c r="AC67" s="399">
        <f t="shared" si="30"/>
        <v>39693</v>
      </c>
      <c r="AD67" s="399">
        <f t="shared" si="36"/>
        <v>39722</v>
      </c>
      <c r="AE67" s="400">
        <f t="shared" si="0"/>
        <v>29</v>
      </c>
      <c r="AF67" s="401">
        <f t="shared" si="33"/>
        <v>43570.332088888892</v>
      </c>
      <c r="AG67" s="363">
        <f>(32000000*0.03645)*29/AB67</f>
        <v>93960</v>
      </c>
      <c r="AH67" s="402">
        <f t="shared" si="2"/>
        <v>-50389.667911111108</v>
      </c>
      <c r="AI67" s="402"/>
      <c r="AJ67" s="382" t="s">
        <v>370</v>
      </c>
      <c r="AK67" s="375"/>
      <c r="AL67" s="403">
        <f t="shared" si="17"/>
        <v>32000000</v>
      </c>
      <c r="AM67" s="404">
        <f t="shared" si="40"/>
        <v>1.6902284E-2</v>
      </c>
      <c r="AN67" s="383">
        <v>360</v>
      </c>
      <c r="AO67" s="406">
        <f>AP66</f>
        <v>39693</v>
      </c>
      <c r="AP67" s="406">
        <f>F67</f>
        <v>39722</v>
      </c>
      <c r="AQ67" s="407">
        <f t="shared" si="20"/>
        <v>29</v>
      </c>
      <c r="AR67" s="408">
        <f t="shared" si="34"/>
        <v>43570.332088888892</v>
      </c>
      <c r="AS67" s="409">
        <f t="shared" si="27"/>
        <v>97280</v>
      </c>
      <c r="AT67" s="410">
        <f t="shared" si="22"/>
        <v>-53709.667911111108</v>
      </c>
      <c r="AU67" s="375"/>
    </row>
    <row r="68" spans="2:47" x14ac:dyDescent="0.25">
      <c r="B68" s="396">
        <f t="shared" si="3"/>
        <v>32000000</v>
      </c>
      <c r="C68" s="397">
        <v>2.5295999999999999E-2</v>
      </c>
      <c r="D68" s="374">
        <v>360</v>
      </c>
      <c r="E68" s="399">
        <f t="shared" si="28"/>
        <v>39722</v>
      </c>
      <c r="F68" s="399">
        <v>39755</v>
      </c>
      <c r="G68" s="400">
        <f t="shared" si="6"/>
        <v>33</v>
      </c>
      <c r="H68" s="401">
        <f t="shared" si="7"/>
        <v>74201.599999999991</v>
      </c>
      <c r="I68" s="363">
        <f>ROUND((32000000*0.03695)*32/D68,2)</f>
        <v>105102.22</v>
      </c>
      <c r="J68" s="402">
        <f t="shared" si="8"/>
        <v>-30900.62000000001</v>
      </c>
      <c r="K68" s="402"/>
      <c r="L68" s="381" t="s">
        <v>370</v>
      </c>
      <c r="N68" s="396">
        <f t="shared" si="9"/>
        <v>32000000</v>
      </c>
      <c r="O68" s="397">
        <f t="shared" si="38"/>
        <v>2.5295999999999999E-2</v>
      </c>
      <c r="P68" s="374">
        <v>360</v>
      </c>
      <c r="Q68" s="399">
        <f t="shared" si="29"/>
        <v>39722</v>
      </c>
      <c r="R68" s="399">
        <f t="shared" si="35"/>
        <v>39755</v>
      </c>
      <c r="S68" s="400">
        <f t="shared" si="12"/>
        <v>33</v>
      </c>
      <c r="T68" s="401">
        <f t="shared" si="32"/>
        <v>74201.599999999991</v>
      </c>
      <c r="U68" s="363">
        <f>ROUND((32000000*0.03657)*32/P68,2)</f>
        <v>104021.33</v>
      </c>
      <c r="V68" s="402">
        <f t="shared" si="13"/>
        <v>-29819.73000000001</v>
      </c>
      <c r="W68" s="402"/>
      <c r="X68" s="381" t="s">
        <v>370</v>
      </c>
      <c r="Z68" s="396">
        <f t="shared" si="14"/>
        <v>32000000</v>
      </c>
      <c r="AA68" s="397">
        <f t="shared" si="39"/>
        <v>2.5295999999999999E-2</v>
      </c>
      <c r="AB68" s="374">
        <v>360</v>
      </c>
      <c r="AC68" s="399">
        <f t="shared" si="30"/>
        <v>39722</v>
      </c>
      <c r="AD68" s="399">
        <f t="shared" si="36"/>
        <v>39755</v>
      </c>
      <c r="AE68" s="400">
        <f t="shared" si="0"/>
        <v>33</v>
      </c>
      <c r="AF68" s="401">
        <f t="shared" si="33"/>
        <v>74201.599999999991</v>
      </c>
      <c r="AG68" s="363">
        <f>(32000000*0.03645)*32/AB68</f>
        <v>103680</v>
      </c>
      <c r="AH68" s="402">
        <f t="shared" si="2"/>
        <v>-29478.400000000009</v>
      </c>
      <c r="AI68" s="402"/>
      <c r="AJ68" s="382" t="s">
        <v>370</v>
      </c>
      <c r="AK68" s="375"/>
      <c r="AL68" s="403">
        <f>AL67</f>
        <v>32000000</v>
      </c>
      <c r="AM68" s="404">
        <f t="shared" si="40"/>
        <v>2.5295999999999999E-2</v>
      </c>
      <c r="AN68" s="383">
        <v>360</v>
      </c>
      <c r="AO68" s="406">
        <f>AP67</f>
        <v>39722</v>
      </c>
      <c r="AP68" s="406">
        <f>F68</f>
        <v>39755</v>
      </c>
      <c r="AQ68" s="407">
        <f>AP68-AO68</f>
        <v>33</v>
      </c>
      <c r="AR68" s="408">
        <f t="shared" si="34"/>
        <v>74201.599999999991</v>
      </c>
      <c r="AS68" s="409">
        <f>(32000000*0.03648)*30/AN68</f>
        <v>97280</v>
      </c>
      <c r="AT68" s="410">
        <f>AR68-AS68</f>
        <v>-23078.400000000009</v>
      </c>
      <c r="AU68" s="375"/>
    </row>
    <row r="69" spans="2:47" x14ac:dyDescent="0.25">
      <c r="B69" s="396">
        <f t="shared" si="3"/>
        <v>32000000</v>
      </c>
      <c r="C69" s="397">
        <v>1.9380000000000001E-2</v>
      </c>
      <c r="D69" s="374">
        <v>360</v>
      </c>
      <c r="E69" s="399">
        <f t="shared" si="28"/>
        <v>39755</v>
      </c>
      <c r="F69" s="399">
        <v>39783</v>
      </c>
      <c r="G69" s="400">
        <f t="shared" si="6"/>
        <v>28</v>
      </c>
      <c r="H69" s="401">
        <f t="shared" si="7"/>
        <v>48234.666666666672</v>
      </c>
      <c r="I69" s="363">
        <f>ROUND((32000000*0.03695)*28/D69,2)</f>
        <v>91964.44</v>
      </c>
      <c r="J69" s="402">
        <f t="shared" si="8"/>
        <v>-43729.773333333331</v>
      </c>
      <c r="K69" s="402"/>
      <c r="L69" s="381" t="s">
        <v>370</v>
      </c>
      <c r="N69" s="396">
        <f t="shared" si="9"/>
        <v>32000000</v>
      </c>
      <c r="O69" s="397">
        <f t="shared" si="38"/>
        <v>1.9380000000000001E-2</v>
      </c>
      <c r="P69" s="374">
        <v>360</v>
      </c>
      <c r="Q69" s="399">
        <f t="shared" si="29"/>
        <v>39755</v>
      </c>
      <c r="R69" s="399">
        <f t="shared" si="35"/>
        <v>39783</v>
      </c>
      <c r="S69" s="400">
        <f t="shared" si="12"/>
        <v>28</v>
      </c>
      <c r="T69" s="401">
        <f t="shared" si="32"/>
        <v>48234.666666666672</v>
      </c>
      <c r="U69" s="363">
        <f>ROUND((32000000*0.03657)*28/P69,2)</f>
        <v>91018.67</v>
      </c>
      <c r="V69" s="402">
        <f t="shared" si="13"/>
        <v>-42784.003333333327</v>
      </c>
      <c r="W69" s="402"/>
      <c r="X69" s="381" t="s">
        <v>370</v>
      </c>
      <c r="Z69" s="396">
        <f t="shared" si="14"/>
        <v>32000000</v>
      </c>
      <c r="AA69" s="397">
        <f t="shared" si="39"/>
        <v>1.9380000000000001E-2</v>
      </c>
      <c r="AB69" s="374">
        <v>360</v>
      </c>
      <c r="AC69" s="399">
        <f t="shared" si="30"/>
        <v>39755</v>
      </c>
      <c r="AD69" s="399">
        <f t="shared" si="36"/>
        <v>39783</v>
      </c>
      <c r="AE69" s="400">
        <f t="shared" si="0"/>
        <v>28</v>
      </c>
      <c r="AF69" s="401">
        <f t="shared" si="33"/>
        <v>48234.666666666672</v>
      </c>
      <c r="AG69" s="363">
        <f>(32000000*0.03645)*28/AB69</f>
        <v>90720</v>
      </c>
      <c r="AH69" s="402">
        <f t="shared" si="2"/>
        <v>-42485.333333333328</v>
      </c>
      <c r="AI69" s="402"/>
      <c r="AJ69" s="382" t="s">
        <v>370</v>
      </c>
      <c r="AK69" s="375"/>
      <c r="AL69" s="403">
        <f>AL68</f>
        <v>32000000</v>
      </c>
      <c r="AM69" s="404">
        <f t="shared" si="40"/>
        <v>1.9380000000000001E-2</v>
      </c>
      <c r="AN69" s="383">
        <v>360</v>
      </c>
      <c r="AO69" s="406">
        <f>AP68</f>
        <v>39755</v>
      </c>
      <c r="AP69" s="406">
        <f>F69</f>
        <v>39783</v>
      </c>
      <c r="AQ69" s="407">
        <f>AP69-AO69</f>
        <v>28</v>
      </c>
      <c r="AR69" s="408">
        <f t="shared" si="34"/>
        <v>48234.666666666672</v>
      </c>
      <c r="AS69" s="409">
        <f>(32000000*0.03648)*30/AN69</f>
        <v>97280</v>
      </c>
      <c r="AT69" s="410">
        <f>AR69-AS69</f>
        <v>-49045.333333333328</v>
      </c>
      <c r="AU69" s="375"/>
    </row>
    <row r="70" spans="2:47" x14ac:dyDescent="0.25">
      <c r="B70" s="396">
        <f t="shared" si="3"/>
        <v>32000000</v>
      </c>
      <c r="C70" s="397">
        <v>1.2919999999999999E-2</v>
      </c>
      <c r="D70" s="374">
        <v>360</v>
      </c>
      <c r="E70" s="399">
        <f t="shared" si="28"/>
        <v>39783</v>
      </c>
      <c r="F70" s="399">
        <v>39815</v>
      </c>
      <c r="G70" s="400">
        <f t="shared" si="6"/>
        <v>32</v>
      </c>
      <c r="H70" s="401">
        <f t="shared" si="7"/>
        <v>36750.222222222219</v>
      </c>
      <c r="I70" s="363">
        <f>ROUND((32000000*0.03695)*31/D70,2)</f>
        <v>101817.78</v>
      </c>
      <c r="J70" s="402">
        <f t="shared" si="8"/>
        <v>-65067.55777777778</v>
      </c>
      <c r="K70" s="402"/>
      <c r="L70" s="381" t="s">
        <v>370</v>
      </c>
      <c r="N70" s="396">
        <f t="shared" si="9"/>
        <v>32000000</v>
      </c>
      <c r="O70" s="397">
        <f t="shared" si="38"/>
        <v>1.2919999999999999E-2</v>
      </c>
      <c r="P70" s="374">
        <v>360</v>
      </c>
      <c r="Q70" s="399">
        <f t="shared" si="29"/>
        <v>39783</v>
      </c>
      <c r="R70" s="399">
        <f t="shared" si="35"/>
        <v>39815</v>
      </c>
      <c r="S70" s="400">
        <f t="shared" si="12"/>
        <v>32</v>
      </c>
      <c r="T70" s="401">
        <f t="shared" si="32"/>
        <v>36750.222222222219</v>
      </c>
      <c r="U70" s="363">
        <f>ROUND((32000000*0.03657)*31/P70,2)</f>
        <v>100770.67</v>
      </c>
      <c r="V70" s="402">
        <f t="shared" si="13"/>
        <v>-64020.447777777779</v>
      </c>
      <c r="W70" s="402"/>
      <c r="X70" s="381" t="s">
        <v>370</v>
      </c>
      <c r="Z70" s="396">
        <f t="shared" si="14"/>
        <v>32000000</v>
      </c>
      <c r="AA70" s="397">
        <f t="shared" si="39"/>
        <v>1.2919999999999999E-2</v>
      </c>
      <c r="AB70" s="374">
        <v>360</v>
      </c>
      <c r="AC70" s="399">
        <f t="shared" si="30"/>
        <v>39783</v>
      </c>
      <c r="AD70" s="399">
        <f t="shared" si="36"/>
        <v>39815</v>
      </c>
      <c r="AE70" s="400">
        <f t="shared" si="0"/>
        <v>32</v>
      </c>
      <c r="AF70" s="401">
        <f t="shared" si="33"/>
        <v>36750.222222222219</v>
      </c>
      <c r="AG70" s="363">
        <f>(32000000*0.03645)*31/AB70</f>
        <v>100440</v>
      </c>
      <c r="AH70" s="402">
        <f t="shared" si="2"/>
        <v>-63689.777777777781</v>
      </c>
      <c r="AI70" s="402"/>
      <c r="AJ70" s="382" t="s">
        <v>370</v>
      </c>
      <c r="AK70" s="375"/>
      <c r="AL70" s="403">
        <f>AL69</f>
        <v>32000000</v>
      </c>
      <c r="AM70" s="404">
        <f t="shared" si="40"/>
        <v>1.2919999999999999E-2</v>
      </c>
      <c r="AN70" s="383">
        <v>360</v>
      </c>
      <c r="AO70" s="406">
        <f>AP69</f>
        <v>39783</v>
      </c>
      <c r="AP70" s="406">
        <v>39798</v>
      </c>
      <c r="AQ70" s="407">
        <f>AP70-AO70</f>
        <v>15</v>
      </c>
      <c r="AR70" s="408">
        <f t="shared" si="34"/>
        <v>17226.666666666664</v>
      </c>
      <c r="AS70" s="409">
        <f>(32000000*0.03648)*15/AN70</f>
        <v>48640</v>
      </c>
      <c r="AT70" s="410">
        <f>AR70-AS70</f>
        <v>-31413.333333333336</v>
      </c>
      <c r="AU70" s="375"/>
    </row>
    <row r="71" spans="2:47" x14ac:dyDescent="0.25">
      <c r="B71" s="396">
        <f t="shared" si="3"/>
        <v>32000000</v>
      </c>
      <c r="C71" s="397">
        <v>3.0430000000000001E-3</v>
      </c>
      <c r="D71" s="374">
        <v>360</v>
      </c>
      <c r="E71" s="399">
        <f t="shared" si="28"/>
        <v>39815</v>
      </c>
      <c r="F71" s="399">
        <v>39846</v>
      </c>
      <c r="G71" s="400">
        <f t="shared" si="6"/>
        <v>31</v>
      </c>
      <c r="H71" s="401">
        <f t="shared" si="7"/>
        <v>8385.1555555555569</v>
      </c>
      <c r="I71" s="363">
        <f>ROUND((32000000*0.03695)*30/D71,2)</f>
        <v>98533.33</v>
      </c>
      <c r="J71" s="402">
        <f t="shared" si="8"/>
        <v>-90148.174444444448</v>
      </c>
      <c r="K71" s="402"/>
      <c r="L71" s="381" t="s">
        <v>370</v>
      </c>
      <c r="N71" s="396">
        <f t="shared" si="9"/>
        <v>32000000</v>
      </c>
      <c r="O71" s="397">
        <f t="shared" si="38"/>
        <v>3.0430000000000001E-3</v>
      </c>
      <c r="P71" s="374">
        <v>360</v>
      </c>
      <c r="Q71" s="399">
        <f t="shared" si="29"/>
        <v>39815</v>
      </c>
      <c r="R71" s="399">
        <f t="shared" si="35"/>
        <v>39846</v>
      </c>
      <c r="S71" s="400">
        <f t="shared" si="12"/>
        <v>31</v>
      </c>
      <c r="T71" s="401">
        <f t="shared" si="32"/>
        <v>8385.1555555555569</v>
      </c>
      <c r="U71" s="363">
        <f>ROUND((32000000*0.03657)*30/P71,2)</f>
        <v>97520</v>
      </c>
      <c r="V71" s="402">
        <f t="shared" si="13"/>
        <v>-89134.844444444447</v>
      </c>
      <c r="W71" s="402"/>
      <c r="X71" s="381" t="s">
        <v>370</v>
      </c>
      <c r="Z71" s="396">
        <f t="shared" si="14"/>
        <v>32000000</v>
      </c>
      <c r="AA71" s="397">
        <f t="shared" si="39"/>
        <v>3.0430000000000001E-3</v>
      </c>
      <c r="AB71" s="374">
        <v>360</v>
      </c>
      <c r="AC71" s="399">
        <f t="shared" si="30"/>
        <v>39815</v>
      </c>
      <c r="AD71" s="399">
        <f t="shared" si="36"/>
        <v>39846</v>
      </c>
      <c r="AE71" s="400">
        <f t="shared" si="0"/>
        <v>31</v>
      </c>
      <c r="AF71" s="401">
        <f t="shared" si="33"/>
        <v>8385.1555555555569</v>
      </c>
      <c r="AG71" s="363">
        <f>(32000000*0.03645)*30/AB71</f>
        <v>97200</v>
      </c>
      <c r="AH71" s="402">
        <f t="shared" si="2"/>
        <v>-88814.844444444447</v>
      </c>
      <c r="AI71" s="402"/>
      <c r="AJ71" s="382" t="s">
        <v>370</v>
      </c>
      <c r="AK71" s="375"/>
      <c r="AL71" s="411" t="s">
        <v>395</v>
      </c>
      <c r="AM71" s="375">
        <f t="shared" si="40"/>
        <v>3.0430000000000001E-3</v>
      </c>
      <c r="AN71" s="375"/>
      <c r="AO71" s="375"/>
      <c r="AP71" s="375"/>
      <c r="AQ71" s="375"/>
      <c r="AR71" s="375"/>
      <c r="AS71" s="375"/>
      <c r="AT71" s="375"/>
      <c r="AU71" s="375"/>
    </row>
    <row r="72" spans="2:47" x14ac:dyDescent="0.25">
      <c r="B72" s="396">
        <f t="shared" si="3"/>
        <v>32000000</v>
      </c>
      <c r="C72" s="397">
        <v>2.8050000000000002E-3</v>
      </c>
      <c r="D72" s="374">
        <v>360</v>
      </c>
      <c r="E72" s="399">
        <f t="shared" si="28"/>
        <v>39846</v>
      </c>
      <c r="F72" s="399">
        <v>39874</v>
      </c>
      <c r="G72" s="400">
        <f t="shared" si="6"/>
        <v>28</v>
      </c>
      <c r="H72" s="401">
        <f t="shared" si="7"/>
        <v>6981.3333333333339</v>
      </c>
      <c r="I72" s="363">
        <f>ROUND((32000000*0.03695)*30/D72,2)</f>
        <v>98533.33</v>
      </c>
      <c r="J72" s="402">
        <f t="shared" si="8"/>
        <v>-91551.996666666673</v>
      </c>
      <c r="K72" s="402"/>
      <c r="L72" s="381" t="s">
        <v>370</v>
      </c>
      <c r="N72" s="396">
        <f t="shared" si="9"/>
        <v>32000000</v>
      </c>
      <c r="O72" s="397">
        <f>C72</f>
        <v>2.8050000000000002E-3</v>
      </c>
      <c r="P72" s="374">
        <v>360</v>
      </c>
      <c r="Q72" s="399">
        <f t="shared" si="29"/>
        <v>39846</v>
      </c>
      <c r="R72" s="399">
        <f>F72</f>
        <v>39874</v>
      </c>
      <c r="S72" s="400">
        <f t="shared" si="12"/>
        <v>28</v>
      </c>
      <c r="T72" s="401">
        <f t="shared" si="32"/>
        <v>6981.3333333333339</v>
      </c>
      <c r="U72" s="363">
        <f>ROUND((32000000*0.03657)*30/P72,2)</f>
        <v>97520</v>
      </c>
      <c r="V72" s="402">
        <f t="shared" si="13"/>
        <v>-90538.666666666672</v>
      </c>
      <c r="W72" s="402"/>
      <c r="X72" s="381" t="s">
        <v>370</v>
      </c>
      <c r="Z72" s="396">
        <f t="shared" si="14"/>
        <v>32000000</v>
      </c>
      <c r="AA72" s="397">
        <f>C72</f>
        <v>2.8050000000000002E-3</v>
      </c>
      <c r="AB72" s="374">
        <v>360</v>
      </c>
      <c r="AC72" s="399">
        <f t="shared" si="30"/>
        <v>39846</v>
      </c>
      <c r="AD72" s="399">
        <f>F72</f>
        <v>39874</v>
      </c>
      <c r="AE72" s="400">
        <f t="shared" si="0"/>
        <v>28</v>
      </c>
      <c r="AF72" s="401">
        <f t="shared" si="33"/>
        <v>6981.3333333333339</v>
      </c>
      <c r="AG72" s="363">
        <f>(32000000*0.03645)*30/AB72</f>
        <v>97200</v>
      </c>
      <c r="AH72" s="402">
        <f t="shared" si="2"/>
        <v>-90218.666666666672</v>
      </c>
      <c r="AI72" s="402"/>
      <c r="AJ72" s="382" t="s">
        <v>370</v>
      </c>
      <c r="AK72" s="375"/>
      <c r="AL72" s="375"/>
      <c r="AM72" s="375"/>
      <c r="AN72" s="375"/>
      <c r="AO72" s="375"/>
      <c r="AP72" s="375"/>
      <c r="AQ72" s="375"/>
      <c r="AR72" s="375"/>
      <c r="AS72" s="375"/>
      <c r="AT72" s="375"/>
      <c r="AU72" s="375"/>
    </row>
    <row r="73" spans="2:47" x14ac:dyDescent="0.25">
      <c r="B73" s="396">
        <f t="shared" si="3"/>
        <v>32000000</v>
      </c>
      <c r="C73" s="397">
        <v>3.3787800000000001E-3</v>
      </c>
      <c r="D73" s="374">
        <v>360</v>
      </c>
      <c r="E73" s="399">
        <f t="shared" si="28"/>
        <v>39874</v>
      </c>
      <c r="F73" s="399">
        <v>39904</v>
      </c>
      <c r="G73" s="400">
        <f t="shared" si="6"/>
        <v>30</v>
      </c>
      <c r="H73" s="401">
        <f t="shared" si="7"/>
        <v>9010.08</v>
      </c>
      <c r="I73" s="363">
        <f>ROUND((32000000*0.03695)*29/D73,2)</f>
        <v>95248.89</v>
      </c>
      <c r="J73" s="402">
        <f t="shared" si="8"/>
        <v>-86238.81</v>
      </c>
      <c r="K73" s="402"/>
      <c r="L73" s="381" t="s">
        <v>370</v>
      </c>
      <c r="N73" s="396">
        <f t="shared" si="9"/>
        <v>32000000</v>
      </c>
      <c r="O73" s="397">
        <f>C73</f>
        <v>3.3787800000000001E-3</v>
      </c>
      <c r="P73" s="374">
        <v>360</v>
      </c>
      <c r="Q73" s="399">
        <f t="shared" si="29"/>
        <v>39874</v>
      </c>
      <c r="R73" s="399">
        <f>F73</f>
        <v>39904</v>
      </c>
      <c r="S73" s="400">
        <f t="shared" si="12"/>
        <v>30</v>
      </c>
      <c r="T73" s="401">
        <f t="shared" si="32"/>
        <v>9010.08</v>
      </c>
      <c r="U73" s="363">
        <f>ROUND((32000000*0.03657)*29/P73,2)</f>
        <v>94269.33</v>
      </c>
      <c r="V73" s="402">
        <f t="shared" si="13"/>
        <v>-85259.25</v>
      </c>
      <c r="W73" s="402"/>
      <c r="X73" s="381" t="s">
        <v>370</v>
      </c>
      <c r="Z73" s="396">
        <f t="shared" si="14"/>
        <v>32000000</v>
      </c>
      <c r="AA73" s="397">
        <f>C73</f>
        <v>3.3787800000000001E-3</v>
      </c>
      <c r="AB73" s="374">
        <v>360</v>
      </c>
      <c r="AC73" s="399">
        <f t="shared" si="30"/>
        <v>39874</v>
      </c>
      <c r="AD73" s="399">
        <f>F73</f>
        <v>39904</v>
      </c>
      <c r="AE73" s="400">
        <f t="shared" si="0"/>
        <v>30</v>
      </c>
      <c r="AF73" s="401">
        <f t="shared" si="33"/>
        <v>9010.08</v>
      </c>
      <c r="AG73" s="363">
        <f>(32000000*0.03645)*29/AB73</f>
        <v>93960</v>
      </c>
      <c r="AH73" s="402">
        <f t="shared" si="2"/>
        <v>-84949.92</v>
      </c>
      <c r="AI73" s="402"/>
      <c r="AJ73" s="381" t="s">
        <v>370</v>
      </c>
    </row>
    <row r="74" spans="2:47" x14ac:dyDescent="0.25">
      <c r="B74" s="396">
        <f t="shared" si="3"/>
        <v>32000000</v>
      </c>
      <c r="C74" s="397">
        <v>3.4594999999999999E-3</v>
      </c>
      <c r="D74" s="374">
        <v>360</v>
      </c>
      <c r="E74" s="399">
        <f t="shared" si="28"/>
        <v>39904</v>
      </c>
      <c r="F74" s="399">
        <v>39934</v>
      </c>
      <c r="G74" s="400">
        <f t="shared" si="6"/>
        <v>30</v>
      </c>
      <c r="H74" s="401">
        <f t="shared" si="7"/>
        <v>9225.3333333333321</v>
      </c>
      <c r="I74" s="363">
        <f>ROUND((32000000*0.03695)*30/D74,2)</f>
        <v>98533.33</v>
      </c>
      <c r="J74" s="402">
        <f t="shared" si="8"/>
        <v>-89307.996666666673</v>
      </c>
      <c r="K74" s="402"/>
      <c r="L74" s="381" t="s">
        <v>370</v>
      </c>
      <c r="N74" s="396">
        <f t="shared" si="9"/>
        <v>32000000</v>
      </c>
      <c r="O74" s="397">
        <v>3.4594999999999999E-3</v>
      </c>
      <c r="P74" s="374">
        <v>360</v>
      </c>
      <c r="Q74" s="399">
        <f t="shared" si="29"/>
        <v>39904</v>
      </c>
      <c r="R74" s="399">
        <v>39934</v>
      </c>
      <c r="S74" s="400">
        <f t="shared" si="12"/>
        <v>30</v>
      </c>
      <c r="T74" s="401">
        <f t="shared" si="32"/>
        <v>9225.3333333333321</v>
      </c>
      <c r="U74" s="363">
        <f>ROUND((32000000*0.03657)*30/P74,2)</f>
        <v>97520</v>
      </c>
      <c r="V74" s="402">
        <f t="shared" si="13"/>
        <v>-88294.666666666672</v>
      </c>
      <c r="W74" s="402"/>
      <c r="X74" s="381" t="s">
        <v>370</v>
      </c>
      <c r="Z74" s="396">
        <f t="shared" si="14"/>
        <v>32000000</v>
      </c>
      <c r="AA74" s="397">
        <v>3.4594999999999999E-3</v>
      </c>
      <c r="AB74" s="374">
        <v>360</v>
      </c>
      <c r="AC74" s="399">
        <f t="shared" si="30"/>
        <v>39904</v>
      </c>
      <c r="AD74" s="399">
        <v>39934</v>
      </c>
      <c r="AE74" s="400">
        <f t="shared" si="0"/>
        <v>30</v>
      </c>
      <c r="AF74" s="401">
        <f t="shared" si="33"/>
        <v>9225.3333333333321</v>
      </c>
      <c r="AG74" s="363">
        <f>(32000000*0.03645)*30/AB74</f>
        <v>97200</v>
      </c>
      <c r="AH74" s="402">
        <f t="shared" si="2"/>
        <v>-87974.666666666672</v>
      </c>
      <c r="AI74" s="402"/>
      <c r="AJ74" s="381" t="s">
        <v>370</v>
      </c>
    </row>
    <row r="75" spans="2:47" x14ac:dyDescent="0.25">
      <c r="B75" s="396">
        <f t="shared" si="3"/>
        <v>32000000</v>
      </c>
      <c r="C75" s="397">
        <v>2.8433E-3</v>
      </c>
      <c r="D75" s="374">
        <v>360</v>
      </c>
      <c r="E75" s="399">
        <f t="shared" si="28"/>
        <v>39934</v>
      </c>
      <c r="F75" s="399">
        <v>39965</v>
      </c>
      <c r="G75" s="400">
        <f t="shared" si="6"/>
        <v>31</v>
      </c>
      <c r="H75" s="401">
        <f t="shared" si="7"/>
        <v>7834.8711111111115</v>
      </c>
      <c r="I75" s="363">
        <f>ROUND((32000000*0.03695)*30/D75,2)</f>
        <v>98533.33</v>
      </c>
      <c r="J75" s="402">
        <f t="shared" si="8"/>
        <v>-90698.458888888883</v>
      </c>
      <c r="K75" s="402"/>
      <c r="L75" s="381" t="s">
        <v>370</v>
      </c>
      <c r="N75" s="396">
        <f t="shared" si="9"/>
        <v>32000000</v>
      </c>
      <c r="O75" s="397">
        <v>2.8432800000000001E-3</v>
      </c>
      <c r="P75" s="374">
        <v>360</v>
      </c>
      <c r="Q75" s="399">
        <f t="shared" si="29"/>
        <v>39934</v>
      </c>
      <c r="R75" s="399">
        <v>39965</v>
      </c>
      <c r="S75" s="400">
        <f t="shared" si="12"/>
        <v>31</v>
      </c>
      <c r="T75" s="401">
        <f t="shared" si="32"/>
        <v>7834.8159999999998</v>
      </c>
      <c r="U75" s="363">
        <f>ROUND((32000000*0.03657)*30/P75,2)</f>
        <v>97520</v>
      </c>
      <c r="V75" s="402">
        <f t="shared" si="13"/>
        <v>-89685.183999999994</v>
      </c>
      <c r="W75" s="402"/>
      <c r="X75" s="381" t="s">
        <v>370</v>
      </c>
      <c r="Z75" s="396">
        <f t="shared" si="14"/>
        <v>32000000</v>
      </c>
      <c r="AA75" s="397">
        <v>2.8432800000000001E-3</v>
      </c>
      <c r="AB75" s="374">
        <v>360</v>
      </c>
      <c r="AC75" s="399">
        <f t="shared" si="30"/>
        <v>39934</v>
      </c>
      <c r="AD75" s="399">
        <v>39965</v>
      </c>
      <c r="AE75" s="400">
        <f t="shared" ref="AE75:AE127" si="41">AD75-AC75</f>
        <v>31</v>
      </c>
      <c r="AF75" s="401">
        <f t="shared" si="33"/>
        <v>7834.8159999999998</v>
      </c>
      <c r="AG75" s="363">
        <f>(32000000*0.03645)*30/AB75</f>
        <v>97200</v>
      </c>
      <c r="AH75" s="402">
        <f t="shared" ref="AH75:AH127" si="42">AF75-AG75</f>
        <v>-89365.183999999994</v>
      </c>
      <c r="AI75" s="402"/>
      <c r="AJ75" s="381" t="s">
        <v>370</v>
      </c>
    </row>
    <row r="76" spans="2:47" x14ac:dyDescent="0.25">
      <c r="B76" s="396">
        <f t="shared" ref="B76:B132" si="43">B75</f>
        <v>32000000</v>
      </c>
      <c r="C76" s="397">
        <v>2.176E-3</v>
      </c>
      <c r="D76" s="374">
        <v>360</v>
      </c>
      <c r="E76" s="399">
        <f t="shared" si="28"/>
        <v>39965</v>
      </c>
      <c r="F76" s="399">
        <v>39995</v>
      </c>
      <c r="G76" s="400">
        <f t="shared" ref="G76:G127" si="44">F76-E76</f>
        <v>30</v>
      </c>
      <c r="H76" s="401">
        <f t="shared" ref="H76:H132" si="45">G76/D76*C76*B76</f>
        <v>5802.6666666666661</v>
      </c>
      <c r="I76" s="363">
        <f>ROUND((32000000*0.03695)*30/D76,2)</f>
        <v>98533.33</v>
      </c>
      <c r="J76" s="402">
        <f t="shared" ref="J76:J127" si="46">H76-I76</f>
        <v>-92730.66333333333</v>
      </c>
      <c r="K76" s="402"/>
      <c r="L76" s="381" t="s">
        <v>370</v>
      </c>
      <c r="N76" s="396">
        <f t="shared" ref="N76:N132" si="47">N75</f>
        <v>32000000</v>
      </c>
      <c r="O76" s="397">
        <v>2.176E-3</v>
      </c>
      <c r="P76" s="374">
        <v>360</v>
      </c>
      <c r="Q76" s="399">
        <f t="shared" si="29"/>
        <v>39965</v>
      </c>
      <c r="R76" s="399">
        <v>39995</v>
      </c>
      <c r="S76" s="400">
        <f t="shared" ref="S76:S127" si="48">R76-Q76</f>
        <v>30</v>
      </c>
      <c r="T76" s="401">
        <f t="shared" si="32"/>
        <v>5802.6666666666661</v>
      </c>
      <c r="U76" s="363">
        <f>ROUND((32000000*0.03657)*30/P76,2)</f>
        <v>97520</v>
      </c>
      <c r="V76" s="402">
        <f t="shared" ref="V76:V127" si="49">T76-U76</f>
        <v>-91717.333333333328</v>
      </c>
      <c r="W76" s="402"/>
      <c r="X76" s="381" t="s">
        <v>370</v>
      </c>
      <c r="Z76" s="396">
        <f t="shared" ref="Z76:Z132" si="50">Z75</f>
        <v>32000000</v>
      </c>
      <c r="AA76" s="397">
        <v>2.176E-3</v>
      </c>
      <c r="AB76" s="374">
        <v>360</v>
      </c>
      <c r="AC76" s="399">
        <f t="shared" si="30"/>
        <v>39965</v>
      </c>
      <c r="AD76" s="399">
        <v>39995</v>
      </c>
      <c r="AE76" s="400">
        <f t="shared" si="41"/>
        <v>30</v>
      </c>
      <c r="AF76" s="401">
        <f t="shared" si="33"/>
        <v>5802.6666666666661</v>
      </c>
      <c r="AG76" s="363">
        <f>(32000000*0.03645)*30/AB76</f>
        <v>97200</v>
      </c>
      <c r="AH76" s="402">
        <f t="shared" si="42"/>
        <v>-91397.333333333328</v>
      </c>
      <c r="AI76" s="402"/>
      <c r="AJ76" s="381" t="s">
        <v>370</v>
      </c>
    </row>
    <row r="77" spans="2:47" x14ac:dyDescent="0.25">
      <c r="B77" s="396">
        <f t="shared" si="43"/>
        <v>32000000</v>
      </c>
      <c r="C77" s="397">
        <v>2.0994999999999998E-3</v>
      </c>
      <c r="D77" s="374">
        <v>360</v>
      </c>
      <c r="E77" s="399">
        <f t="shared" si="28"/>
        <v>39995</v>
      </c>
      <c r="F77" s="399">
        <v>40028</v>
      </c>
      <c r="G77" s="400">
        <f t="shared" si="44"/>
        <v>33</v>
      </c>
      <c r="H77" s="401">
        <f t="shared" si="45"/>
        <v>6158.5333333333319</v>
      </c>
      <c r="I77" s="363">
        <f>ROUND((32000000*0.03695)*32/D77,2)</f>
        <v>105102.22</v>
      </c>
      <c r="J77" s="402">
        <f t="shared" si="46"/>
        <v>-98943.686666666676</v>
      </c>
      <c r="K77" s="402"/>
      <c r="L77" s="381" t="s">
        <v>370</v>
      </c>
      <c r="N77" s="396">
        <f t="shared" si="47"/>
        <v>32000000</v>
      </c>
      <c r="O77" s="397">
        <v>2.0994999999999998E-3</v>
      </c>
      <c r="P77" s="374">
        <v>360</v>
      </c>
      <c r="Q77" s="399">
        <f t="shared" si="29"/>
        <v>39995</v>
      </c>
      <c r="R77" s="399">
        <v>40028</v>
      </c>
      <c r="S77" s="400">
        <f t="shared" si="48"/>
        <v>33</v>
      </c>
      <c r="T77" s="401">
        <f t="shared" si="32"/>
        <v>6158.5333333333319</v>
      </c>
      <c r="U77" s="363">
        <f>ROUND((32000000*0.03657)*32/P77,2)</f>
        <v>104021.33</v>
      </c>
      <c r="V77" s="402">
        <f t="shared" si="49"/>
        <v>-97862.796666666676</v>
      </c>
      <c r="W77" s="402"/>
      <c r="X77" s="381" t="s">
        <v>370</v>
      </c>
      <c r="Z77" s="396">
        <f t="shared" si="50"/>
        <v>32000000</v>
      </c>
      <c r="AA77" s="397">
        <v>2.0994999999999998E-3</v>
      </c>
      <c r="AB77" s="374">
        <v>360</v>
      </c>
      <c r="AC77" s="399">
        <f t="shared" si="30"/>
        <v>39995</v>
      </c>
      <c r="AD77" s="399">
        <v>40028</v>
      </c>
      <c r="AE77" s="400">
        <f t="shared" si="41"/>
        <v>33</v>
      </c>
      <c r="AF77" s="401">
        <f t="shared" si="33"/>
        <v>6158.5333333333319</v>
      </c>
      <c r="AG77" s="363">
        <f>(32000000*0.03645)*32/AB77</f>
        <v>103680</v>
      </c>
      <c r="AH77" s="402">
        <f t="shared" si="42"/>
        <v>-97521.466666666674</v>
      </c>
      <c r="AI77" s="402"/>
      <c r="AJ77" s="381" t="s">
        <v>370</v>
      </c>
    </row>
    <row r="78" spans="2:47" x14ac:dyDescent="0.25">
      <c r="B78" s="396">
        <f t="shared" si="43"/>
        <v>32000000</v>
      </c>
      <c r="C78" s="397">
        <v>1.90828E-3</v>
      </c>
      <c r="D78" s="374">
        <v>360</v>
      </c>
      <c r="E78" s="399">
        <f t="shared" si="28"/>
        <v>40028</v>
      </c>
      <c r="F78" s="399">
        <v>40057</v>
      </c>
      <c r="G78" s="400">
        <f t="shared" si="44"/>
        <v>29</v>
      </c>
      <c r="H78" s="401">
        <f t="shared" si="45"/>
        <v>4919.1217777777783</v>
      </c>
      <c r="I78" s="363">
        <f>ROUND((32000000*0.03695)*28/D78,2)</f>
        <v>91964.44</v>
      </c>
      <c r="J78" s="402">
        <f t="shared" si="46"/>
        <v>-87045.318222222224</v>
      </c>
      <c r="K78" s="402"/>
      <c r="L78" s="381" t="s">
        <v>370</v>
      </c>
      <c r="N78" s="396">
        <f t="shared" si="47"/>
        <v>32000000</v>
      </c>
      <c r="O78" s="397">
        <v>1.90828E-3</v>
      </c>
      <c r="P78" s="374">
        <v>360</v>
      </c>
      <c r="Q78" s="399">
        <f t="shared" si="29"/>
        <v>40028</v>
      </c>
      <c r="R78" s="399">
        <v>40057</v>
      </c>
      <c r="S78" s="400">
        <f t="shared" si="48"/>
        <v>29</v>
      </c>
      <c r="T78" s="401">
        <f t="shared" si="32"/>
        <v>4919.1217777777783</v>
      </c>
      <c r="U78" s="363">
        <f>ROUND((32000000*0.03657)*28/P78,2)</f>
        <v>91018.67</v>
      </c>
      <c r="V78" s="402">
        <f t="shared" si="49"/>
        <v>-86099.54822222222</v>
      </c>
      <c r="W78" s="402"/>
      <c r="X78" s="381" t="s">
        <v>370</v>
      </c>
      <c r="Z78" s="396">
        <f t="shared" si="50"/>
        <v>32000000</v>
      </c>
      <c r="AA78" s="367">
        <v>1.90828E-3</v>
      </c>
      <c r="AB78" s="374">
        <v>360</v>
      </c>
      <c r="AC78" s="399">
        <f t="shared" si="30"/>
        <v>40028</v>
      </c>
      <c r="AD78" s="399">
        <v>40057</v>
      </c>
      <c r="AE78" s="400">
        <f t="shared" si="41"/>
        <v>29</v>
      </c>
      <c r="AF78" s="401">
        <f t="shared" si="33"/>
        <v>4919.1217777777783</v>
      </c>
      <c r="AG78" s="363">
        <f>(32000000*0.03645)*28/AB78</f>
        <v>90720</v>
      </c>
      <c r="AH78" s="402">
        <f t="shared" si="42"/>
        <v>-85800.878222222222</v>
      </c>
      <c r="AI78" s="402"/>
      <c r="AJ78" s="381" t="s">
        <v>370</v>
      </c>
    </row>
    <row r="79" spans="2:47" x14ac:dyDescent="0.25">
      <c r="B79" s="396">
        <f t="shared" si="43"/>
        <v>32000000</v>
      </c>
      <c r="C79" s="397">
        <v>1.7765000000000001E-3</v>
      </c>
      <c r="D79" s="374">
        <v>360</v>
      </c>
      <c r="E79" s="399">
        <f t="shared" si="28"/>
        <v>40057</v>
      </c>
      <c r="F79" s="399">
        <v>40087</v>
      </c>
      <c r="G79" s="400">
        <f t="shared" si="44"/>
        <v>30</v>
      </c>
      <c r="H79" s="401">
        <f t="shared" si="45"/>
        <v>4737.333333333333</v>
      </c>
      <c r="I79" s="363">
        <f>ROUND((32000000*0.03695)*30/D79,2)</f>
        <v>98533.33</v>
      </c>
      <c r="J79" s="402">
        <f t="shared" si="46"/>
        <v>-93795.996666666673</v>
      </c>
      <c r="K79" s="402"/>
      <c r="L79" s="381" t="s">
        <v>370</v>
      </c>
      <c r="N79" s="396">
        <f t="shared" si="47"/>
        <v>32000000</v>
      </c>
      <c r="O79" s="397">
        <v>1.7765000000000001E-3</v>
      </c>
      <c r="P79" s="374">
        <v>360</v>
      </c>
      <c r="Q79" s="399">
        <f t="shared" si="29"/>
        <v>40057</v>
      </c>
      <c r="R79" s="399">
        <v>40087</v>
      </c>
      <c r="S79" s="400">
        <f t="shared" si="48"/>
        <v>30</v>
      </c>
      <c r="T79" s="401">
        <f t="shared" si="32"/>
        <v>4737.333333333333</v>
      </c>
      <c r="U79" s="363">
        <f>ROUND((32000000*0.03657)*30/P79,2)</f>
        <v>97520</v>
      </c>
      <c r="V79" s="402">
        <f t="shared" si="49"/>
        <v>-92782.666666666672</v>
      </c>
      <c r="W79" s="402"/>
      <c r="X79" s="381" t="s">
        <v>370</v>
      </c>
      <c r="Z79" s="396">
        <f t="shared" si="50"/>
        <v>32000000</v>
      </c>
      <c r="AA79" s="367">
        <v>1.7765000000000001E-3</v>
      </c>
      <c r="AB79" s="374">
        <v>360</v>
      </c>
      <c r="AC79" s="399">
        <f t="shared" si="30"/>
        <v>40057</v>
      </c>
      <c r="AD79" s="399">
        <v>40087</v>
      </c>
      <c r="AE79" s="400">
        <f t="shared" si="41"/>
        <v>30</v>
      </c>
      <c r="AF79" s="401">
        <f t="shared" si="33"/>
        <v>4737.333333333333</v>
      </c>
      <c r="AG79" s="363">
        <f>(32000000*0.03645)*30/AB79</f>
        <v>97200</v>
      </c>
      <c r="AH79" s="402">
        <f t="shared" si="42"/>
        <v>-92462.666666666672</v>
      </c>
      <c r="AI79" s="402"/>
      <c r="AJ79" s="381" t="s">
        <v>370</v>
      </c>
    </row>
    <row r="80" spans="2:47" x14ac:dyDescent="0.25">
      <c r="B80" s="396">
        <f t="shared" si="43"/>
        <v>32000000</v>
      </c>
      <c r="C80" s="397">
        <v>1.6745E-3</v>
      </c>
      <c r="D80" s="374">
        <v>360</v>
      </c>
      <c r="E80" s="399">
        <f t="shared" si="28"/>
        <v>40087</v>
      </c>
      <c r="F80" s="399">
        <v>40119</v>
      </c>
      <c r="G80" s="400">
        <f t="shared" si="44"/>
        <v>32</v>
      </c>
      <c r="H80" s="401">
        <f t="shared" si="45"/>
        <v>4763.0222222222219</v>
      </c>
      <c r="I80" s="363">
        <f>ROUND((32000000*0.03695)*31/D80,2)</f>
        <v>101817.78</v>
      </c>
      <c r="J80" s="402">
        <f t="shared" si="46"/>
        <v>-97054.757777777777</v>
      </c>
      <c r="K80" s="402"/>
      <c r="L80" s="381" t="s">
        <v>370</v>
      </c>
      <c r="N80" s="396">
        <f t="shared" si="47"/>
        <v>32000000</v>
      </c>
      <c r="O80" s="397">
        <v>1.6745E-3</v>
      </c>
      <c r="P80" s="374">
        <v>360</v>
      </c>
      <c r="Q80" s="399">
        <f t="shared" si="29"/>
        <v>40087</v>
      </c>
      <c r="R80" s="399">
        <v>40119</v>
      </c>
      <c r="S80" s="400">
        <f t="shared" si="48"/>
        <v>32</v>
      </c>
      <c r="T80" s="401">
        <f t="shared" si="32"/>
        <v>4763.0222222222219</v>
      </c>
      <c r="U80" s="363">
        <f>ROUND((32000000*0.03657)*31/P80,2)</f>
        <v>100770.67</v>
      </c>
      <c r="V80" s="402">
        <f t="shared" si="49"/>
        <v>-96007.647777777776</v>
      </c>
      <c r="W80" s="402"/>
      <c r="X80" s="381" t="s">
        <v>370</v>
      </c>
      <c r="Z80" s="396">
        <f t="shared" si="50"/>
        <v>32000000</v>
      </c>
      <c r="AA80" s="367">
        <v>1.6745E-3</v>
      </c>
      <c r="AB80" s="374">
        <v>360</v>
      </c>
      <c r="AC80" s="399">
        <f t="shared" si="30"/>
        <v>40087</v>
      </c>
      <c r="AD80" s="399">
        <v>40119</v>
      </c>
      <c r="AE80" s="400">
        <f t="shared" si="41"/>
        <v>32</v>
      </c>
      <c r="AF80" s="401">
        <f t="shared" si="33"/>
        <v>4763.0222222222219</v>
      </c>
      <c r="AG80" s="363">
        <f>(32000000*0.03645)*31/AB80</f>
        <v>100440</v>
      </c>
      <c r="AH80" s="402">
        <f t="shared" si="42"/>
        <v>-95676.977777777778</v>
      </c>
      <c r="AI80" s="402"/>
      <c r="AJ80" s="381" t="s">
        <v>370</v>
      </c>
    </row>
    <row r="81" spans="2:36" x14ac:dyDescent="0.25">
      <c r="B81" s="396">
        <f t="shared" si="43"/>
        <v>32000000</v>
      </c>
      <c r="C81" s="397">
        <v>1.6558E-3</v>
      </c>
      <c r="D81" s="374">
        <v>360</v>
      </c>
      <c r="E81" s="399">
        <f t="shared" si="28"/>
        <v>40119</v>
      </c>
      <c r="F81" s="399">
        <v>40148</v>
      </c>
      <c r="G81" s="400">
        <f t="shared" si="44"/>
        <v>29</v>
      </c>
      <c r="H81" s="401">
        <f t="shared" si="45"/>
        <v>4268.2844444444445</v>
      </c>
      <c r="I81" s="363">
        <f>ROUND((32000000*0.03695)*29/D81,2)</f>
        <v>95248.89</v>
      </c>
      <c r="J81" s="402">
        <f t="shared" si="46"/>
        <v>-90980.60555555555</v>
      </c>
      <c r="K81" s="402"/>
      <c r="L81" s="381" t="s">
        <v>370</v>
      </c>
      <c r="N81" s="396">
        <f t="shared" si="47"/>
        <v>32000000</v>
      </c>
      <c r="O81" s="397">
        <v>1.6558E-3</v>
      </c>
      <c r="P81" s="374">
        <v>360</v>
      </c>
      <c r="Q81" s="399">
        <f t="shared" si="29"/>
        <v>40119</v>
      </c>
      <c r="R81" s="399">
        <v>40148</v>
      </c>
      <c r="S81" s="400">
        <f t="shared" si="48"/>
        <v>29</v>
      </c>
      <c r="T81" s="401">
        <f t="shared" si="32"/>
        <v>4268.2844444444445</v>
      </c>
      <c r="U81" s="363">
        <f>ROUND((32000000*0.03657)*29/P81,2)</f>
        <v>94269.33</v>
      </c>
      <c r="V81" s="402">
        <f t="shared" si="49"/>
        <v>-90001.045555555553</v>
      </c>
      <c r="W81" s="402"/>
      <c r="X81" s="381" t="s">
        <v>370</v>
      </c>
      <c r="Z81" s="396">
        <f t="shared" si="50"/>
        <v>32000000</v>
      </c>
      <c r="AA81" s="367">
        <v>1.6558E-3</v>
      </c>
      <c r="AB81" s="374">
        <v>360</v>
      </c>
      <c r="AC81" s="399">
        <f t="shared" si="30"/>
        <v>40119</v>
      </c>
      <c r="AD81" s="399">
        <v>40148</v>
      </c>
      <c r="AE81" s="400">
        <f t="shared" si="41"/>
        <v>29</v>
      </c>
      <c r="AF81" s="401">
        <f t="shared" si="33"/>
        <v>4268.2844444444445</v>
      </c>
      <c r="AG81" s="363">
        <f>(32000000*0.03645)*29/AB81</f>
        <v>93960</v>
      </c>
      <c r="AH81" s="402">
        <f t="shared" si="42"/>
        <v>-89691.715555555551</v>
      </c>
      <c r="AI81" s="402"/>
      <c r="AJ81" s="381" t="s">
        <v>370</v>
      </c>
    </row>
    <row r="82" spans="2:36" x14ac:dyDescent="0.25">
      <c r="B82" s="396">
        <f t="shared" si="43"/>
        <v>32000000</v>
      </c>
      <c r="C82" s="397">
        <v>1.600108E-3</v>
      </c>
      <c r="D82" s="374">
        <v>360</v>
      </c>
      <c r="E82" s="399">
        <f t="shared" si="28"/>
        <v>40148</v>
      </c>
      <c r="F82" s="399">
        <v>40182</v>
      </c>
      <c r="G82" s="400">
        <f t="shared" si="44"/>
        <v>34</v>
      </c>
      <c r="H82" s="401">
        <f t="shared" si="45"/>
        <v>4835.8819555555556</v>
      </c>
      <c r="I82" s="363">
        <f>ROUND((32000000*0.03695)*33/D82,2)</f>
        <v>108386.67</v>
      </c>
      <c r="J82" s="402">
        <f t="shared" si="46"/>
        <v>-103550.78804444445</v>
      </c>
      <c r="K82" s="402"/>
      <c r="L82" s="381" t="s">
        <v>370</v>
      </c>
      <c r="N82" s="396">
        <f t="shared" si="47"/>
        <v>32000000</v>
      </c>
      <c r="O82" s="397">
        <v>1.600108E-3</v>
      </c>
      <c r="P82" s="374">
        <v>360</v>
      </c>
      <c r="Q82" s="399">
        <f t="shared" si="29"/>
        <v>40148</v>
      </c>
      <c r="R82" s="399">
        <v>40182</v>
      </c>
      <c r="S82" s="400">
        <f t="shared" si="48"/>
        <v>34</v>
      </c>
      <c r="T82" s="401">
        <f t="shared" si="32"/>
        <v>4835.8819555555556</v>
      </c>
      <c r="U82" s="363">
        <f>ROUND((32000000*0.03657)*33/P82,2)</f>
        <v>107272</v>
      </c>
      <c r="V82" s="402">
        <f t="shared" si="49"/>
        <v>-102436.11804444445</v>
      </c>
      <c r="W82" s="402"/>
      <c r="X82" s="381" t="s">
        <v>370</v>
      </c>
      <c r="Z82" s="396">
        <f t="shared" si="50"/>
        <v>32000000</v>
      </c>
      <c r="AA82" s="397">
        <v>1.600108E-3</v>
      </c>
      <c r="AB82" s="374">
        <v>360</v>
      </c>
      <c r="AC82" s="399">
        <f t="shared" si="30"/>
        <v>40148</v>
      </c>
      <c r="AD82" s="399">
        <v>40182</v>
      </c>
      <c r="AE82" s="400">
        <f t="shared" si="41"/>
        <v>34</v>
      </c>
      <c r="AF82" s="401">
        <f t="shared" si="33"/>
        <v>4835.8819555555556</v>
      </c>
      <c r="AG82" s="363">
        <f>(32000000*0.03645)*33/AB82</f>
        <v>106920</v>
      </c>
      <c r="AH82" s="402">
        <f t="shared" si="42"/>
        <v>-102084.11804444445</v>
      </c>
      <c r="AI82" s="402"/>
      <c r="AJ82" s="381" t="s">
        <v>370</v>
      </c>
    </row>
    <row r="83" spans="2:36" x14ac:dyDescent="0.25">
      <c r="B83" s="396">
        <f t="shared" si="43"/>
        <v>32000000</v>
      </c>
      <c r="C83" s="397">
        <v>1.5703900000000001E-3</v>
      </c>
      <c r="D83" s="374">
        <v>360</v>
      </c>
      <c r="E83" s="399">
        <f t="shared" si="28"/>
        <v>40182</v>
      </c>
      <c r="F83" s="399">
        <v>40210</v>
      </c>
      <c r="G83" s="400">
        <f t="shared" si="44"/>
        <v>28</v>
      </c>
      <c r="H83" s="401">
        <f t="shared" si="45"/>
        <v>3908.5262222222223</v>
      </c>
      <c r="I83" s="363">
        <f>ROUND((32000000*0.03695)*27/D83,2)</f>
        <v>88680</v>
      </c>
      <c r="J83" s="402">
        <f t="shared" si="46"/>
        <v>-84771.473777777777</v>
      </c>
      <c r="K83" s="402"/>
      <c r="L83" s="381" t="s">
        <v>370</v>
      </c>
      <c r="N83" s="396">
        <f t="shared" si="47"/>
        <v>32000000</v>
      </c>
      <c r="O83" s="397">
        <v>1.5703900000000001E-3</v>
      </c>
      <c r="P83" s="374">
        <v>360</v>
      </c>
      <c r="Q83" s="399">
        <f t="shared" si="29"/>
        <v>40182</v>
      </c>
      <c r="R83" s="399">
        <v>40210</v>
      </c>
      <c r="S83" s="400">
        <f t="shared" si="48"/>
        <v>28</v>
      </c>
      <c r="T83" s="401">
        <f t="shared" si="32"/>
        <v>3908.5262222222223</v>
      </c>
      <c r="U83" s="363">
        <f>ROUND((32000000*0.03657)*27/P83,2)</f>
        <v>87768</v>
      </c>
      <c r="V83" s="402">
        <f t="shared" si="49"/>
        <v>-83859.473777777777</v>
      </c>
      <c r="W83" s="402"/>
      <c r="X83" s="381" t="s">
        <v>370</v>
      </c>
      <c r="Z83" s="396">
        <f t="shared" si="50"/>
        <v>32000000</v>
      </c>
      <c r="AA83" s="397">
        <v>1.5703900000000001E-3</v>
      </c>
      <c r="AB83" s="374">
        <v>360</v>
      </c>
      <c r="AC83" s="399">
        <f t="shared" si="30"/>
        <v>40182</v>
      </c>
      <c r="AD83" s="399">
        <v>40210</v>
      </c>
      <c r="AE83" s="400">
        <f t="shared" si="41"/>
        <v>28</v>
      </c>
      <c r="AF83" s="401">
        <f t="shared" si="33"/>
        <v>3908.5262222222223</v>
      </c>
      <c r="AG83" s="363">
        <f>(32000000*0.03645)*27/AB83</f>
        <v>87480</v>
      </c>
      <c r="AH83" s="402">
        <f t="shared" si="42"/>
        <v>-83571.473777777777</v>
      </c>
      <c r="AI83" s="402"/>
      <c r="AJ83" s="381" t="s">
        <v>370</v>
      </c>
    </row>
    <row r="84" spans="2:36" x14ac:dyDescent="0.25">
      <c r="B84" s="396">
        <f t="shared" si="43"/>
        <v>32000000</v>
      </c>
      <c r="C84" s="397">
        <v>1.5555E-3</v>
      </c>
      <c r="D84" s="374">
        <v>360</v>
      </c>
      <c r="E84" s="399">
        <f t="shared" si="28"/>
        <v>40210</v>
      </c>
      <c r="F84" s="399">
        <v>40238</v>
      </c>
      <c r="G84" s="400">
        <f t="shared" si="44"/>
        <v>28</v>
      </c>
      <c r="H84" s="401">
        <f t="shared" si="45"/>
        <v>3871.4666666666667</v>
      </c>
      <c r="I84" s="363">
        <f>ROUND((32000000*0.03695)*30/D84,2)</f>
        <v>98533.33</v>
      </c>
      <c r="J84" s="402">
        <f t="shared" si="46"/>
        <v>-94661.863333333342</v>
      </c>
      <c r="K84" s="402"/>
      <c r="L84" s="381" t="s">
        <v>370</v>
      </c>
      <c r="N84" s="396">
        <f t="shared" si="47"/>
        <v>32000000</v>
      </c>
      <c r="O84" s="397">
        <v>1.5555E-3</v>
      </c>
      <c r="P84" s="374">
        <v>360</v>
      </c>
      <c r="Q84" s="399">
        <f t="shared" si="29"/>
        <v>40210</v>
      </c>
      <c r="R84" s="399">
        <v>40238</v>
      </c>
      <c r="S84" s="400">
        <f t="shared" si="48"/>
        <v>28</v>
      </c>
      <c r="T84" s="401">
        <f t="shared" si="32"/>
        <v>3871.4666666666667</v>
      </c>
      <c r="U84" s="363">
        <f>ROUND((32000000*0.03657)*30/P84,2)</f>
        <v>97520</v>
      </c>
      <c r="V84" s="402">
        <f t="shared" si="49"/>
        <v>-93648.53333333334</v>
      </c>
      <c r="W84" s="402"/>
      <c r="X84" s="381" t="s">
        <v>370</v>
      </c>
      <c r="Z84" s="396">
        <f t="shared" si="50"/>
        <v>32000000</v>
      </c>
      <c r="AA84" s="397">
        <v>1.5555E-3</v>
      </c>
      <c r="AB84" s="374">
        <v>360</v>
      </c>
      <c r="AC84" s="399">
        <f t="shared" si="30"/>
        <v>40210</v>
      </c>
      <c r="AD84" s="399">
        <v>40238</v>
      </c>
      <c r="AE84" s="400">
        <f t="shared" si="41"/>
        <v>28</v>
      </c>
      <c r="AF84" s="401">
        <f t="shared" si="33"/>
        <v>3871.4666666666667</v>
      </c>
      <c r="AG84" s="363">
        <f>(32000000*0.03645)*30/AB84</f>
        <v>97200</v>
      </c>
      <c r="AH84" s="402">
        <f t="shared" si="42"/>
        <v>-93328.53333333334</v>
      </c>
      <c r="AI84" s="402"/>
      <c r="AJ84" s="381" t="s">
        <v>370</v>
      </c>
    </row>
    <row r="85" spans="2:36" x14ac:dyDescent="0.25">
      <c r="B85" s="396">
        <f t="shared" si="43"/>
        <v>32000000</v>
      </c>
      <c r="C85" s="397">
        <v>1.5555E-3</v>
      </c>
      <c r="D85" s="374">
        <v>360</v>
      </c>
      <c r="E85" s="399">
        <f t="shared" si="28"/>
        <v>40238</v>
      </c>
      <c r="F85" s="399">
        <v>40269</v>
      </c>
      <c r="G85" s="400">
        <f t="shared" si="44"/>
        <v>31</v>
      </c>
      <c r="H85" s="401">
        <f t="shared" si="45"/>
        <v>4286.2666666666664</v>
      </c>
      <c r="I85" s="363">
        <f t="shared" ref="I85:I96" si="51">ROUND((32000000*0.03695)*(+DAYS360(E85,F85))/D85,2)</f>
        <v>98533.33</v>
      </c>
      <c r="J85" s="402">
        <f t="shared" si="46"/>
        <v>-94247.063333333339</v>
      </c>
      <c r="K85" s="402"/>
      <c r="L85" s="381" t="s">
        <v>370</v>
      </c>
      <c r="N85" s="396">
        <f t="shared" si="47"/>
        <v>32000000</v>
      </c>
      <c r="O85" s="397">
        <v>1.5555E-3</v>
      </c>
      <c r="P85" s="374">
        <v>360</v>
      </c>
      <c r="Q85" s="399">
        <f t="shared" si="29"/>
        <v>40238</v>
      </c>
      <c r="R85" s="399">
        <v>40269</v>
      </c>
      <c r="S85" s="400">
        <f t="shared" si="48"/>
        <v>31</v>
      </c>
      <c r="T85" s="401">
        <f t="shared" si="32"/>
        <v>4286.2666666666664</v>
      </c>
      <c r="U85" s="363">
        <f t="shared" ref="U85:U132" si="52">ROUND((32000000*0.03657)*(+DAYS360(Q85,R85))/P85,2)</f>
        <v>97520</v>
      </c>
      <c r="V85" s="402">
        <f t="shared" si="49"/>
        <v>-93233.733333333337</v>
      </c>
      <c r="W85" s="402"/>
      <c r="X85" s="381" t="s">
        <v>370</v>
      </c>
      <c r="Z85" s="396">
        <f t="shared" si="50"/>
        <v>32000000</v>
      </c>
      <c r="AA85" s="397">
        <v>1.5555E-3</v>
      </c>
      <c r="AB85" s="374">
        <v>360</v>
      </c>
      <c r="AC85" s="399">
        <f t="shared" si="30"/>
        <v>40238</v>
      </c>
      <c r="AD85" s="399">
        <v>40269</v>
      </c>
      <c r="AE85" s="400">
        <f t="shared" si="41"/>
        <v>31</v>
      </c>
      <c r="AF85" s="401">
        <f t="shared" si="33"/>
        <v>4286.2666666666664</v>
      </c>
      <c r="AG85" s="363">
        <f t="shared" ref="AG85:AG132" si="53">(32000000*0.03645)*(+DAYS360(AC85,AD85))/AB85</f>
        <v>97200</v>
      </c>
      <c r="AH85" s="402">
        <f t="shared" si="42"/>
        <v>-92913.733333333337</v>
      </c>
      <c r="AI85" s="402"/>
      <c r="AJ85" s="381" t="s">
        <v>370</v>
      </c>
    </row>
    <row r="86" spans="2:36" x14ac:dyDescent="0.25">
      <c r="B86" s="396">
        <f t="shared" si="43"/>
        <v>32000000</v>
      </c>
      <c r="C86" s="397">
        <v>1.69068E-3</v>
      </c>
      <c r="D86" s="374">
        <v>360</v>
      </c>
      <c r="E86" s="399">
        <f t="shared" si="28"/>
        <v>40269</v>
      </c>
      <c r="F86" s="399">
        <v>40302</v>
      </c>
      <c r="G86" s="400">
        <f t="shared" si="44"/>
        <v>33</v>
      </c>
      <c r="H86" s="401">
        <f t="shared" si="45"/>
        <v>4959.3279999999995</v>
      </c>
      <c r="I86" s="363">
        <f t="shared" si="51"/>
        <v>108386.67</v>
      </c>
      <c r="J86" s="402">
        <f t="shared" si="46"/>
        <v>-103427.342</v>
      </c>
      <c r="K86" s="402"/>
      <c r="L86" s="381" t="s">
        <v>370</v>
      </c>
      <c r="N86" s="396">
        <f t="shared" si="47"/>
        <v>32000000</v>
      </c>
      <c r="O86" s="397">
        <v>1.69068E-3</v>
      </c>
      <c r="P86" s="374">
        <v>360</v>
      </c>
      <c r="Q86" s="399">
        <f t="shared" si="29"/>
        <v>40269</v>
      </c>
      <c r="R86" s="399">
        <v>40302</v>
      </c>
      <c r="S86" s="400">
        <f t="shared" si="48"/>
        <v>33</v>
      </c>
      <c r="T86" s="401">
        <f t="shared" si="32"/>
        <v>4959.3279999999995</v>
      </c>
      <c r="U86" s="363">
        <f t="shared" si="52"/>
        <v>107272</v>
      </c>
      <c r="V86" s="402">
        <f t="shared" si="49"/>
        <v>-102312.67200000001</v>
      </c>
      <c r="W86" s="402"/>
      <c r="X86" s="381" t="s">
        <v>370</v>
      </c>
      <c r="Z86" s="396">
        <f t="shared" si="50"/>
        <v>32000000</v>
      </c>
      <c r="AA86" s="397">
        <v>1.69068E-3</v>
      </c>
      <c r="AB86" s="374">
        <v>360</v>
      </c>
      <c r="AC86" s="399">
        <f t="shared" si="30"/>
        <v>40269</v>
      </c>
      <c r="AD86" s="399">
        <v>40302</v>
      </c>
      <c r="AE86" s="400">
        <f t="shared" si="41"/>
        <v>33</v>
      </c>
      <c r="AF86" s="401">
        <f t="shared" si="33"/>
        <v>4959.3279999999995</v>
      </c>
      <c r="AG86" s="363">
        <f t="shared" si="53"/>
        <v>106920</v>
      </c>
      <c r="AH86" s="402">
        <f t="shared" si="42"/>
        <v>-101960.67200000001</v>
      </c>
      <c r="AI86" s="402"/>
      <c r="AJ86" s="381" t="s">
        <v>370</v>
      </c>
    </row>
    <row r="87" spans="2:36" x14ac:dyDescent="0.25">
      <c r="B87" s="396">
        <f t="shared" si="43"/>
        <v>32000000</v>
      </c>
      <c r="C87" s="397">
        <v>1.888088E-3</v>
      </c>
      <c r="D87" s="374">
        <v>360</v>
      </c>
      <c r="E87" s="399">
        <f t="shared" si="28"/>
        <v>40302</v>
      </c>
      <c r="F87" s="399">
        <v>40330</v>
      </c>
      <c r="G87" s="400">
        <f t="shared" si="44"/>
        <v>28</v>
      </c>
      <c r="H87" s="401">
        <f t="shared" si="45"/>
        <v>4699.2412444444444</v>
      </c>
      <c r="I87" s="363">
        <f t="shared" si="51"/>
        <v>88680</v>
      </c>
      <c r="J87" s="402">
        <f t="shared" si="46"/>
        <v>-83980.758755555551</v>
      </c>
      <c r="K87" s="402"/>
      <c r="L87" s="381" t="s">
        <v>370</v>
      </c>
      <c r="N87" s="396">
        <f t="shared" si="47"/>
        <v>32000000</v>
      </c>
      <c r="O87" s="397">
        <f t="shared" ref="O87:O128" si="54">+C87</f>
        <v>1.888088E-3</v>
      </c>
      <c r="P87" s="374">
        <v>360</v>
      </c>
      <c r="Q87" s="399">
        <f t="shared" si="29"/>
        <v>40302</v>
      </c>
      <c r="R87" s="399">
        <f t="shared" ref="R87:R98" si="55">+F87</f>
        <v>40330</v>
      </c>
      <c r="S87" s="400">
        <f t="shared" si="48"/>
        <v>28</v>
      </c>
      <c r="T87" s="401">
        <f t="shared" si="32"/>
        <v>4699.2412444444444</v>
      </c>
      <c r="U87" s="363">
        <f t="shared" si="52"/>
        <v>87768</v>
      </c>
      <c r="V87" s="402">
        <f t="shared" si="49"/>
        <v>-83068.758755555551</v>
      </c>
      <c r="W87" s="402"/>
      <c r="X87" s="381" t="s">
        <v>370</v>
      </c>
      <c r="Z87" s="396">
        <f t="shared" si="50"/>
        <v>32000000</v>
      </c>
      <c r="AA87" s="397">
        <f t="shared" ref="AA87:AA128" si="56">+O87</f>
        <v>1.888088E-3</v>
      </c>
      <c r="AB87" s="374">
        <v>360</v>
      </c>
      <c r="AC87" s="399">
        <f t="shared" si="30"/>
        <v>40302</v>
      </c>
      <c r="AD87" s="399">
        <f t="shared" ref="AD87:AD128" si="57">+F87</f>
        <v>40330</v>
      </c>
      <c r="AE87" s="400">
        <f t="shared" si="41"/>
        <v>28</v>
      </c>
      <c r="AF87" s="401">
        <f t="shared" si="33"/>
        <v>4699.2412444444444</v>
      </c>
      <c r="AG87" s="363">
        <f t="shared" si="53"/>
        <v>87480</v>
      </c>
      <c r="AH87" s="402">
        <f t="shared" si="42"/>
        <v>-82780.758755555551</v>
      </c>
      <c r="AI87" s="402"/>
      <c r="AJ87" s="381" t="s">
        <v>370</v>
      </c>
    </row>
    <row r="88" spans="2:36" x14ac:dyDescent="0.25">
      <c r="B88" s="396">
        <f t="shared" si="43"/>
        <v>32000000</v>
      </c>
      <c r="C88" s="397">
        <v>2.4055000000000001E-3</v>
      </c>
      <c r="D88" s="374">
        <v>360</v>
      </c>
      <c r="E88" s="399">
        <f t="shared" si="28"/>
        <v>40330</v>
      </c>
      <c r="F88" s="399">
        <v>40360</v>
      </c>
      <c r="G88" s="400">
        <f t="shared" si="44"/>
        <v>30</v>
      </c>
      <c r="H88" s="401">
        <f t="shared" si="45"/>
        <v>6414.666666666667</v>
      </c>
      <c r="I88" s="363">
        <f t="shared" si="51"/>
        <v>98533.33</v>
      </c>
      <c r="J88" s="402">
        <f t="shared" si="46"/>
        <v>-92118.66333333333</v>
      </c>
      <c r="K88" s="402"/>
      <c r="L88" s="381" t="s">
        <v>370</v>
      </c>
      <c r="N88" s="396">
        <f t="shared" si="47"/>
        <v>32000000</v>
      </c>
      <c r="O88" s="397">
        <f t="shared" si="54"/>
        <v>2.4055000000000001E-3</v>
      </c>
      <c r="P88" s="374">
        <v>360</v>
      </c>
      <c r="Q88" s="399">
        <f t="shared" si="29"/>
        <v>40330</v>
      </c>
      <c r="R88" s="399">
        <f t="shared" si="55"/>
        <v>40360</v>
      </c>
      <c r="S88" s="400">
        <f t="shared" si="48"/>
        <v>30</v>
      </c>
      <c r="T88" s="401">
        <f t="shared" si="32"/>
        <v>6414.666666666667</v>
      </c>
      <c r="U88" s="363">
        <f t="shared" si="52"/>
        <v>97520</v>
      </c>
      <c r="V88" s="402">
        <f t="shared" si="49"/>
        <v>-91105.333333333328</v>
      </c>
      <c r="W88" s="402"/>
      <c r="X88" s="381" t="s">
        <v>370</v>
      </c>
      <c r="Z88" s="396">
        <f t="shared" si="50"/>
        <v>32000000</v>
      </c>
      <c r="AA88" s="397">
        <f t="shared" si="56"/>
        <v>2.4055000000000001E-3</v>
      </c>
      <c r="AB88" s="374">
        <v>360</v>
      </c>
      <c r="AC88" s="399">
        <f t="shared" si="30"/>
        <v>40330</v>
      </c>
      <c r="AD88" s="399">
        <f t="shared" si="57"/>
        <v>40360</v>
      </c>
      <c r="AE88" s="400">
        <f t="shared" si="41"/>
        <v>30</v>
      </c>
      <c r="AF88" s="401">
        <f t="shared" si="33"/>
        <v>6414.666666666667</v>
      </c>
      <c r="AG88" s="363">
        <f t="shared" si="53"/>
        <v>97200</v>
      </c>
      <c r="AH88" s="402">
        <f t="shared" si="42"/>
        <v>-90785.333333333328</v>
      </c>
      <c r="AI88" s="402"/>
      <c r="AJ88" s="381" t="s">
        <v>370</v>
      </c>
    </row>
    <row r="89" spans="2:36" x14ac:dyDescent="0.25">
      <c r="B89" s="396">
        <f t="shared" si="43"/>
        <v>32000000</v>
      </c>
      <c r="C89" s="397">
        <v>2.3502839999999998E-3</v>
      </c>
      <c r="D89" s="374">
        <v>360</v>
      </c>
      <c r="E89" s="399">
        <f t="shared" si="28"/>
        <v>40360</v>
      </c>
      <c r="F89" s="399">
        <v>40392</v>
      </c>
      <c r="G89" s="400">
        <f t="shared" si="44"/>
        <v>32</v>
      </c>
      <c r="H89" s="401">
        <f t="shared" si="45"/>
        <v>6685.2522666666664</v>
      </c>
      <c r="I89" s="363">
        <f t="shared" si="51"/>
        <v>101817.78</v>
      </c>
      <c r="J89" s="402">
        <f t="shared" si="46"/>
        <v>-95132.527733333336</v>
      </c>
      <c r="K89" s="402"/>
      <c r="L89" s="381" t="s">
        <v>370</v>
      </c>
      <c r="N89" s="396">
        <f t="shared" si="47"/>
        <v>32000000</v>
      </c>
      <c r="O89" s="397">
        <f t="shared" si="54"/>
        <v>2.3502839999999998E-3</v>
      </c>
      <c r="P89" s="374">
        <v>360</v>
      </c>
      <c r="Q89" s="399">
        <f t="shared" si="29"/>
        <v>40360</v>
      </c>
      <c r="R89" s="399">
        <f t="shared" si="55"/>
        <v>40392</v>
      </c>
      <c r="S89" s="400">
        <f t="shared" si="48"/>
        <v>32</v>
      </c>
      <c r="T89" s="401">
        <f t="shared" si="32"/>
        <v>6685.2522666666664</v>
      </c>
      <c r="U89" s="363">
        <f t="shared" si="52"/>
        <v>100770.67</v>
      </c>
      <c r="V89" s="402">
        <f t="shared" si="49"/>
        <v>-94085.417733333335</v>
      </c>
      <c r="W89" s="402"/>
      <c r="X89" s="381" t="s">
        <v>370</v>
      </c>
      <c r="Z89" s="396">
        <f t="shared" si="50"/>
        <v>32000000</v>
      </c>
      <c r="AA89" s="397">
        <f t="shared" si="56"/>
        <v>2.3502839999999998E-3</v>
      </c>
      <c r="AB89" s="374">
        <v>360</v>
      </c>
      <c r="AC89" s="399">
        <f t="shared" si="30"/>
        <v>40360</v>
      </c>
      <c r="AD89" s="399">
        <f t="shared" si="57"/>
        <v>40392</v>
      </c>
      <c r="AE89" s="400">
        <f t="shared" si="41"/>
        <v>32</v>
      </c>
      <c r="AF89" s="401">
        <f t="shared" si="33"/>
        <v>6685.2522666666664</v>
      </c>
      <c r="AG89" s="363">
        <f t="shared" si="53"/>
        <v>100440</v>
      </c>
      <c r="AH89" s="402">
        <f t="shared" si="42"/>
        <v>-93754.747733333337</v>
      </c>
      <c r="AI89" s="402"/>
      <c r="AJ89" s="381" t="s">
        <v>370</v>
      </c>
    </row>
    <row r="90" spans="2:36" x14ac:dyDescent="0.25">
      <c r="B90" s="396">
        <f t="shared" si="43"/>
        <v>32000000</v>
      </c>
      <c r="C90" s="397">
        <v>2.1186080000000001E-3</v>
      </c>
      <c r="D90" s="374">
        <v>360</v>
      </c>
      <c r="E90" s="399">
        <f t="shared" si="28"/>
        <v>40392</v>
      </c>
      <c r="F90" s="399">
        <v>40422</v>
      </c>
      <c r="G90" s="400">
        <f t="shared" si="44"/>
        <v>30</v>
      </c>
      <c r="H90" s="401">
        <f t="shared" si="45"/>
        <v>5649.6213333333335</v>
      </c>
      <c r="I90" s="363">
        <f t="shared" si="51"/>
        <v>95248.89</v>
      </c>
      <c r="J90" s="402">
        <f t="shared" si="46"/>
        <v>-89599.26866666667</v>
      </c>
      <c r="K90" s="402"/>
      <c r="L90" s="381" t="s">
        <v>370</v>
      </c>
      <c r="N90" s="396">
        <f t="shared" si="47"/>
        <v>32000000</v>
      </c>
      <c r="O90" s="397">
        <f t="shared" si="54"/>
        <v>2.1186080000000001E-3</v>
      </c>
      <c r="P90" s="374">
        <v>360</v>
      </c>
      <c r="Q90" s="399">
        <f t="shared" si="29"/>
        <v>40392</v>
      </c>
      <c r="R90" s="399">
        <f t="shared" si="55"/>
        <v>40422</v>
      </c>
      <c r="S90" s="400">
        <f t="shared" si="48"/>
        <v>30</v>
      </c>
      <c r="T90" s="401">
        <f t="shared" si="32"/>
        <v>5649.6213333333335</v>
      </c>
      <c r="U90" s="363">
        <f t="shared" si="52"/>
        <v>94269.33</v>
      </c>
      <c r="V90" s="402">
        <f t="shared" si="49"/>
        <v>-88619.708666666673</v>
      </c>
      <c r="W90" s="402"/>
      <c r="X90" s="381" t="s">
        <v>370</v>
      </c>
      <c r="Z90" s="396">
        <f t="shared" si="50"/>
        <v>32000000</v>
      </c>
      <c r="AA90" s="397">
        <f t="shared" si="56"/>
        <v>2.1186080000000001E-3</v>
      </c>
      <c r="AB90" s="374">
        <v>360</v>
      </c>
      <c r="AC90" s="399">
        <f t="shared" si="30"/>
        <v>40392</v>
      </c>
      <c r="AD90" s="399">
        <f t="shared" si="57"/>
        <v>40422</v>
      </c>
      <c r="AE90" s="400">
        <f t="shared" si="41"/>
        <v>30</v>
      </c>
      <c r="AF90" s="401">
        <f t="shared" si="33"/>
        <v>5649.6213333333335</v>
      </c>
      <c r="AG90" s="363">
        <f t="shared" si="53"/>
        <v>93960</v>
      </c>
      <c r="AH90" s="402">
        <f t="shared" si="42"/>
        <v>-88310.378666666671</v>
      </c>
      <c r="AI90" s="402"/>
      <c r="AJ90" s="381" t="s">
        <v>370</v>
      </c>
    </row>
    <row r="91" spans="2:36" x14ac:dyDescent="0.25">
      <c r="B91" s="396">
        <f t="shared" si="43"/>
        <v>32000000</v>
      </c>
      <c r="C91" s="397">
        <v>1.763784E-3</v>
      </c>
      <c r="D91" s="374">
        <v>360</v>
      </c>
      <c r="E91" s="399">
        <f t="shared" si="28"/>
        <v>40422</v>
      </c>
      <c r="F91" s="399">
        <v>40452</v>
      </c>
      <c r="G91" s="400">
        <f t="shared" si="44"/>
        <v>30</v>
      </c>
      <c r="H91" s="401">
        <f t="shared" si="45"/>
        <v>4703.4239999999991</v>
      </c>
      <c r="I91" s="363">
        <f t="shared" si="51"/>
        <v>98533.33</v>
      </c>
      <c r="J91" s="402">
        <f t="shared" si="46"/>
        <v>-93829.906000000003</v>
      </c>
      <c r="K91" s="402"/>
      <c r="L91" s="381" t="s">
        <v>370</v>
      </c>
      <c r="N91" s="396">
        <f t="shared" si="47"/>
        <v>32000000</v>
      </c>
      <c r="O91" s="397">
        <f t="shared" si="54"/>
        <v>1.763784E-3</v>
      </c>
      <c r="P91" s="374">
        <v>360</v>
      </c>
      <c r="Q91" s="399">
        <f t="shared" si="29"/>
        <v>40422</v>
      </c>
      <c r="R91" s="399">
        <f t="shared" si="55"/>
        <v>40452</v>
      </c>
      <c r="S91" s="400">
        <f t="shared" si="48"/>
        <v>30</v>
      </c>
      <c r="T91" s="401">
        <f t="shared" si="32"/>
        <v>4703.4239999999991</v>
      </c>
      <c r="U91" s="363">
        <f t="shared" si="52"/>
        <v>97520</v>
      </c>
      <c r="V91" s="402">
        <f t="shared" si="49"/>
        <v>-92816.576000000001</v>
      </c>
      <c r="W91" s="402"/>
      <c r="X91" s="381" t="s">
        <v>370</v>
      </c>
      <c r="Z91" s="396">
        <f t="shared" si="50"/>
        <v>32000000</v>
      </c>
      <c r="AA91" s="397">
        <f t="shared" si="56"/>
        <v>1.763784E-3</v>
      </c>
      <c r="AB91" s="374">
        <v>360</v>
      </c>
      <c r="AC91" s="399">
        <f t="shared" si="30"/>
        <v>40422</v>
      </c>
      <c r="AD91" s="399">
        <f t="shared" si="57"/>
        <v>40452</v>
      </c>
      <c r="AE91" s="400">
        <f t="shared" si="41"/>
        <v>30</v>
      </c>
      <c r="AF91" s="401">
        <f t="shared" si="33"/>
        <v>4703.4239999999991</v>
      </c>
      <c r="AG91" s="363">
        <f t="shared" si="53"/>
        <v>97200</v>
      </c>
      <c r="AH91" s="402">
        <f t="shared" si="42"/>
        <v>-92496.576000000001</v>
      </c>
      <c r="AI91" s="402"/>
      <c r="AJ91" s="381" t="s">
        <v>370</v>
      </c>
    </row>
    <row r="92" spans="2:36" x14ac:dyDescent="0.25">
      <c r="B92" s="396">
        <f t="shared" si="43"/>
        <v>32000000</v>
      </c>
      <c r="C92" s="397">
        <v>1.7424999999999999E-3</v>
      </c>
      <c r="D92" s="374">
        <v>360</v>
      </c>
      <c r="E92" s="399">
        <f t="shared" si="28"/>
        <v>40452</v>
      </c>
      <c r="F92" s="399">
        <v>40483</v>
      </c>
      <c r="G92" s="400">
        <f t="shared" si="44"/>
        <v>31</v>
      </c>
      <c r="H92" s="401">
        <f t="shared" si="45"/>
        <v>4801.5555555555557</v>
      </c>
      <c r="I92" s="363">
        <f t="shared" si="51"/>
        <v>98533.33</v>
      </c>
      <c r="J92" s="402">
        <f t="shared" si="46"/>
        <v>-93731.77444444444</v>
      </c>
      <c r="K92" s="402"/>
      <c r="L92" s="381" t="s">
        <v>370</v>
      </c>
      <c r="N92" s="396">
        <f t="shared" si="47"/>
        <v>32000000</v>
      </c>
      <c r="O92" s="397">
        <f t="shared" si="54"/>
        <v>1.7424999999999999E-3</v>
      </c>
      <c r="P92" s="374">
        <v>360</v>
      </c>
      <c r="Q92" s="399">
        <f t="shared" si="29"/>
        <v>40452</v>
      </c>
      <c r="R92" s="399">
        <f t="shared" si="55"/>
        <v>40483</v>
      </c>
      <c r="S92" s="400">
        <f t="shared" si="48"/>
        <v>31</v>
      </c>
      <c r="T92" s="401">
        <f t="shared" si="32"/>
        <v>4801.5555555555557</v>
      </c>
      <c r="U92" s="363">
        <f t="shared" si="52"/>
        <v>97520</v>
      </c>
      <c r="V92" s="402">
        <f t="shared" si="49"/>
        <v>-92718.444444444438</v>
      </c>
      <c r="W92" s="402"/>
      <c r="X92" s="381" t="s">
        <v>370</v>
      </c>
      <c r="Z92" s="396">
        <f t="shared" si="50"/>
        <v>32000000</v>
      </c>
      <c r="AA92" s="397">
        <f t="shared" si="56"/>
        <v>1.7424999999999999E-3</v>
      </c>
      <c r="AB92" s="374">
        <v>360</v>
      </c>
      <c r="AC92" s="399">
        <f t="shared" si="30"/>
        <v>40452</v>
      </c>
      <c r="AD92" s="399">
        <f t="shared" si="57"/>
        <v>40483</v>
      </c>
      <c r="AE92" s="400">
        <f t="shared" si="41"/>
        <v>31</v>
      </c>
      <c r="AF92" s="401">
        <f t="shared" si="33"/>
        <v>4801.5555555555557</v>
      </c>
      <c r="AG92" s="363">
        <f t="shared" si="53"/>
        <v>97200</v>
      </c>
      <c r="AH92" s="402">
        <f t="shared" si="42"/>
        <v>-92398.444444444438</v>
      </c>
      <c r="AI92" s="402"/>
      <c r="AJ92" s="381" t="s">
        <v>370</v>
      </c>
    </row>
    <row r="93" spans="2:36" x14ac:dyDescent="0.25">
      <c r="B93" s="396">
        <f t="shared" si="43"/>
        <v>32000000</v>
      </c>
      <c r="C93" s="397">
        <v>1.7276080000000001E-3</v>
      </c>
      <c r="D93" s="374">
        <v>360</v>
      </c>
      <c r="E93" s="399">
        <f t="shared" si="28"/>
        <v>40483</v>
      </c>
      <c r="F93" s="399">
        <v>40513</v>
      </c>
      <c r="G93" s="400">
        <f t="shared" si="44"/>
        <v>30</v>
      </c>
      <c r="H93" s="401">
        <f t="shared" si="45"/>
        <v>4606.9546666666665</v>
      </c>
      <c r="I93" s="363">
        <f t="shared" si="51"/>
        <v>98533.33</v>
      </c>
      <c r="J93" s="402">
        <f t="shared" si="46"/>
        <v>-93926.37533333333</v>
      </c>
      <c r="K93" s="402"/>
      <c r="L93" s="381" t="s">
        <v>370</v>
      </c>
      <c r="N93" s="396">
        <f t="shared" si="47"/>
        <v>32000000</v>
      </c>
      <c r="O93" s="397">
        <f t="shared" si="54"/>
        <v>1.7276080000000001E-3</v>
      </c>
      <c r="P93" s="374">
        <v>360</v>
      </c>
      <c r="Q93" s="399">
        <f t="shared" si="29"/>
        <v>40483</v>
      </c>
      <c r="R93" s="399">
        <f t="shared" si="55"/>
        <v>40513</v>
      </c>
      <c r="S93" s="400">
        <f t="shared" si="48"/>
        <v>30</v>
      </c>
      <c r="T93" s="401">
        <f t="shared" si="32"/>
        <v>4606.9546666666665</v>
      </c>
      <c r="U93" s="363">
        <f t="shared" si="52"/>
        <v>97520</v>
      </c>
      <c r="V93" s="402">
        <f t="shared" si="49"/>
        <v>-92913.045333333328</v>
      </c>
      <c r="W93" s="402"/>
      <c r="X93" s="381" t="s">
        <v>370</v>
      </c>
      <c r="Z93" s="396">
        <f t="shared" si="50"/>
        <v>32000000</v>
      </c>
      <c r="AA93" s="397">
        <f t="shared" si="56"/>
        <v>1.7276080000000001E-3</v>
      </c>
      <c r="AB93" s="374">
        <v>360</v>
      </c>
      <c r="AC93" s="399">
        <f t="shared" si="30"/>
        <v>40483</v>
      </c>
      <c r="AD93" s="399">
        <f t="shared" si="57"/>
        <v>40513</v>
      </c>
      <c r="AE93" s="400">
        <f t="shared" si="41"/>
        <v>30</v>
      </c>
      <c r="AF93" s="401">
        <f t="shared" si="33"/>
        <v>4606.9546666666665</v>
      </c>
      <c r="AG93" s="363">
        <f t="shared" si="53"/>
        <v>97200</v>
      </c>
      <c r="AH93" s="402">
        <f t="shared" si="42"/>
        <v>-92593.045333333328</v>
      </c>
      <c r="AI93" s="402"/>
      <c r="AJ93" s="381" t="s">
        <v>370</v>
      </c>
    </row>
    <row r="94" spans="2:36" x14ac:dyDescent="0.25">
      <c r="B94" s="396">
        <f t="shared" si="43"/>
        <v>32000000</v>
      </c>
      <c r="C94" s="397">
        <v>1.751E-3</v>
      </c>
      <c r="D94" s="374">
        <v>360</v>
      </c>
      <c r="E94" s="399">
        <f t="shared" si="28"/>
        <v>40513</v>
      </c>
      <c r="F94" s="399">
        <v>40547</v>
      </c>
      <c r="G94" s="400">
        <f t="shared" si="44"/>
        <v>34</v>
      </c>
      <c r="H94" s="401">
        <f t="shared" si="45"/>
        <v>5291.9111111111106</v>
      </c>
      <c r="I94" s="363">
        <f t="shared" si="51"/>
        <v>108386.67</v>
      </c>
      <c r="J94" s="402">
        <f t="shared" si="46"/>
        <v>-103094.75888888889</v>
      </c>
      <c r="K94" s="402"/>
      <c r="L94" s="381" t="s">
        <v>370</v>
      </c>
      <c r="N94" s="396">
        <f t="shared" si="47"/>
        <v>32000000</v>
      </c>
      <c r="O94" s="397">
        <f t="shared" si="54"/>
        <v>1.751E-3</v>
      </c>
      <c r="P94" s="374">
        <v>360</v>
      </c>
      <c r="Q94" s="399">
        <f t="shared" si="29"/>
        <v>40513</v>
      </c>
      <c r="R94" s="399">
        <f t="shared" si="55"/>
        <v>40547</v>
      </c>
      <c r="S94" s="400">
        <f t="shared" si="48"/>
        <v>34</v>
      </c>
      <c r="T94" s="401">
        <f t="shared" si="32"/>
        <v>5291.9111111111106</v>
      </c>
      <c r="U94" s="363">
        <f t="shared" si="52"/>
        <v>107272</v>
      </c>
      <c r="V94" s="402">
        <f t="shared" si="49"/>
        <v>-101980.08888888889</v>
      </c>
      <c r="W94" s="402"/>
      <c r="X94" s="381" t="s">
        <v>370</v>
      </c>
      <c r="Z94" s="396">
        <f t="shared" si="50"/>
        <v>32000000</v>
      </c>
      <c r="AA94" s="397">
        <f t="shared" si="56"/>
        <v>1.751E-3</v>
      </c>
      <c r="AB94" s="374">
        <v>360</v>
      </c>
      <c r="AC94" s="399">
        <f t="shared" si="30"/>
        <v>40513</v>
      </c>
      <c r="AD94" s="399">
        <f t="shared" si="57"/>
        <v>40547</v>
      </c>
      <c r="AE94" s="400">
        <f t="shared" si="41"/>
        <v>34</v>
      </c>
      <c r="AF94" s="401">
        <f t="shared" si="33"/>
        <v>5291.9111111111106</v>
      </c>
      <c r="AG94" s="363">
        <f t="shared" si="53"/>
        <v>106920</v>
      </c>
      <c r="AH94" s="402">
        <f t="shared" si="42"/>
        <v>-101628.08888888889</v>
      </c>
      <c r="AI94" s="402"/>
      <c r="AJ94" s="381" t="s">
        <v>370</v>
      </c>
    </row>
    <row r="95" spans="2:36" x14ac:dyDescent="0.25">
      <c r="B95" s="396">
        <f t="shared" si="43"/>
        <v>32000000</v>
      </c>
      <c r="C95" s="397">
        <v>1.7722840000000001E-3</v>
      </c>
      <c r="D95" s="374">
        <v>360</v>
      </c>
      <c r="E95" s="399">
        <f t="shared" si="28"/>
        <v>40547</v>
      </c>
      <c r="F95" s="399">
        <v>40575</v>
      </c>
      <c r="G95" s="400">
        <f t="shared" si="44"/>
        <v>28</v>
      </c>
      <c r="H95" s="401">
        <f t="shared" si="45"/>
        <v>4411.0179555555551</v>
      </c>
      <c r="I95" s="363">
        <f t="shared" si="51"/>
        <v>88680</v>
      </c>
      <c r="J95" s="402">
        <f t="shared" si="46"/>
        <v>-84268.982044444449</v>
      </c>
      <c r="K95" s="402"/>
      <c r="L95" s="381" t="s">
        <v>370</v>
      </c>
      <c r="N95" s="396">
        <f t="shared" si="47"/>
        <v>32000000</v>
      </c>
      <c r="O95" s="397">
        <f t="shared" si="54"/>
        <v>1.7722840000000001E-3</v>
      </c>
      <c r="P95" s="374">
        <v>360</v>
      </c>
      <c r="Q95" s="399">
        <f t="shared" si="29"/>
        <v>40547</v>
      </c>
      <c r="R95" s="399">
        <f t="shared" si="55"/>
        <v>40575</v>
      </c>
      <c r="S95" s="400">
        <f t="shared" si="48"/>
        <v>28</v>
      </c>
      <c r="T95" s="401">
        <f t="shared" si="32"/>
        <v>4411.0179555555551</v>
      </c>
      <c r="U95" s="363">
        <f t="shared" si="52"/>
        <v>87768</v>
      </c>
      <c r="V95" s="402">
        <f t="shared" si="49"/>
        <v>-83356.982044444449</v>
      </c>
      <c r="W95" s="402"/>
      <c r="X95" s="381" t="s">
        <v>370</v>
      </c>
      <c r="Z95" s="396">
        <f t="shared" si="50"/>
        <v>32000000</v>
      </c>
      <c r="AA95" s="397">
        <f t="shared" si="56"/>
        <v>1.7722840000000001E-3</v>
      </c>
      <c r="AB95" s="374">
        <v>360</v>
      </c>
      <c r="AC95" s="399">
        <f t="shared" si="30"/>
        <v>40547</v>
      </c>
      <c r="AD95" s="399">
        <f t="shared" si="57"/>
        <v>40575</v>
      </c>
      <c r="AE95" s="400">
        <f t="shared" si="41"/>
        <v>28</v>
      </c>
      <c r="AF95" s="401">
        <f t="shared" si="33"/>
        <v>4411.0179555555551</v>
      </c>
      <c r="AG95" s="363">
        <f t="shared" si="53"/>
        <v>87480</v>
      </c>
      <c r="AH95" s="402">
        <f t="shared" si="42"/>
        <v>-83068.982044444449</v>
      </c>
      <c r="AI95" s="402"/>
      <c r="AJ95" s="381" t="s">
        <v>370</v>
      </c>
    </row>
    <row r="96" spans="2:36" x14ac:dyDescent="0.25">
      <c r="B96" s="396">
        <f t="shared" si="43"/>
        <v>32000000</v>
      </c>
      <c r="C96" s="397">
        <v>1.768E-3</v>
      </c>
      <c r="D96" s="374">
        <v>360</v>
      </c>
      <c r="E96" s="399">
        <f t="shared" si="28"/>
        <v>40575</v>
      </c>
      <c r="F96" s="399">
        <v>40603</v>
      </c>
      <c r="G96" s="400">
        <f t="shared" si="44"/>
        <v>28</v>
      </c>
      <c r="H96" s="401">
        <f t="shared" si="45"/>
        <v>4400.3555555555558</v>
      </c>
      <c r="I96" s="363">
        <f t="shared" si="51"/>
        <v>98533.33</v>
      </c>
      <c r="J96" s="402">
        <f t="shared" si="46"/>
        <v>-94132.974444444451</v>
      </c>
      <c r="K96" s="402"/>
      <c r="L96" s="381" t="s">
        <v>370</v>
      </c>
      <c r="N96" s="396">
        <f t="shared" si="47"/>
        <v>32000000</v>
      </c>
      <c r="O96" s="397">
        <f t="shared" si="54"/>
        <v>1.768E-3</v>
      </c>
      <c r="P96" s="374">
        <v>360</v>
      </c>
      <c r="Q96" s="399">
        <f t="shared" si="29"/>
        <v>40575</v>
      </c>
      <c r="R96" s="399">
        <f t="shared" si="55"/>
        <v>40603</v>
      </c>
      <c r="S96" s="400">
        <f t="shared" si="48"/>
        <v>28</v>
      </c>
      <c r="T96" s="401">
        <f t="shared" si="32"/>
        <v>4400.3555555555558</v>
      </c>
      <c r="U96" s="363">
        <f t="shared" si="52"/>
        <v>97520</v>
      </c>
      <c r="V96" s="402">
        <f t="shared" si="49"/>
        <v>-93119.64444444445</v>
      </c>
      <c r="W96" s="402"/>
      <c r="X96" s="381" t="s">
        <v>370</v>
      </c>
      <c r="Z96" s="396">
        <f t="shared" si="50"/>
        <v>32000000</v>
      </c>
      <c r="AA96" s="397">
        <f t="shared" si="56"/>
        <v>1.768E-3</v>
      </c>
      <c r="AB96" s="374">
        <v>360</v>
      </c>
      <c r="AC96" s="399">
        <f t="shared" si="30"/>
        <v>40575</v>
      </c>
      <c r="AD96" s="399">
        <f t="shared" si="57"/>
        <v>40603</v>
      </c>
      <c r="AE96" s="400">
        <f t="shared" si="41"/>
        <v>28</v>
      </c>
      <c r="AF96" s="401">
        <f t="shared" si="33"/>
        <v>4400.3555555555558</v>
      </c>
      <c r="AG96" s="363">
        <f t="shared" si="53"/>
        <v>97200</v>
      </c>
      <c r="AH96" s="402">
        <f t="shared" si="42"/>
        <v>-92799.64444444445</v>
      </c>
      <c r="AI96" s="402"/>
      <c r="AJ96" s="381" t="s">
        <v>370</v>
      </c>
    </row>
    <row r="97" spans="2:36" x14ac:dyDescent="0.25">
      <c r="B97" s="396">
        <f t="shared" si="43"/>
        <v>32000000</v>
      </c>
      <c r="C97" s="397">
        <v>1.7748E-3</v>
      </c>
      <c r="D97" s="374">
        <v>360</v>
      </c>
      <c r="E97" s="399">
        <f t="shared" si="28"/>
        <v>40603</v>
      </c>
      <c r="F97" s="399">
        <v>40634</v>
      </c>
      <c r="G97" s="400">
        <f t="shared" si="44"/>
        <v>31</v>
      </c>
      <c r="H97" s="401">
        <f t="shared" si="45"/>
        <v>4890.5599999999995</v>
      </c>
      <c r="I97" s="363">
        <f>ROUND((32000000*0.03695)*(+DAYS360(E97,F97))/D97,2)</f>
        <v>98533.33</v>
      </c>
      <c r="J97" s="402">
        <f t="shared" si="46"/>
        <v>-93642.77</v>
      </c>
      <c r="K97" s="402"/>
      <c r="L97" s="381" t="s">
        <v>370</v>
      </c>
      <c r="N97" s="396">
        <f t="shared" si="47"/>
        <v>32000000</v>
      </c>
      <c r="O97" s="397">
        <f t="shared" si="54"/>
        <v>1.7748E-3</v>
      </c>
      <c r="P97" s="374">
        <v>360</v>
      </c>
      <c r="Q97" s="399">
        <f t="shared" si="29"/>
        <v>40603</v>
      </c>
      <c r="R97" s="399">
        <f t="shared" si="55"/>
        <v>40634</v>
      </c>
      <c r="S97" s="400">
        <f t="shared" si="48"/>
        <v>31</v>
      </c>
      <c r="T97" s="401">
        <f t="shared" si="32"/>
        <v>4890.5599999999995</v>
      </c>
      <c r="U97" s="363">
        <f t="shared" si="52"/>
        <v>97520</v>
      </c>
      <c r="V97" s="402">
        <f t="shared" si="49"/>
        <v>-92629.440000000002</v>
      </c>
      <c r="W97" s="402"/>
      <c r="X97" s="381" t="s">
        <v>370</v>
      </c>
      <c r="Z97" s="396">
        <f t="shared" si="50"/>
        <v>32000000</v>
      </c>
      <c r="AA97" s="397">
        <f t="shared" si="56"/>
        <v>1.7748E-3</v>
      </c>
      <c r="AB97" s="374">
        <v>360</v>
      </c>
      <c r="AC97" s="399">
        <f t="shared" si="30"/>
        <v>40603</v>
      </c>
      <c r="AD97" s="399">
        <f t="shared" si="57"/>
        <v>40634</v>
      </c>
      <c r="AE97" s="400">
        <f t="shared" si="41"/>
        <v>31</v>
      </c>
      <c r="AF97" s="401">
        <f t="shared" si="33"/>
        <v>4890.5599999999995</v>
      </c>
      <c r="AG97" s="363">
        <f t="shared" si="53"/>
        <v>97200</v>
      </c>
      <c r="AH97" s="402">
        <f t="shared" si="42"/>
        <v>-92309.440000000002</v>
      </c>
      <c r="AI97" s="402"/>
      <c r="AJ97" s="381" t="s">
        <v>370</v>
      </c>
    </row>
    <row r="98" spans="2:36" x14ac:dyDescent="0.25">
      <c r="B98" s="396">
        <f t="shared" si="43"/>
        <v>32000000</v>
      </c>
      <c r="C98" s="397">
        <v>1.6578400000000001E-3</v>
      </c>
      <c r="D98" s="374">
        <v>360</v>
      </c>
      <c r="E98" s="399">
        <f t="shared" si="28"/>
        <v>40634</v>
      </c>
      <c r="F98" s="399">
        <v>40666</v>
      </c>
      <c r="G98" s="400">
        <f t="shared" si="44"/>
        <v>32</v>
      </c>
      <c r="H98" s="401">
        <f t="shared" si="45"/>
        <v>4715.6337777777781</v>
      </c>
      <c r="I98" s="363">
        <f>ROUND((32000000*0.03695)*(+DAYS360(E98,F98))/D98,2)</f>
        <v>105102.22</v>
      </c>
      <c r="J98" s="402">
        <f t="shared" si="46"/>
        <v>-100386.58622222222</v>
      </c>
      <c r="K98" s="402"/>
      <c r="L98" s="381" t="s">
        <v>370</v>
      </c>
      <c r="N98" s="396">
        <f t="shared" si="47"/>
        <v>32000000</v>
      </c>
      <c r="O98" s="397">
        <f t="shared" si="54"/>
        <v>1.6578400000000001E-3</v>
      </c>
      <c r="P98" s="374">
        <v>360</v>
      </c>
      <c r="Q98" s="399">
        <f t="shared" si="29"/>
        <v>40634</v>
      </c>
      <c r="R98" s="399">
        <f t="shared" si="55"/>
        <v>40666</v>
      </c>
      <c r="S98" s="400">
        <f t="shared" si="48"/>
        <v>32</v>
      </c>
      <c r="T98" s="401">
        <f t="shared" si="32"/>
        <v>4715.6337777777781</v>
      </c>
      <c r="U98" s="363">
        <f t="shared" si="52"/>
        <v>104021.33</v>
      </c>
      <c r="V98" s="402">
        <f t="shared" si="49"/>
        <v>-99305.696222222221</v>
      </c>
      <c r="W98" s="402"/>
      <c r="X98" s="381" t="s">
        <v>370</v>
      </c>
      <c r="Z98" s="396">
        <f t="shared" si="50"/>
        <v>32000000</v>
      </c>
      <c r="AA98" s="397">
        <f t="shared" si="56"/>
        <v>1.6578400000000001E-3</v>
      </c>
      <c r="AB98" s="374">
        <v>360</v>
      </c>
      <c r="AC98" s="399">
        <f t="shared" si="30"/>
        <v>40634</v>
      </c>
      <c r="AD98" s="399">
        <f t="shared" si="57"/>
        <v>40666</v>
      </c>
      <c r="AE98" s="400">
        <f t="shared" si="41"/>
        <v>32</v>
      </c>
      <c r="AF98" s="401">
        <f t="shared" si="33"/>
        <v>4715.6337777777781</v>
      </c>
      <c r="AG98" s="363">
        <f t="shared" si="53"/>
        <v>103680</v>
      </c>
      <c r="AH98" s="402">
        <f t="shared" si="42"/>
        <v>-98964.366222222219</v>
      </c>
      <c r="AI98" s="402"/>
      <c r="AJ98" s="381" t="s">
        <v>370</v>
      </c>
    </row>
    <row r="99" spans="2:36" x14ac:dyDescent="0.25">
      <c r="B99" s="396">
        <f t="shared" si="43"/>
        <v>32000000</v>
      </c>
      <c r="C99" s="397">
        <v>1.4314E-3</v>
      </c>
      <c r="D99" s="374">
        <v>360</v>
      </c>
      <c r="E99" s="399">
        <f t="shared" si="28"/>
        <v>40666</v>
      </c>
      <c r="F99" s="399">
        <v>40695</v>
      </c>
      <c r="G99" s="400">
        <f t="shared" si="44"/>
        <v>29</v>
      </c>
      <c r="H99" s="401">
        <f t="shared" si="45"/>
        <v>3689.8311111111116</v>
      </c>
      <c r="I99" s="363">
        <f>ROUND((32000000*0.03695)*(+DAYS360(E99,F99))/D99,2)</f>
        <v>91964.44</v>
      </c>
      <c r="J99" s="402">
        <f t="shared" si="46"/>
        <v>-88274.608888888892</v>
      </c>
      <c r="K99" s="402"/>
      <c r="L99" s="381" t="s">
        <v>370</v>
      </c>
      <c r="N99" s="396">
        <f t="shared" si="47"/>
        <v>32000000</v>
      </c>
      <c r="O99" s="397">
        <f t="shared" si="54"/>
        <v>1.4314E-3</v>
      </c>
      <c r="P99" s="374">
        <v>360</v>
      </c>
      <c r="Q99" s="399">
        <f t="shared" si="29"/>
        <v>40666</v>
      </c>
      <c r="R99" s="399">
        <f>+F99</f>
        <v>40695</v>
      </c>
      <c r="S99" s="400">
        <f t="shared" si="48"/>
        <v>29</v>
      </c>
      <c r="T99" s="401">
        <f t="shared" si="32"/>
        <v>3689.8311111111116</v>
      </c>
      <c r="U99" s="363">
        <f t="shared" si="52"/>
        <v>91018.67</v>
      </c>
      <c r="V99" s="402">
        <f t="shared" si="49"/>
        <v>-87328.838888888888</v>
      </c>
      <c r="W99" s="402"/>
      <c r="X99" s="381" t="s">
        <v>370</v>
      </c>
      <c r="Z99" s="396">
        <f t="shared" si="50"/>
        <v>32000000</v>
      </c>
      <c r="AA99" s="397">
        <f t="shared" si="56"/>
        <v>1.4314E-3</v>
      </c>
      <c r="AB99" s="374">
        <v>360</v>
      </c>
      <c r="AC99" s="399">
        <f t="shared" si="30"/>
        <v>40666</v>
      </c>
      <c r="AD99" s="399">
        <f t="shared" si="57"/>
        <v>40695</v>
      </c>
      <c r="AE99" s="400">
        <f t="shared" si="41"/>
        <v>29</v>
      </c>
      <c r="AF99" s="401">
        <f t="shared" si="33"/>
        <v>3689.8311111111116</v>
      </c>
      <c r="AG99" s="363">
        <f t="shared" si="53"/>
        <v>90720</v>
      </c>
      <c r="AH99" s="402">
        <f t="shared" si="42"/>
        <v>-87030.168888888889</v>
      </c>
      <c r="AI99" s="402"/>
      <c r="AJ99" s="381" t="s">
        <v>370</v>
      </c>
    </row>
    <row r="100" spans="2:36" x14ac:dyDescent="0.25">
      <c r="B100" s="396">
        <f t="shared" si="43"/>
        <v>32000000</v>
      </c>
      <c r="C100" s="397">
        <v>1.2990040000000001E-3</v>
      </c>
      <c r="D100" s="374">
        <v>360</v>
      </c>
      <c r="E100" s="399">
        <f t="shared" si="28"/>
        <v>40695</v>
      </c>
      <c r="F100" s="399">
        <v>40725</v>
      </c>
      <c r="G100" s="400">
        <f t="shared" si="44"/>
        <v>30</v>
      </c>
      <c r="H100" s="401">
        <f t="shared" si="45"/>
        <v>3464.0106666666666</v>
      </c>
      <c r="I100" s="363">
        <f>ROUND((32000000*0.03695)*(+DAYS360(E100,F100))/D100,2)</f>
        <v>98533.33</v>
      </c>
      <c r="J100" s="402">
        <f t="shared" si="46"/>
        <v>-95069.319333333333</v>
      </c>
      <c r="K100" s="402"/>
      <c r="L100" s="381" t="s">
        <v>370</v>
      </c>
      <c r="N100" s="396">
        <f t="shared" si="47"/>
        <v>32000000</v>
      </c>
      <c r="O100" s="397">
        <f t="shared" si="54"/>
        <v>1.2990040000000001E-3</v>
      </c>
      <c r="P100" s="374">
        <v>360</v>
      </c>
      <c r="Q100" s="399">
        <f t="shared" si="29"/>
        <v>40695</v>
      </c>
      <c r="R100" s="399">
        <f>+F100</f>
        <v>40725</v>
      </c>
      <c r="S100" s="400">
        <f t="shared" si="48"/>
        <v>30</v>
      </c>
      <c r="T100" s="401">
        <f t="shared" si="32"/>
        <v>3464.0106666666666</v>
      </c>
      <c r="U100" s="363">
        <f t="shared" si="52"/>
        <v>97520</v>
      </c>
      <c r="V100" s="402">
        <f t="shared" si="49"/>
        <v>-94055.989333333331</v>
      </c>
      <c r="W100" s="402"/>
      <c r="X100" s="381" t="s">
        <v>370</v>
      </c>
      <c r="Z100" s="396">
        <f t="shared" si="50"/>
        <v>32000000</v>
      </c>
      <c r="AA100" s="397">
        <f t="shared" si="56"/>
        <v>1.2990040000000001E-3</v>
      </c>
      <c r="AB100" s="374">
        <v>360</v>
      </c>
      <c r="AC100" s="399">
        <f t="shared" si="30"/>
        <v>40695</v>
      </c>
      <c r="AD100" s="399">
        <f t="shared" si="57"/>
        <v>40725</v>
      </c>
      <c r="AE100" s="400">
        <f t="shared" si="41"/>
        <v>30</v>
      </c>
      <c r="AF100" s="401">
        <f t="shared" si="33"/>
        <v>3464.0106666666666</v>
      </c>
      <c r="AG100" s="363">
        <f t="shared" si="53"/>
        <v>97200</v>
      </c>
      <c r="AH100" s="402">
        <f t="shared" si="42"/>
        <v>-93735.989333333331</v>
      </c>
      <c r="AI100" s="402"/>
      <c r="AJ100" s="381" t="s">
        <v>370</v>
      </c>
    </row>
    <row r="101" spans="2:36" x14ac:dyDescent="0.25">
      <c r="B101" s="396">
        <f t="shared" si="43"/>
        <v>32000000</v>
      </c>
      <c r="C101" s="397">
        <v>1.2617399999999999E-3</v>
      </c>
      <c r="D101" s="374">
        <v>360</v>
      </c>
      <c r="E101" s="399">
        <f t="shared" ref="E101:E132" si="58">F100</f>
        <v>40725</v>
      </c>
      <c r="F101" s="399">
        <v>40756</v>
      </c>
      <c r="G101" s="400">
        <f t="shared" si="44"/>
        <v>31</v>
      </c>
      <c r="H101" s="401">
        <f t="shared" si="45"/>
        <v>3476.7946666666662</v>
      </c>
      <c r="I101" s="363">
        <f>ROUND((32000000*0.03695)*(+DAYS360(E101,F101))/D101,5)</f>
        <v>98533.333329999994</v>
      </c>
      <c r="J101" s="402">
        <f t="shared" si="46"/>
        <v>-95056.538663333326</v>
      </c>
      <c r="K101" s="402"/>
      <c r="L101" s="381" t="s">
        <v>370</v>
      </c>
      <c r="N101" s="396">
        <f t="shared" si="47"/>
        <v>32000000</v>
      </c>
      <c r="O101" s="397">
        <f t="shared" si="54"/>
        <v>1.2617399999999999E-3</v>
      </c>
      <c r="P101" s="374">
        <v>360</v>
      </c>
      <c r="Q101" s="399">
        <f t="shared" ref="Q101:Q132" si="59">R100</f>
        <v>40725</v>
      </c>
      <c r="R101" s="399">
        <v>40756</v>
      </c>
      <c r="S101" s="400">
        <f t="shared" si="48"/>
        <v>31</v>
      </c>
      <c r="T101" s="401">
        <f t="shared" si="32"/>
        <v>3476.7946666666662</v>
      </c>
      <c r="U101" s="363">
        <f t="shared" si="52"/>
        <v>97520</v>
      </c>
      <c r="V101" s="402">
        <f t="shared" si="49"/>
        <v>-94043.205333333332</v>
      </c>
      <c r="W101" s="402"/>
      <c r="X101" s="381" t="s">
        <v>370</v>
      </c>
      <c r="Z101" s="396">
        <f t="shared" si="50"/>
        <v>32000000</v>
      </c>
      <c r="AA101" s="397">
        <f t="shared" si="56"/>
        <v>1.2617399999999999E-3</v>
      </c>
      <c r="AB101" s="374">
        <v>360</v>
      </c>
      <c r="AC101" s="399">
        <f t="shared" ref="AC101:AC132" si="60">AD100</f>
        <v>40725</v>
      </c>
      <c r="AD101" s="399">
        <f t="shared" si="57"/>
        <v>40756</v>
      </c>
      <c r="AE101" s="400">
        <f t="shared" si="41"/>
        <v>31</v>
      </c>
      <c r="AF101" s="401">
        <f t="shared" si="33"/>
        <v>3476.7946666666662</v>
      </c>
      <c r="AG101" s="363">
        <f t="shared" si="53"/>
        <v>97200</v>
      </c>
      <c r="AH101" s="402">
        <f t="shared" si="42"/>
        <v>-93723.205333333332</v>
      </c>
      <c r="AI101" s="402"/>
      <c r="AJ101" s="381" t="s">
        <v>370</v>
      </c>
    </row>
    <row r="102" spans="2:36" x14ac:dyDescent="0.25">
      <c r="B102" s="396">
        <f t="shared" si="43"/>
        <v>32000000</v>
      </c>
      <c r="C102" s="397">
        <v>1.2800999999999999E-3</v>
      </c>
      <c r="D102" s="374">
        <v>360</v>
      </c>
      <c r="E102" s="399">
        <f t="shared" si="58"/>
        <v>40756</v>
      </c>
      <c r="F102" s="399">
        <v>40787</v>
      </c>
      <c r="G102" s="400">
        <f t="shared" si="44"/>
        <v>31</v>
      </c>
      <c r="H102" s="401">
        <f t="shared" si="45"/>
        <v>3527.3866666666663</v>
      </c>
      <c r="I102" s="363">
        <f>ROUND((32000000*0.03695)*(+DAYS360(E102,F102))/D102,2)</f>
        <v>98533.33</v>
      </c>
      <c r="J102" s="402">
        <f t="shared" si="46"/>
        <v>-95005.943333333329</v>
      </c>
      <c r="K102" s="402"/>
      <c r="L102" s="381" t="s">
        <v>370</v>
      </c>
      <c r="N102" s="396">
        <f t="shared" si="47"/>
        <v>32000000</v>
      </c>
      <c r="O102" s="397">
        <f t="shared" si="54"/>
        <v>1.2800999999999999E-3</v>
      </c>
      <c r="P102" s="374">
        <v>360</v>
      </c>
      <c r="Q102" s="399">
        <f t="shared" si="59"/>
        <v>40756</v>
      </c>
      <c r="R102" s="399">
        <f t="shared" ref="R102:R131" si="61">+F102</f>
        <v>40787</v>
      </c>
      <c r="S102" s="400">
        <f t="shared" si="48"/>
        <v>31</v>
      </c>
      <c r="T102" s="401">
        <f t="shared" si="32"/>
        <v>3527.3866666666663</v>
      </c>
      <c r="U102" s="363">
        <f t="shared" si="52"/>
        <v>97520</v>
      </c>
      <c r="V102" s="402">
        <f t="shared" si="49"/>
        <v>-93992.613333333327</v>
      </c>
      <c r="W102" s="402"/>
      <c r="X102" s="381" t="s">
        <v>370</v>
      </c>
      <c r="Z102" s="396">
        <f t="shared" si="50"/>
        <v>32000000</v>
      </c>
      <c r="AA102" s="397">
        <f t="shared" si="56"/>
        <v>1.2800999999999999E-3</v>
      </c>
      <c r="AB102" s="374">
        <v>360</v>
      </c>
      <c r="AC102" s="399">
        <f t="shared" si="60"/>
        <v>40756</v>
      </c>
      <c r="AD102" s="399">
        <f t="shared" si="57"/>
        <v>40787</v>
      </c>
      <c r="AE102" s="400">
        <f t="shared" si="41"/>
        <v>31</v>
      </c>
      <c r="AF102" s="401">
        <f t="shared" si="33"/>
        <v>3527.3866666666663</v>
      </c>
      <c r="AG102" s="363">
        <f t="shared" si="53"/>
        <v>97200</v>
      </c>
      <c r="AH102" s="402">
        <f t="shared" si="42"/>
        <v>-93672.613333333327</v>
      </c>
      <c r="AI102" s="402"/>
      <c r="AJ102" s="381" t="s">
        <v>370</v>
      </c>
    </row>
    <row r="103" spans="2:36" x14ac:dyDescent="0.25">
      <c r="B103" s="396">
        <f t="shared" si="43"/>
        <v>32000000</v>
      </c>
      <c r="C103" s="397">
        <v>1.5062000000000001E-3</v>
      </c>
      <c r="D103" s="374">
        <v>360</v>
      </c>
      <c r="E103" s="399">
        <f t="shared" si="58"/>
        <v>40787</v>
      </c>
      <c r="F103" s="399">
        <v>40819</v>
      </c>
      <c r="G103" s="400">
        <f t="shared" si="44"/>
        <v>32</v>
      </c>
      <c r="H103" s="401">
        <f t="shared" si="45"/>
        <v>4284.3022222222226</v>
      </c>
      <c r="I103" s="363">
        <f>ROUND((32000000*0.03695)*(+DAYS360(E103,F103))/D103,2)</f>
        <v>105102.22</v>
      </c>
      <c r="J103" s="402">
        <f t="shared" si="46"/>
        <v>-100817.91777777778</v>
      </c>
      <c r="K103" s="402"/>
      <c r="L103" s="381" t="s">
        <v>370</v>
      </c>
      <c r="N103" s="396">
        <f t="shared" si="47"/>
        <v>32000000</v>
      </c>
      <c r="O103" s="397">
        <f t="shared" si="54"/>
        <v>1.5062000000000001E-3</v>
      </c>
      <c r="P103" s="374">
        <v>360</v>
      </c>
      <c r="Q103" s="399">
        <f t="shared" si="59"/>
        <v>40787</v>
      </c>
      <c r="R103" s="399">
        <f t="shared" si="61"/>
        <v>40819</v>
      </c>
      <c r="S103" s="400">
        <f t="shared" si="48"/>
        <v>32</v>
      </c>
      <c r="T103" s="401">
        <f t="shared" si="32"/>
        <v>4284.3022222222226</v>
      </c>
      <c r="U103" s="363">
        <f t="shared" si="52"/>
        <v>104021.33</v>
      </c>
      <c r="V103" s="402">
        <f t="shared" si="49"/>
        <v>-99737.027777777781</v>
      </c>
      <c r="W103" s="402"/>
      <c r="X103" s="381" t="s">
        <v>370</v>
      </c>
      <c r="Z103" s="396">
        <f t="shared" si="50"/>
        <v>32000000</v>
      </c>
      <c r="AA103" s="397">
        <f t="shared" si="56"/>
        <v>1.5062000000000001E-3</v>
      </c>
      <c r="AB103" s="374">
        <v>360</v>
      </c>
      <c r="AC103" s="399">
        <f t="shared" si="60"/>
        <v>40787</v>
      </c>
      <c r="AD103" s="399">
        <f t="shared" si="57"/>
        <v>40819</v>
      </c>
      <c r="AE103" s="400">
        <f t="shared" si="41"/>
        <v>32</v>
      </c>
      <c r="AF103" s="401">
        <f t="shared" si="33"/>
        <v>4284.3022222222226</v>
      </c>
      <c r="AG103" s="363">
        <f t="shared" si="53"/>
        <v>103680</v>
      </c>
      <c r="AH103" s="402">
        <f t="shared" si="42"/>
        <v>-99395.697777777779</v>
      </c>
      <c r="AI103" s="402"/>
      <c r="AJ103" s="381" t="s">
        <v>370</v>
      </c>
    </row>
    <row r="104" spans="2:36" x14ac:dyDescent="0.25">
      <c r="B104" s="396">
        <f t="shared" si="43"/>
        <v>32000000</v>
      </c>
      <c r="C104" s="397">
        <v>1.6281920000000001E-3</v>
      </c>
      <c r="D104" s="374">
        <v>360</v>
      </c>
      <c r="E104" s="399">
        <f t="shared" si="58"/>
        <v>40819</v>
      </c>
      <c r="F104" s="399">
        <v>40848</v>
      </c>
      <c r="G104" s="400">
        <f t="shared" si="44"/>
        <v>29</v>
      </c>
      <c r="H104" s="401">
        <f t="shared" si="45"/>
        <v>4197.1171555555566</v>
      </c>
      <c r="I104" s="363">
        <f>ROUND((32000000*0.03695)*(+DAYS360(E104,F104))/D104,2)</f>
        <v>91964.44</v>
      </c>
      <c r="J104" s="402">
        <f t="shared" si="46"/>
        <v>-87767.322844444439</v>
      </c>
      <c r="K104" s="402"/>
      <c r="L104" s="381" t="s">
        <v>370</v>
      </c>
      <c r="N104" s="396">
        <f t="shared" si="47"/>
        <v>32000000</v>
      </c>
      <c r="O104" s="397">
        <f t="shared" si="54"/>
        <v>1.6281920000000001E-3</v>
      </c>
      <c r="P104" s="374">
        <v>360</v>
      </c>
      <c r="Q104" s="399">
        <f t="shared" si="59"/>
        <v>40819</v>
      </c>
      <c r="R104" s="399">
        <f t="shared" si="61"/>
        <v>40848</v>
      </c>
      <c r="S104" s="400">
        <f t="shared" si="48"/>
        <v>29</v>
      </c>
      <c r="T104" s="401">
        <f t="shared" si="32"/>
        <v>4197.1171555555566</v>
      </c>
      <c r="U104" s="363">
        <f t="shared" si="52"/>
        <v>91018.67</v>
      </c>
      <c r="V104" s="402">
        <f t="shared" si="49"/>
        <v>-86821.552844444435</v>
      </c>
      <c r="W104" s="402"/>
      <c r="X104" s="381" t="s">
        <v>370</v>
      </c>
      <c r="Z104" s="396">
        <f t="shared" si="50"/>
        <v>32000000</v>
      </c>
      <c r="AA104" s="397">
        <f t="shared" si="56"/>
        <v>1.6281920000000001E-3</v>
      </c>
      <c r="AB104" s="374">
        <v>360</v>
      </c>
      <c r="AC104" s="399">
        <f t="shared" si="60"/>
        <v>40819</v>
      </c>
      <c r="AD104" s="399">
        <f t="shared" si="57"/>
        <v>40848</v>
      </c>
      <c r="AE104" s="400">
        <f t="shared" si="41"/>
        <v>29</v>
      </c>
      <c r="AF104" s="401">
        <f t="shared" si="33"/>
        <v>4197.1171555555566</v>
      </c>
      <c r="AG104" s="363">
        <f t="shared" si="53"/>
        <v>90720</v>
      </c>
      <c r="AH104" s="402">
        <f t="shared" si="42"/>
        <v>-86522.882844444437</v>
      </c>
      <c r="AI104" s="402"/>
      <c r="AJ104" s="381" t="s">
        <v>370</v>
      </c>
    </row>
    <row r="105" spans="2:36" x14ac:dyDescent="0.25">
      <c r="B105" s="396">
        <f t="shared" si="43"/>
        <v>32000000</v>
      </c>
      <c r="C105" s="397">
        <v>1.6716439999999999E-3</v>
      </c>
      <c r="D105" s="374">
        <v>360</v>
      </c>
      <c r="E105" s="399">
        <f t="shared" si="58"/>
        <v>40848</v>
      </c>
      <c r="F105" s="399">
        <v>40878</v>
      </c>
      <c r="G105" s="400">
        <f t="shared" si="44"/>
        <v>30</v>
      </c>
      <c r="H105" s="401">
        <f t="shared" si="45"/>
        <v>4457.717333333333</v>
      </c>
      <c r="I105" s="363">
        <f>ROUND((32000000*0.03695)*(+DAYS360(E105,F105))/D105,2)</f>
        <v>98533.33</v>
      </c>
      <c r="J105" s="402">
        <f t="shared" si="46"/>
        <v>-94075.612666666668</v>
      </c>
      <c r="K105" s="402"/>
      <c r="L105" s="381" t="s">
        <v>370</v>
      </c>
      <c r="N105" s="396">
        <f t="shared" si="47"/>
        <v>32000000</v>
      </c>
      <c r="O105" s="397">
        <f t="shared" si="54"/>
        <v>1.6716439999999999E-3</v>
      </c>
      <c r="P105" s="374">
        <v>360</v>
      </c>
      <c r="Q105" s="399">
        <f t="shared" si="59"/>
        <v>40848</v>
      </c>
      <c r="R105" s="399">
        <f t="shared" si="61"/>
        <v>40878</v>
      </c>
      <c r="S105" s="400">
        <f t="shared" si="48"/>
        <v>30</v>
      </c>
      <c r="T105" s="401">
        <f t="shared" ref="T105:T130" si="62">S105/P105*O105*N105</f>
        <v>4457.717333333333</v>
      </c>
      <c r="U105" s="363">
        <f t="shared" si="52"/>
        <v>97520</v>
      </c>
      <c r="V105" s="402">
        <f t="shared" si="49"/>
        <v>-93062.282666666666</v>
      </c>
      <c r="W105" s="402"/>
      <c r="X105" s="381" t="s">
        <v>370</v>
      </c>
      <c r="Z105" s="396">
        <f t="shared" si="50"/>
        <v>32000000</v>
      </c>
      <c r="AA105" s="397">
        <f t="shared" si="56"/>
        <v>1.6716439999999999E-3</v>
      </c>
      <c r="AB105" s="374">
        <v>360</v>
      </c>
      <c r="AC105" s="399">
        <f t="shared" si="60"/>
        <v>40848</v>
      </c>
      <c r="AD105" s="399">
        <f t="shared" si="57"/>
        <v>40878</v>
      </c>
      <c r="AE105" s="400">
        <f t="shared" si="41"/>
        <v>30</v>
      </c>
      <c r="AF105" s="401">
        <f t="shared" ref="AF105:AF130" si="63">AE105/AB105*AA105*Z105</f>
        <v>4457.717333333333</v>
      </c>
      <c r="AG105" s="363">
        <f t="shared" si="53"/>
        <v>97200</v>
      </c>
      <c r="AH105" s="402">
        <f t="shared" si="42"/>
        <v>-92742.282666666666</v>
      </c>
      <c r="AI105" s="402"/>
      <c r="AJ105" s="381" t="s">
        <v>370</v>
      </c>
    </row>
    <row r="106" spans="2:36" x14ac:dyDescent="0.25">
      <c r="B106" s="396">
        <f t="shared" si="43"/>
        <v>32000000</v>
      </c>
      <c r="C106" s="397">
        <v>1.8374960000000001E-3</v>
      </c>
      <c r="D106" s="374">
        <v>360</v>
      </c>
      <c r="E106" s="399">
        <f t="shared" si="58"/>
        <v>40878</v>
      </c>
      <c r="F106" s="399">
        <v>40911</v>
      </c>
      <c r="G106" s="400">
        <f t="shared" si="44"/>
        <v>33</v>
      </c>
      <c r="H106" s="401">
        <f t="shared" si="45"/>
        <v>5389.9882666666663</v>
      </c>
      <c r="I106" s="363">
        <f>ROUND((32000000*0.03695)*(+DAYS360(E106,F106))/D106,2)</f>
        <v>105102.22</v>
      </c>
      <c r="J106" s="402">
        <f t="shared" si="46"/>
        <v>-99712.231733333334</v>
      </c>
      <c r="K106" s="402"/>
      <c r="L106" s="381" t="s">
        <v>370</v>
      </c>
      <c r="N106" s="396">
        <f t="shared" si="47"/>
        <v>32000000</v>
      </c>
      <c r="O106" s="397">
        <f t="shared" si="54"/>
        <v>1.8374960000000001E-3</v>
      </c>
      <c r="P106" s="374">
        <v>360</v>
      </c>
      <c r="Q106" s="399">
        <f t="shared" si="59"/>
        <v>40878</v>
      </c>
      <c r="R106" s="399">
        <f t="shared" si="61"/>
        <v>40911</v>
      </c>
      <c r="S106" s="400">
        <f t="shared" si="48"/>
        <v>33</v>
      </c>
      <c r="T106" s="401">
        <f t="shared" si="62"/>
        <v>5389.9882666666663</v>
      </c>
      <c r="U106" s="363">
        <f t="shared" si="52"/>
        <v>104021.33</v>
      </c>
      <c r="V106" s="402">
        <f t="shared" si="49"/>
        <v>-98631.341733333335</v>
      </c>
      <c r="W106" s="402"/>
      <c r="X106" s="381" t="s">
        <v>370</v>
      </c>
      <c r="Z106" s="396">
        <f t="shared" si="50"/>
        <v>32000000</v>
      </c>
      <c r="AA106" s="397">
        <f t="shared" si="56"/>
        <v>1.8374960000000001E-3</v>
      </c>
      <c r="AB106" s="374">
        <v>360</v>
      </c>
      <c r="AC106" s="399">
        <f t="shared" si="60"/>
        <v>40878</v>
      </c>
      <c r="AD106" s="399">
        <f t="shared" si="57"/>
        <v>40911</v>
      </c>
      <c r="AE106" s="400">
        <f t="shared" si="41"/>
        <v>33</v>
      </c>
      <c r="AF106" s="401">
        <f t="shared" si="63"/>
        <v>5389.9882666666663</v>
      </c>
      <c r="AG106" s="363">
        <f t="shared" si="53"/>
        <v>103680</v>
      </c>
      <c r="AH106" s="402">
        <f t="shared" si="42"/>
        <v>-98290.011733333333</v>
      </c>
      <c r="AI106" s="402"/>
      <c r="AJ106" s="381" t="s">
        <v>370</v>
      </c>
    </row>
    <row r="107" spans="2:36" x14ac:dyDescent="0.25">
      <c r="B107" s="396">
        <f t="shared" si="43"/>
        <v>32000000</v>
      </c>
      <c r="C107" s="397">
        <v>2.00804E-3</v>
      </c>
      <c r="D107" s="374">
        <v>360</v>
      </c>
      <c r="E107" s="399">
        <f t="shared" si="58"/>
        <v>40911</v>
      </c>
      <c r="F107" s="399">
        <v>40940</v>
      </c>
      <c r="G107" s="400">
        <f t="shared" si="44"/>
        <v>29</v>
      </c>
      <c r="H107" s="401">
        <f t="shared" si="45"/>
        <v>5176.2808888888885</v>
      </c>
      <c r="I107" s="363">
        <f>ROUND((32000000*0.03695)*(+DAYS360(E107,F107))/D107,4)</f>
        <v>91964.444399999993</v>
      </c>
      <c r="J107" s="402">
        <f t="shared" si="46"/>
        <v>-86788.16351111111</v>
      </c>
      <c r="K107" s="402"/>
      <c r="L107" s="381" t="s">
        <v>370</v>
      </c>
      <c r="N107" s="396">
        <f t="shared" si="47"/>
        <v>32000000</v>
      </c>
      <c r="O107" s="397">
        <f t="shared" si="54"/>
        <v>2.00804E-3</v>
      </c>
      <c r="P107" s="374">
        <v>360</v>
      </c>
      <c r="Q107" s="399">
        <f t="shared" si="59"/>
        <v>40911</v>
      </c>
      <c r="R107" s="399">
        <f t="shared" si="61"/>
        <v>40940</v>
      </c>
      <c r="S107" s="400">
        <f t="shared" si="48"/>
        <v>29</v>
      </c>
      <c r="T107" s="401">
        <f t="shared" si="62"/>
        <v>5176.2808888888885</v>
      </c>
      <c r="U107" s="363">
        <f t="shared" si="52"/>
        <v>91018.67</v>
      </c>
      <c r="V107" s="402">
        <f t="shared" si="49"/>
        <v>-85842.389111111115</v>
      </c>
      <c r="W107" s="402"/>
      <c r="X107" s="381" t="s">
        <v>370</v>
      </c>
      <c r="Z107" s="396">
        <f t="shared" si="50"/>
        <v>32000000</v>
      </c>
      <c r="AA107" s="397">
        <f t="shared" si="56"/>
        <v>2.00804E-3</v>
      </c>
      <c r="AB107" s="374">
        <v>360</v>
      </c>
      <c r="AC107" s="399">
        <f t="shared" si="60"/>
        <v>40911</v>
      </c>
      <c r="AD107" s="399">
        <f t="shared" si="57"/>
        <v>40940</v>
      </c>
      <c r="AE107" s="400">
        <f t="shared" si="41"/>
        <v>29</v>
      </c>
      <c r="AF107" s="401">
        <f t="shared" si="63"/>
        <v>5176.2808888888885</v>
      </c>
      <c r="AG107" s="363">
        <f t="shared" si="53"/>
        <v>90720</v>
      </c>
      <c r="AH107" s="402">
        <f t="shared" si="42"/>
        <v>-85543.719111111117</v>
      </c>
      <c r="AI107" s="402"/>
      <c r="AJ107" s="381" t="s">
        <v>370</v>
      </c>
    </row>
    <row r="108" spans="2:36" x14ac:dyDescent="0.25">
      <c r="B108" s="396">
        <f t="shared" si="43"/>
        <v>32000000</v>
      </c>
      <c r="C108" s="397">
        <v>1.8207E-3</v>
      </c>
      <c r="D108" s="374">
        <v>360</v>
      </c>
      <c r="E108" s="399">
        <f t="shared" si="58"/>
        <v>40940</v>
      </c>
      <c r="F108" s="399">
        <v>40969</v>
      </c>
      <c r="G108" s="400">
        <f t="shared" si="44"/>
        <v>29</v>
      </c>
      <c r="H108" s="401">
        <f t="shared" si="45"/>
        <v>4693.3600000000006</v>
      </c>
      <c r="I108" s="363">
        <f>ROUND((32000000*0.03695)*(+DAYS360(E108,F108))/D108,4)</f>
        <v>98533.333299999998</v>
      </c>
      <c r="J108" s="402">
        <f t="shared" si="46"/>
        <v>-93839.973299999998</v>
      </c>
      <c r="K108" s="402"/>
      <c r="L108" s="381" t="s">
        <v>370</v>
      </c>
      <c r="N108" s="396">
        <f t="shared" si="47"/>
        <v>32000000</v>
      </c>
      <c r="O108" s="397">
        <f t="shared" si="54"/>
        <v>1.8207E-3</v>
      </c>
      <c r="P108" s="374">
        <v>360</v>
      </c>
      <c r="Q108" s="399">
        <f t="shared" si="59"/>
        <v>40940</v>
      </c>
      <c r="R108" s="399">
        <f t="shared" si="61"/>
        <v>40969</v>
      </c>
      <c r="S108" s="400">
        <f t="shared" si="48"/>
        <v>29</v>
      </c>
      <c r="T108" s="401">
        <f t="shared" si="62"/>
        <v>4693.3600000000006</v>
      </c>
      <c r="U108" s="363">
        <f t="shared" si="52"/>
        <v>97520</v>
      </c>
      <c r="V108" s="402">
        <f t="shared" si="49"/>
        <v>-92826.64</v>
      </c>
      <c r="W108" s="402"/>
      <c r="X108" s="381" t="s">
        <v>370</v>
      </c>
      <c r="Z108" s="396">
        <f t="shared" si="50"/>
        <v>32000000</v>
      </c>
      <c r="AA108" s="397">
        <f t="shared" si="56"/>
        <v>1.8207E-3</v>
      </c>
      <c r="AB108" s="374">
        <v>360</v>
      </c>
      <c r="AC108" s="399">
        <f t="shared" si="60"/>
        <v>40940</v>
      </c>
      <c r="AD108" s="399">
        <f t="shared" si="57"/>
        <v>40969</v>
      </c>
      <c r="AE108" s="400">
        <f t="shared" si="41"/>
        <v>29</v>
      </c>
      <c r="AF108" s="401">
        <f t="shared" si="63"/>
        <v>4693.3600000000006</v>
      </c>
      <c r="AG108" s="363">
        <f t="shared" si="53"/>
        <v>97200</v>
      </c>
      <c r="AH108" s="402">
        <f t="shared" si="42"/>
        <v>-92506.64</v>
      </c>
      <c r="AI108" s="402"/>
      <c r="AJ108" s="381" t="s">
        <v>370</v>
      </c>
    </row>
    <row r="109" spans="2:36" x14ac:dyDescent="0.25">
      <c r="B109" s="396">
        <f t="shared" si="43"/>
        <v>32000000</v>
      </c>
      <c r="C109" s="397">
        <v>1.6592E-3</v>
      </c>
      <c r="D109" s="374">
        <v>360</v>
      </c>
      <c r="E109" s="399">
        <f t="shared" si="58"/>
        <v>40969</v>
      </c>
      <c r="F109" s="399">
        <v>41001</v>
      </c>
      <c r="G109" s="400">
        <f t="shared" si="44"/>
        <v>32</v>
      </c>
      <c r="H109" s="401">
        <f t="shared" si="45"/>
        <v>4719.5022222222224</v>
      </c>
      <c r="I109" s="363">
        <f>ROUND((32000000*0.03695)*(+DAYS360(E109,F109))/D109,4)</f>
        <v>101817.7778</v>
      </c>
      <c r="J109" s="402">
        <f t="shared" si="46"/>
        <v>-97098.275577777778</v>
      </c>
      <c r="K109" s="402"/>
      <c r="L109" s="381" t="s">
        <v>370</v>
      </c>
      <c r="N109" s="396">
        <f t="shared" si="47"/>
        <v>32000000</v>
      </c>
      <c r="O109" s="397">
        <f t="shared" si="54"/>
        <v>1.6592E-3</v>
      </c>
      <c r="P109" s="374">
        <v>360</v>
      </c>
      <c r="Q109" s="399">
        <f t="shared" si="59"/>
        <v>40969</v>
      </c>
      <c r="R109" s="399">
        <f t="shared" si="61"/>
        <v>41001</v>
      </c>
      <c r="S109" s="400">
        <f t="shared" si="48"/>
        <v>32</v>
      </c>
      <c r="T109" s="401">
        <f t="shared" si="62"/>
        <v>4719.5022222222224</v>
      </c>
      <c r="U109" s="363">
        <f t="shared" si="52"/>
        <v>100770.67</v>
      </c>
      <c r="V109" s="402">
        <f t="shared" si="49"/>
        <v>-96051.16777777778</v>
      </c>
      <c r="W109" s="402"/>
      <c r="X109" s="381" t="s">
        <v>370</v>
      </c>
      <c r="Z109" s="396">
        <f t="shared" si="50"/>
        <v>32000000</v>
      </c>
      <c r="AA109" s="397">
        <f t="shared" si="56"/>
        <v>1.6592E-3</v>
      </c>
      <c r="AB109" s="374">
        <v>360</v>
      </c>
      <c r="AC109" s="399">
        <f t="shared" si="60"/>
        <v>40969</v>
      </c>
      <c r="AD109" s="399">
        <f t="shared" si="57"/>
        <v>41001</v>
      </c>
      <c r="AE109" s="400">
        <f t="shared" si="41"/>
        <v>32</v>
      </c>
      <c r="AF109" s="401">
        <f t="shared" si="63"/>
        <v>4719.5022222222224</v>
      </c>
      <c r="AG109" s="363">
        <f t="shared" si="53"/>
        <v>100440</v>
      </c>
      <c r="AH109" s="402">
        <f t="shared" si="42"/>
        <v>-95720.497777777782</v>
      </c>
      <c r="AI109" s="402"/>
      <c r="AJ109" s="381" t="s">
        <v>370</v>
      </c>
    </row>
    <row r="110" spans="2:36" x14ac:dyDescent="0.25">
      <c r="B110" s="396">
        <f t="shared" si="43"/>
        <v>32000000</v>
      </c>
      <c r="C110" s="397">
        <v>1.6405E-3</v>
      </c>
      <c r="D110" s="374">
        <v>360</v>
      </c>
      <c r="E110" s="399">
        <f t="shared" si="58"/>
        <v>41001</v>
      </c>
      <c r="F110" s="399">
        <v>41030</v>
      </c>
      <c r="G110" s="400">
        <f t="shared" si="44"/>
        <v>29</v>
      </c>
      <c r="H110" s="401">
        <f t="shared" si="45"/>
        <v>4228.8444444444449</v>
      </c>
      <c r="I110" s="363">
        <f t="shared" ref="I110:I127" si="64">ROUND((32000000*0.03695)*(+DAYS360(E110,F110))/D110,2)</f>
        <v>95248.89</v>
      </c>
      <c r="J110" s="402">
        <f t="shared" si="46"/>
        <v>-91020.045555555553</v>
      </c>
      <c r="K110" s="402">
        <f>-SUM(J106:J110)/SUM(G106:G110)*366</f>
        <v>1127999.21330307</v>
      </c>
      <c r="L110" s="381" t="s">
        <v>370</v>
      </c>
      <c r="N110" s="396">
        <f t="shared" si="47"/>
        <v>32000000</v>
      </c>
      <c r="O110" s="397">
        <f t="shared" si="54"/>
        <v>1.6405E-3</v>
      </c>
      <c r="P110" s="374">
        <v>360</v>
      </c>
      <c r="Q110" s="399">
        <f t="shared" si="59"/>
        <v>41001</v>
      </c>
      <c r="R110" s="399">
        <f t="shared" si="61"/>
        <v>41030</v>
      </c>
      <c r="S110" s="400">
        <f t="shared" si="48"/>
        <v>29</v>
      </c>
      <c r="T110" s="401">
        <f t="shared" si="62"/>
        <v>4228.8444444444449</v>
      </c>
      <c r="U110" s="363">
        <f t="shared" si="52"/>
        <v>94269.33</v>
      </c>
      <c r="V110" s="402">
        <f t="shared" si="49"/>
        <v>-90040.485555555555</v>
      </c>
      <c r="W110" s="402">
        <f>-SUM(V106:V110)/SUM(S106:S110)*366</f>
        <v>1115799.2161122807</v>
      </c>
      <c r="X110" s="381" t="s">
        <v>370</v>
      </c>
      <c r="Z110" s="396">
        <f t="shared" si="50"/>
        <v>32000000</v>
      </c>
      <c r="AA110" s="397">
        <f t="shared" si="56"/>
        <v>1.6405E-3</v>
      </c>
      <c r="AB110" s="374">
        <v>360</v>
      </c>
      <c r="AC110" s="399">
        <f t="shared" si="60"/>
        <v>41001</v>
      </c>
      <c r="AD110" s="399">
        <f t="shared" si="57"/>
        <v>41030</v>
      </c>
      <c r="AE110" s="400">
        <f t="shared" si="41"/>
        <v>29</v>
      </c>
      <c r="AF110" s="401">
        <f t="shared" si="63"/>
        <v>4228.8444444444449</v>
      </c>
      <c r="AG110" s="363">
        <f t="shared" si="53"/>
        <v>93960</v>
      </c>
      <c r="AH110" s="402">
        <f t="shared" si="42"/>
        <v>-89731.155555555553</v>
      </c>
      <c r="AI110" s="402">
        <f>-SUM(AH106:AH110)/SUM(AE106:AE110)*366</f>
        <v>1111946.5845333333</v>
      </c>
      <c r="AJ110" s="381" t="s">
        <v>370</v>
      </c>
    </row>
    <row r="111" spans="2:36" x14ac:dyDescent="0.25">
      <c r="B111" s="396">
        <f t="shared" si="43"/>
        <v>32000000</v>
      </c>
      <c r="C111" s="397">
        <v>1.6234999999999999E-3</v>
      </c>
      <c r="D111" s="374">
        <v>360</v>
      </c>
      <c r="E111" s="399">
        <f t="shared" si="58"/>
        <v>41030</v>
      </c>
      <c r="F111" s="399">
        <v>41061</v>
      </c>
      <c r="G111" s="400">
        <f t="shared" si="44"/>
        <v>31</v>
      </c>
      <c r="H111" s="401">
        <f t="shared" si="45"/>
        <v>4473.6444444444442</v>
      </c>
      <c r="I111" s="363">
        <f t="shared" si="64"/>
        <v>98533.33</v>
      </c>
      <c r="J111" s="402">
        <f t="shared" si="46"/>
        <v>-94059.685555555552</v>
      </c>
      <c r="K111" s="402"/>
      <c r="L111" s="381" t="s">
        <v>370</v>
      </c>
      <c r="N111" s="396">
        <f t="shared" si="47"/>
        <v>32000000</v>
      </c>
      <c r="O111" s="397">
        <f t="shared" si="54"/>
        <v>1.6234999999999999E-3</v>
      </c>
      <c r="P111" s="374">
        <v>360</v>
      </c>
      <c r="Q111" s="399">
        <f t="shared" si="59"/>
        <v>41030</v>
      </c>
      <c r="R111" s="399">
        <f t="shared" si="61"/>
        <v>41061</v>
      </c>
      <c r="S111" s="400">
        <f t="shared" si="48"/>
        <v>31</v>
      </c>
      <c r="T111" s="401">
        <f t="shared" si="62"/>
        <v>4473.6444444444442</v>
      </c>
      <c r="U111" s="363">
        <f t="shared" si="52"/>
        <v>97520</v>
      </c>
      <c r="V111" s="402">
        <f t="shared" si="49"/>
        <v>-93046.35555555555</v>
      </c>
      <c r="W111" s="402"/>
      <c r="X111" s="381" t="s">
        <v>370</v>
      </c>
      <c r="Z111" s="396">
        <f t="shared" si="50"/>
        <v>32000000</v>
      </c>
      <c r="AA111" s="397">
        <f t="shared" si="56"/>
        <v>1.6234999999999999E-3</v>
      </c>
      <c r="AB111" s="374">
        <v>360</v>
      </c>
      <c r="AC111" s="399">
        <f t="shared" si="60"/>
        <v>41030</v>
      </c>
      <c r="AD111" s="399">
        <f t="shared" si="57"/>
        <v>41061</v>
      </c>
      <c r="AE111" s="400">
        <f t="shared" si="41"/>
        <v>31</v>
      </c>
      <c r="AF111" s="401">
        <f t="shared" si="63"/>
        <v>4473.6444444444442</v>
      </c>
      <c r="AG111" s="363">
        <f t="shared" si="53"/>
        <v>97200</v>
      </c>
      <c r="AH111" s="402">
        <f t="shared" si="42"/>
        <v>-92726.35555555555</v>
      </c>
      <c r="AI111" s="402"/>
      <c r="AJ111" s="381" t="s">
        <v>370</v>
      </c>
    </row>
    <row r="112" spans="2:36" x14ac:dyDescent="0.25">
      <c r="B112" s="396">
        <f t="shared" si="43"/>
        <v>32000000</v>
      </c>
      <c r="C112" s="397">
        <v>1.6234999999999999E-3</v>
      </c>
      <c r="D112" s="374">
        <v>360</v>
      </c>
      <c r="E112" s="399">
        <f t="shared" si="58"/>
        <v>41061</v>
      </c>
      <c r="F112" s="399">
        <v>41092</v>
      </c>
      <c r="G112" s="400">
        <f t="shared" si="44"/>
        <v>31</v>
      </c>
      <c r="H112" s="401">
        <f t="shared" si="45"/>
        <v>4473.6444444444442</v>
      </c>
      <c r="I112" s="363">
        <f t="shared" si="64"/>
        <v>101817.78</v>
      </c>
      <c r="J112" s="402">
        <f t="shared" si="46"/>
        <v>-97344.135555555549</v>
      </c>
      <c r="K112" s="402">
        <f>-SUM(J111:J112)/SUM(G111:G112)*366</f>
        <v>1129899.976236559</v>
      </c>
      <c r="L112" s="381" t="s">
        <v>370</v>
      </c>
      <c r="N112" s="396">
        <f t="shared" si="47"/>
        <v>32000000</v>
      </c>
      <c r="O112" s="397">
        <f t="shared" si="54"/>
        <v>1.6234999999999999E-3</v>
      </c>
      <c r="P112" s="374">
        <v>360</v>
      </c>
      <c r="Q112" s="399">
        <f t="shared" si="59"/>
        <v>41061</v>
      </c>
      <c r="R112" s="399">
        <f t="shared" si="61"/>
        <v>41092</v>
      </c>
      <c r="S112" s="400">
        <f t="shared" si="48"/>
        <v>31</v>
      </c>
      <c r="T112" s="401">
        <f t="shared" si="62"/>
        <v>4473.6444444444442</v>
      </c>
      <c r="U112" s="363">
        <f t="shared" si="52"/>
        <v>100770.67</v>
      </c>
      <c r="V112" s="402">
        <f t="shared" si="49"/>
        <v>-96297.025555555549</v>
      </c>
      <c r="W112" s="402">
        <f>-SUM(V111:V112)/SUM(S111:S112)*366</f>
        <v>1117736.7336559137</v>
      </c>
      <c r="X112" s="381" t="s">
        <v>370</v>
      </c>
      <c r="Z112" s="396">
        <f t="shared" si="50"/>
        <v>32000000</v>
      </c>
      <c r="AA112" s="397">
        <f t="shared" si="56"/>
        <v>1.6234999999999999E-3</v>
      </c>
      <c r="AB112" s="374">
        <v>360</v>
      </c>
      <c r="AC112" s="399">
        <f t="shared" si="60"/>
        <v>41061</v>
      </c>
      <c r="AD112" s="399">
        <f t="shared" si="57"/>
        <v>41092</v>
      </c>
      <c r="AE112" s="400">
        <f t="shared" si="41"/>
        <v>31</v>
      </c>
      <c r="AF112" s="401">
        <f t="shared" si="63"/>
        <v>4473.6444444444442</v>
      </c>
      <c r="AG112" s="363">
        <f t="shared" si="53"/>
        <v>100440</v>
      </c>
      <c r="AH112" s="402">
        <f t="shared" si="42"/>
        <v>-95966.35555555555</v>
      </c>
      <c r="AI112" s="402">
        <f>-SUM(AH111:AH112)/SUM(AE111:AE112)*366</f>
        <v>1113895.68172043</v>
      </c>
      <c r="AJ112" s="381" t="s">
        <v>370</v>
      </c>
    </row>
    <row r="113" spans="2:36" x14ac:dyDescent="0.25">
      <c r="B113" s="396">
        <f t="shared" si="43"/>
        <v>32000000</v>
      </c>
      <c r="C113" s="397">
        <v>1.6677E-3</v>
      </c>
      <c r="D113" s="374">
        <v>360</v>
      </c>
      <c r="E113" s="399">
        <f t="shared" si="58"/>
        <v>41092</v>
      </c>
      <c r="F113" s="399">
        <v>41122</v>
      </c>
      <c r="G113" s="400">
        <f t="shared" si="44"/>
        <v>30</v>
      </c>
      <c r="H113" s="401">
        <f t="shared" si="45"/>
        <v>4447.2</v>
      </c>
      <c r="I113" s="363">
        <f t="shared" si="64"/>
        <v>95248.89</v>
      </c>
      <c r="J113" s="402">
        <f t="shared" si="46"/>
        <v>-90801.69</v>
      </c>
      <c r="K113" s="402">
        <f>-SUM(J111:J113)/SUM(G111:G113)*366</f>
        <v>1122687.1420289855</v>
      </c>
      <c r="L113" s="381" t="s">
        <v>370</v>
      </c>
      <c r="N113" s="396">
        <f t="shared" si="47"/>
        <v>32000000</v>
      </c>
      <c r="O113" s="397">
        <f t="shared" si="54"/>
        <v>1.6677E-3</v>
      </c>
      <c r="P113" s="374">
        <v>360</v>
      </c>
      <c r="Q113" s="399">
        <f t="shared" si="59"/>
        <v>41092</v>
      </c>
      <c r="R113" s="399">
        <f t="shared" si="61"/>
        <v>41122</v>
      </c>
      <c r="S113" s="400">
        <f t="shared" si="48"/>
        <v>30</v>
      </c>
      <c r="T113" s="401">
        <f t="shared" si="62"/>
        <v>4447.2</v>
      </c>
      <c r="U113" s="363">
        <f t="shared" si="52"/>
        <v>94269.33</v>
      </c>
      <c r="V113" s="402">
        <f t="shared" si="49"/>
        <v>-89822.13</v>
      </c>
      <c r="W113" s="402">
        <f>-SUM(V111:V113)/SUM(S111:S113)*366</f>
        <v>1110593.2289855073</v>
      </c>
      <c r="X113" s="381" t="s">
        <v>370</v>
      </c>
      <c r="Z113" s="396">
        <f t="shared" si="50"/>
        <v>32000000</v>
      </c>
      <c r="AA113" s="397">
        <f t="shared" si="56"/>
        <v>1.6677E-3</v>
      </c>
      <c r="AB113" s="374">
        <v>360</v>
      </c>
      <c r="AC113" s="399">
        <f t="shared" si="60"/>
        <v>41092</v>
      </c>
      <c r="AD113" s="399">
        <f t="shared" si="57"/>
        <v>41122</v>
      </c>
      <c r="AE113" s="400">
        <f t="shared" si="41"/>
        <v>30</v>
      </c>
      <c r="AF113" s="401">
        <f t="shared" si="63"/>
        <v>4447.2</v>
      </c>
      <c r="AG113" s="363">
        <f t="shared" si="53"/>
        <v>93960</v>
      </c>
      <c r="AH113" s="402">
        <f t="shared" si="42"/>
        <v>-89512.8</v>
      </c>
      <c r="AI113" s="402">
        <f>-SUM(AH111:AH113)/SUM(AE111:AE113)*366</f>
        <v>1106774.0985507246</v>
      </c>
      <c r="AJ113" s="381" t="s">
        <v>370</v>
      </c>
    </row>
    <row r="114" spans="2:36" x14ac:dyDescent="0.25">
      <c r="B114" s="396">
        <f t="shared" si="43"/>
        <v>32000000</v>
      </c>
      <c r="C114" s="397">
        <v>1.6707600000000001E-3</v>
      </c>
      <c r="D114" s="374">
        <v>360</v>
      </c>
      <c r="E114" s="399">
        <f t="shared" si="58"/>
        <v>41122</v>
      </c>
      <c r="F114" s="399">
        <v>41156</v>
      </c>
      <c r="G114" s="400">
        <f t="shared" si="44"/>
        <v>34</v>
      </c>
      <c r="H114" s="401">
        <f t="shared" si="45"/>
        <v>5049.4080000000004</v>
      </c>
      <c r="I114" s="363">
        <f t="shared" si="64"/>
        <v>108386.67</v>
      </c>
      <c r="J114" s="402">
        <f t="shared" si="46"/>
        <v>-103337.262</v>
      </c>
      <c r="K114" s="402">
        <f>-SUM(J111:J114)/SUM(G111:G114)*366</f>
        <v>1119909.9599894178</v>
      </c>
      <c r="L114" s="381" t="s">
        <v>370</v>
      </c>
      <c r="N114" s="396">
        <f t="shared" si="47"/>
        <v>32000000</v>
      </c>
      <c r="O114" s="397">
        <f t="shared" si="54"/>
        <v>1.6707600000000001E-3</v>
      </c>
      <c r="P114" s="374">
        <v>360</v>
      </c>
      <c r="Q114" s="399">
        <f t="shared" si="59"/>
        <v>41122</v>
      </c>
      <c r="R114" s="399">
        <f t="shared" si="61"/>
        <v>41156</v>
      </c>
      <c r="S114" s="400">
        <f t="shared" si="48"/>
        <v>34</v>
      </c>
      <c r="T114" s="401">
        <f t="shared" si="62"/>
        <v>5049.4080000000004</v>
      </c>
      <c r="U114" s="363">
        <f t="shared" si="52"/>
        <v>107272</v>
      </c>
      <c r="V114" s="402">
        <f t="shared" si="49"/>
        <v>-102222.592</v>
      </c>
      <c r="W114" s="402">
        <f>-SUM(V111:V114)/SUM(S111:S114)*366</f>
        <v>1107841.6328465608</v>
      </c>
      <c r="X114" s="381" t="s">
        <v>370</v>
      </c>
      <c r="Z114" s="396">
        <f t="shared" si="50"/>
        <v>32000000</v>
      </c>
      <c r="AA114" s="397">
        <f t="shared" si="56"/>
        <v>1.6707600000000001E-3</v>
      </c>
      <c r="AB114" s="374">
        <v>360</v>
      </c>
      <c r="AC114" s="399">
        <f t="shared" si="60"/>
        <v>41122</v>
      </c>
      <c r="AD114" s="399">
        <f t="shared" si="57"/>
        <v>41156</v>
      </c>
      <c r="AE114" s="400">
        <f t="shared" si="41"/>
        <v>34</v>
      </c>
      <c r="AF114" s="401">
        <f t="shared" si="63"/>
        <v>5049.4080000000004</v>
      </c>
      <c r="AG114" s="363">
        <f t="shared" si="53"/>
        <v>106920</v>
      </c>
      <c r="AH114" s="402">
        <f t="shared" si="42"/>
        <v>-101870.592</v>
      </c>
      <c r="AI114" s="402">
        <f>-SUM(AH111:AH114)/SUM(AE111:AE114)*366</f>
        <v>1104030.585227513</v>
      </c>
      <c r="AJ114" s="381" t="s">
        <v>370</v>
      </c>
    </row>
    <row r="115" spans="2:36" x14ac:dyDescent="0.25">
      <c r="B115" s="396">
        <f t="shared" si="43"/>
        <v>32000000</v>
      </c>
      <c r="C115" s="397">
        <v>1.5674E-3</v>
      </c>
      <c r="D115" s="374">
        <v>360</v>
      </c>
      <c r="E115" s="399">
        <f t="shared" si="58"/>
        <v>41156</v>
      </c>
      <c r="F115" s="399">
        <v>41183</v>
      </c>
      <c r="G115" s="400">
        <f t="shared" si="44"/>
        <v>27</v>
      </c>
      <c r="H115" s="401">
        <f t="shared" si="45"/>
        <v>3761.7599999999998</v>
      </c>
      <c r="I115" s="363">
        <f t="shared" si="64"/>
        <v>88680</v>
      </c>
      <c r="J115" s="402">
        <f t="shared" si="46"/>
        <v>-84918.24</v>
      </c>
      <c r="K115" s="402">
        <f>-SUM(J111:J115)/SUM(G111:G115)*366</f>
        <v>1125416.5411677558</v>
      </c>
      <c r="L115" s="381" t="s">
        <v>370</v>
      </c>
      <c r="N115" s="396">
        <f t="shared" si="47"/>
        <v>32000000</v>
      </c>
      <c r="O115" s="397">
        <f t="shared" si="54"/>
        <v>1.5674E-3</v>
      </c>
      <c r="P115" s="374">
        <v>360</v>
      </c>
      <c r="Q115" s="399">
        <f t="shared" si="59"/>
        <v>41156</v>
      </c>
      <c r="R115" s="399">
        <f t="shared" si="61"/>
        <v>41183</v>
      </c>
      <c r="S115" s="400">
        <f t="shared" si="48"/>
        <v>27</v>
      </c>
      <c r="T115" s="401">
        <f t="shared" si="62"/>
        <v>3761.7599999999998</v>
      </c>
      <c r="U115" s="363">
        <f t="shared" si="52"/>
        <v>87768</v>
      </c>
      <c r="V115" s="402">
        <f t="shared" si="49"/>
        <v>-84006.24</v>
      </c>
      <c r="W115" s="402">
        <f>-SUM(V111:V115)/SUM(S111:S115)*366</f>
        <v>1113296.2717559913</v>
      </c>
      <c r="X115" s="381" t="s">
        <v>370</v>
      </c>
      <c r="Z115" s="396">
        <f t="shared" si="50"/>
        <v>32000000</v>
      </c>
      <c r="AA115" s="397">
        <f t="shared" si="56"/>
        <v>1.5674E-3</v>
      </c>
      <c r="AB115" s="374">
        <v>360</v>
      </c>
      <c r="AC115" s="399">
        <f t="shared" si="60"/>
        <v>41156</v>
      </c>
      <c r="AD115" s="399">
        <f t="shared" si="57"/>
        <v>41183</v>
      </c>
      <c r="AE115" s="400">
        <f t="shared" si="41"/>
        <v>27</v>
      </c>
      <c r="AF115" s="401">
        <f t="shared" si="63"/>
        <v>3761.7599999999998</v>
      </c>
      <c r="AG115" s="363">
        <f t="shared" si="53"/>
        <v>87480</v>
      </c>
      <c r="AH115" s="402">
        <f t="shared" si="42"/>
        <v>-83718.240000000005</v>
      </c>
      <c r="AI115" s="402">
        <f>-SUM(AH111:AH115)/SUM(AE111:AE115)*366</f>
        <v>1109468.820775599</v>
      </c>
      <c r="AJ115" s="381" t="s">
        <v>370</v>
      </c>
    </row>
    <row r="116" spans="2:36" x14ac:dyDescent="0.25">
      <c r="B116" s="396">
        <f t="shared" si="43"/>
        <v>32000000</v>
      </c>
      <c r="C116" s="397">
        <v>1.4586E-3</v>
      </c>
      <c r="D116" s="374">
        <v>360</v>
      </c>
      <c r="E116" s="399">
        <f t="shared" si="58"/>
        <v>41183</v>
      </c>
      <c r="F116" s="399">
        <v>41214</v>
      </c>
      <c r="G116" s="400">
        <f t="shared" si="44"/>
        <v>31</v>
      </c>
      <c r="H116" s="401">
        <f t="shared" si="45"/>
        <v>4019.2533333333336</v>
      </c>
      <c r="I116" s="363">
        <f t="shared" si="64"/>
        <v>98533.33</v>
      </c>
      <c r="J116" s="402">
        <f t="shared" si="46"/>
        <v>-94514.076666666675</v>
      </c>
      <c r="K116" s="402">
        <f>-SUM(J111:J116)/SUM(G111:G116)*366</f>
        <v>1123809.1459710144</v>
      </c>
      <c r="L116" s="381" t="s">
        <v>370</v>
      </c>
      <c r="N116" s="396">
        <f t="shared" si="47"/>
        <v>32000000</v>
      </c>
      <c r="O116" s="397">
        <f t="shared" si="54"/>
        <v>1.4586E-3</v>
      </c>
      <c r="P116" s="374">
        <v>360</v>
      </c>
      <c r="Q116" s="399">
        <f t="shared" si="59"/>
        <v>41183</v>
      </c>
      <c r="R116" s="399">
        <f t="shared" si="61"/>
        <v>41214</v>
      </c>
      <c r="S116" s="400">
        <f t="shared" si="48"/>
        <v>31</v>
      </c>
      <c r="T116" s="401">
        <f t="shared" si="62"/>
        <v>4019.2533333333336</v>
      </c>
      <c r="U116" s="363">
        <f t="shared" si="52"/>
        <v>97520</v>
      </c>
      <c r="V116" s="402">
        <f t="shared" si="49"/>
        <v>-93500.746666666673</v>
      </c>
      <c r="W116" s="402">
        <f>-SUM(V111:V116)/SUM(S111:S116)*366</f>
        <v>1111715.2329275361</v>
      </c>
      <c r="X116" s="381" t="s">
        <v>370</v>
      </c>
      <c r="Z116" s="396">
        <f t="shared" si="50"/>
        <v>32000000</v>
      </c>
      <c r="AA116" s="397">
        <f t="shared" si="56"/>
        <v>1.4586E-3</v>
      </c>
      <c r="AB116" s="374">
        <v>360</v>
      </c>
      <c r="AC116" s="399">
        <f t="shared" si="60"/>
        <v>41183</v>
      </c>
      <c r="AD116" s="399">
        <f t="shared" si="57"/>
        <v>41214</v>
      </c>
      <c r="AE116" s="400">
        <f t="shared" si="41"/>
        <v>31</v>
      </c>
      <c r="AF116" s="401">
        <f t="shared" si="63"/>
        <v>4019.2533333333336</v>
      </c>
      <c r="AG116" s="363">
        <f t="shared" si="53"/>
        <v>97200</v>
      </c>
      <c r="AH116" s="402">
        <f t="shared" si="42"/>
        <v>-93180.746666666673</v>
      </c>
      <c r="AI116" s="402">
        <f>-SUM(AH111:AH116)/SUM(AE111:AE116)*366</f>
        <v>1107896.1024927536</v>
      </c>
      <c r="AJ116" s="381" t="s">
        <v>370</v>
      </c>
    </row>
    <row r="117" spans="2:36" x14ac:dyDescent="0.25">
      <c r="B117" s="396">
        <f t="shared" si="43"/>
        <v>32000000</v>
      </c>
      <c r="C117" s="397">
        <v>1.4415999999999999E-3</v>
      </c>
      <c r="D117" s="374">
        <v>360</v>
      </c>
      <c r="E117" s="399">
        <f t="shared" si="58"/>
        <v>41214</v>
      </c>
      <c r="F117" s="399">
        <v>41246</v>
      </c>
      <c r="G117" s="400">
        <f t="shared" si="44"/>
        <v>32</v>
      </c>
      <c r="H117" s="401">
        <f t="shared" si="45"/>
        <v>4100.5511111111109</v>
      </c>
      <c r="I117" s="363">
        <f t="shared" si="64"/>
        <v>105102.22</v>
      </c>
      <c r="J117" s="402">
        <f t="shared" si="46"/>
        <v>-101001.66888888889</v>
      </c>
      <c r="K117" s="402">
        <f>-SUM(J117)/SUM(G117)*366</f>
        <v>1155206.5879166666</v>
      </c>
      <c r="L117" s="381" t="s">
        <v>370</v>
      </c>
      <c r="N117" s="396">
        <f t="shared" si="47"/>
        <v>32000000</v>
      </c>
      <c r="O117" s="397">
        <f t="shared" si="54"/>
        <v>1.4415999999999999E-3</v>
      </c>
      <c r="P117" s="374">
        <v>360</v>
      </c>
      <c r="Q117" s="399">
        <f t="shared" si="59"/>
        <v>41214</v>
      </c>
      <c r="R117" s="399">
        <f t="shared" si="61"/>
        <v>41246</v>
      </c>
      <c r="S117" s="400">
        <f t="shared" si="48"/>
        <v>32</v>
      </c>
      <c r="T117" s="401">
        <f t="shared" si="62"/>
        <v>4100.5511111111109</v>
      </c>
      <c r="U117" s="363">
        <f t="shared" si="52"/>
        <v>104021.33</v>
      </c>
      <c r="V117" s="402">
        <f t="shared" si="49"/>
        <v>-99920.77888888889</v>
      </c>
      <c r="W117" s="402">
        <f>-SUM(V117)/SUM(S117)*366</f>
        <v>1142843.9085416666</v>
      </c>
      <c r="X117" s="381" t="s">
        <v>370</v>
      </c>
      <c r="Z117" s="396">
        <f t="shared" si="50"/>
        <v>32000000</v>
      </c>
      <c r="AA117" s="397">
        <f t="shared" si="56"/>
        <v>1.4415999999999999E-3</v>
      </c>
      <c r="AB117" s="374">
        <v>360</v>
      </c>
      <c r="AC117" s="399">
        <f t="shared" si="60"/>
        <v>41214</v>
      </c>
      <c r="AD117" s="399">
        <f t="shared" si="57"/>
        <v>41246</v>
      </c>
      <c r="AE117" s="400">
        <f t="shared" si="41"/>
        <v>32</v>
      </c>
      <c r="AF117" s="401">
        <f t="shared" si="63"/>
        <v>4100.5511111111109</v>
      </c>
      <c r="AG117" s="363">
        <f t="shared" si="53"/>
        <v>103680</v>
      </c>
      <c r="AH117" s="402">
        <f t="shared" si="42"/>
        <v>-99579.448888888888</v>
      </c>
      <c r="AI117" s="402">
        <f>-SUM(AH117)/SUM(AE117)*366</f>
        <v>1138939.9466666668</v>
      </c>
      <c r="AJ117" s="381" t="s">
        <v>370</v>
      </c>
    </row>
    <row r="118" spans="2:36" x14ac:dyDescent="0.25">
      <c r="B118" s="396">
        <f t="shared" si="43"/>
        <v>32000000</v>
      </c>
      <c r="C118" s="397">
        <v>1.4518000000000001E-3</v>
      </c>
      <c r="D118" s="374">
        <v>360</v>
      </c>
      <c r="E118" s="399">
        <f t="shared" si="58"/>
        <v>41246</v>
      </c>
      <c r="F118" s="399">
        <v>41276</v>
      </c>
      <c r="G118" s="400">
        <f t="shared" si="44"/>
        <v>30</v>
      </c>
      <c r="H118" s="401">
        <f t="shared" si="45"/>
        <v>3871.4666666666667</v>
      </c>
      <c r="I118" s="363">
        <f t="shared" si="64"/>
        <v>95248.89</v>
      </c>
      <c r="J118" s="402">
        <f t="shared" si="46"/>
        <v>-91377.42333333334</v>
      </c>
      <c r="K118" s="402">
        <f>-SUM(J117:J118)/SUM(G117:G118)*366</f>
        <v>1135657.2218279571</v>
      </c>
      <c r="L118" s="381" t="s">
        <v>370</v>
      </c>
      <c r="N118" s="396">
        <f t="shared" si="47"/>
        <v>32000000</v>
      </c>
      <c r="O118" s="397">
        <f t="shared" si="54"/>
        <v>1.4518000000000001E-3</v>
      </c>
      <c r="P118" s="374">
        <v>360</v>
      </c>
      <c r="Q118" s="399">
        <f t="shared" si="59"/>
        <v>41246</v>
      </c>
      <c r="R118" s="399">
        <f t="shared" si="61"/>
        <v>41276</v>
      </c>
      <c r="S118" s="400">
        <f t="shared" si="48"/>
        <v>30</v>
      </c>
      <c r="T118" s="401">
        <f t="shared" si="62"/>
        <v>3871.4666666666667</v>
      </c>
      <c r="U118" s="363">
        <f t="shared" si="52"/>
        <v>94269.33</v>
      </c>
      <c r="V118" s="402">
        <f t="shared" si="49"/>
        <v>-90397.863333333342</v>
      </c>
      <c r="W118" s="402">
        <f>-SUM(V117:V118)/SUM(S117:S118)*366</f>
        <v>1123493.9202150537</v>
      </c>
      <c r="X118" s="381" t="s">
        <v>370</v>
      </c>
      <c r="Z118" s="396">
        <f t="shared" si="50"/>
        <v>32000000</v>
      </c>
      <c r="AA118" s="397">
        <f t="shared" si="56"/>
        <v>1.4518000000000001E-3</v>
      </c>
      <c r="AB118" s="374">
        <v>360</v>
      </c>
      <c r="AC118" s="399">
        <f t="shared" si="60"/>
        <v>41246</v>
      </c>
      <c r="AD118" s="399">
        <f t="shared" si="57"/>
        <v>41276</v>
      </c>
      <c r="AE118" s="400">
        <f t="shared" si="41"/>
        <v>30</v>
      </c>
      <c r="AF118" s="401">
        <f t="shared" si="63"/>
        <v>3871.4666666666667</v>
      </c>
      <c r="AG118" s="363">
        <f t="shared" si="53"/>
        <v>93960</v>
      </c>
      <c r="AH118" s="402">
        <f t="shared" si="42"/>
        <v>-90088.53333333334</v>
      </c>
      <c r="AI118" s="402">
        <f>-SUM(AH117:AH118)/SUM(AE117:AE118)*366</f>
        <v>1119652.9273118281</v>
      </c>
      <c r="AJ118" s="381" t="s">
        <v>370</v>
      </c>
    </row>
    <row r="119" spans="2:36" x14ac:dyDescent="0.25">
      <c r="B119" s="396">
        <f t="shared" si="43"/>
        <v>32000000</v>
      </c>
      <c r="C119" s="397">
        <v>1.42596E-3</v>
      </c>
      <c r="D119" s="374">
        <v>360</v>
      </c>
      <c r="E119" s="399">
        <f t="shared" si="58"/>
        <v>41276</v>
      </c>
      <c r="F119" s="399">
        <v>41306</v>
      </c>
      <c r="G119" s="400">
        <f t="shared" si="44"/>
        <v>30</v>
      </c>
      <c r="H119" s="401">
        <f t="shared" si="45"/>
        <v>3802.56</v>
      </c>
      <c r="I119" s="363">
        <f t="shared" si="64"/>
        <v>95248.89</v>
      </c>
      <c r="J119" s="402">
        <f t="shared" si="46"/>
        <v>-91446.33</v>
      </c>
      <c r="K119" s="402">
        <f>-SUM(J117:J119)/SUM(G117:G119)*365</f>
        <v>1126046.512077295</v>
      </c>
      <c r="L119" s="381" t="s">
        <v>370</v>
      </c>
      <c r="N119" s="396">
        <f t="shared" si="47"/>
        <v>32000000</v>
      </c>
      <c r="O119" s="397">
        <f t="shared" si="54"/>
        <v>1.42596E-3</v>
      </c>
      <c r="P119" s="374">
        <v>360</v>
      </c>
      <c r="Q119" s="399">
        <f t="shared" si="59"/>
        <v>41276</v>
      </c>
      <c r="R119" s="399">
        <f t="shared" si="61"/>
        <v>41306</v>
      </c>
      <c r="S119" s="400">
        <f t="shared" si="48"/>
        <v>30</v>
      </c>
      <c r="T119" s="401">
        <f t="shared" si="62"/>
        <v>3802.56</v>
      </c>
      <c r="U119" s="363">
        <f t="shared" si="52"/>
        <v>94269.33</v>
      </c>
      <c r="V119" s="402">
        <f t="shared" si="49"/>
        <v>-90466.77</v>
      </c>
      <c r="W119" s="402">
        <f>-SUM(V117:V119)/SUM(S117:S119)*365</f>
        <v>1113985.6028381642</v>
      </c>
      <c r="X119" s="381" t="s">
        <v>370</v>
      </c>
      <c r="Z119" s="396">
        <f t="shared" si="50"/>
        <v>32000000</v>
      </c>
      <c r="AA119" s="397">
        <f t="shared" si="56"/>
        <v>1.42596E-3</v>
      </c>
      <c r="AB119" s="374">
        <v>360</v>
      </c>
      <c r="AC119" s="399">
        <f t="shared" si="60"/>
        <v>41276</v>
      </c>
      <c r="AD119" s="399">
        <f t="shared" si="57"/>
        <v>41306</v>
      </c>
      <c r="AE119" s="400">
        <f t="shared" si="41"/>
        <v>30</v>
      </c>
      <c r="AF119" s="401">
        <f t="shared" si="63"/>
        <v>3802.56</v>
      </c>
      <c r="AG119" s="363">
        <f t="shared" si="53"/>
        <v>93960</v>
      </c>
      <c r="AH119" s="402">
        <f t="shared" si="42"/>
        <v>-90157.440000000002</v>
      </c>
      <c r="AI119" s="402">
        <f>-SUM(AH117:AH119)/SUM(AE117:AE119)*365</f>
        <v>1110176.9468599034</v>
      </c>
      <c r="AJ119" s="381" t="s">
        <v>370</v>
      </c>
    </row>
    <row r="120" spans="2:36" x14ac:dyDescent="0.25">
      <c r="B120" s="396">
        <f t="shared" si="43"/>
        <v>32000000</v>
      </c>
      <c r="C120" s="397">
        <v>1.37156E-3</v>
      </c>
      <c r="D120" s="374">
        <v>360</v>
      </c>
      <c r="E120" s="399">
        <f t="shared" si="58"/>
        <v>41306</v>
      </c>
      <c r="F120" s="399">
        <v>41334</v>
      </c>
      <c r="G120" s="400">
        <f t="shared" si="44"/>
        <v>28</v>
      </c>
      <c r="H120" s="401">
        <f t="shared" si="45"/>
        <v>3413.6604444444447</v>
      </c>
      <c r="I120" s="363">
        <f t="shared" si="64"/>
        <v>98533.33</v>
      </c>
      <c r="J120" s="402">
        <f t="shared" si="46"/>
        <v>-95119.669555555563</v>
      </c>
      <c r="K120" s="402">
        <f>-SUM(J117:J120)/SUM(G117:G120)*365</f>
        <v>1152624.6541574076</v>
      </c>
      <c r="L120" s="381" t="s">
        <v>370</v>
      </c>
      <c r="N120" s="396">
        <f t="shared" si="47"/>
        <v>32000000</v>
      </c>
      <c r="O120" s="397">
        <f t="shared" si="54"/>
        <v>1.37156E-3</v>
      </c>
      <c r="P120" s="374">
        <v>360</v>
      </c>
      <c r="Q120" s="399">
        <f t="shared" si="59"/>
        <v>41306</v>
      </c>
      <c r="R120" s="399">
        <f t="shared" si="61"/>
        <v>41334</v>
      </c>
      <c r="S120" s="400">
        <f t="shared" si="48"/>
        <v>28</v>
      </c>
      <c r="T120" s="401">
        <f t="shared" si="62"/>
        <v>3413.6604444444447</v>
      </c>
      <c r="U120" s="363">
        <f t="shared" si="52"/>
        <v>97520</v>
      </c>
      <c r="V120" s="402">
        <f t="shared" si="49"/>
        <v>-94106.339555555562</v>
      </c>
      <c r="W120" s="402">
        <f>-SUM(V117:V120)/SUM(S117:S120)*365</f>
        <v>1140295.7449907409</v>
      </c>
      <c r="X120" s="381" t="s">
        <v>370</v>
      </c>
      <c r="Z120" s="396">
        <f t="shared" si="50"/>
        <v>32000000</v>
      </c>
      <c r="AA120" s="397">
        <f t="shared" si="56"/>
        <v>1.37156E-3</v>
      </c>
      <c r="AB120" s="374">
        <v>360</v>
      </c>
      <c r="AC120" s="399">
        <f t="shared" si="60"/>
        <v>41306</v>
      </c>
      <c r="AD120" s="399">
        <f t="shared" si="57"/>
        <v>41334</v>
      </c>
      <c r="AE120" s="400">
        <f t="shared" si="41"/>
        <v>28</v>
      </c>
      <c r="AF120" s="401">
        <f t="shared" si="63"/>
        <v>3413.6604444444447</v>
      </c>
      <c r="AG120" s="363">
        <f t="shared" si="53"/>
        <v>97200</v>
      </c>
      <c r="AH120" s="402">
        <f t="shared" si="42"/>
        <v>-93786.339555555562</v>
      </c>
      <c r="AI120" s="402">
        <f>-SUM(AH117:AH120)/SUM(AE117:AE120)*365</f>
        <v>1136402.4420740742</v>
      </c>
      <c r="AJ120" s="381" t="s">
        <v>370</v>
      </c>
    </row>
    <row r="121" spans="2:36" x14ac:dyDescent="0.25">
      <c r="B121" s="396">
        <f t="shared" si="43"/>
        <v>32000000</v>
      </c>
      <c r="C121" s="397">
        <v>1.3851600000000001E-3</v>
      </c>
      <c r="D121" s="374">
        <v>360</v>
      </c>
      <c r="E121" s="399">
        <f t="shared" si="58"/>
        <v>41334</v>
      </c>
      <c r="F121" s="399">
        <v>41366</v>
      </c>
      <c r="G121" s="400">
        <f t="shared" si="44"/>
        <v>32</v>
      </c>
      <c r="H121" s="401">
        <f t="shared" si="45"/>
        <v>3940.010666666667</v>
      </c>
      <c r="I121" s="363">
        <f t="shared" si="64"/>
        <v>101817.78</v>
      </c>
      <c r="J121" s="402">
        <f t="shared" si="46"/>
        <v>-97877.76933333333</v>
      </c>
      <c r="K121" s="402">
        <f>-SUM(J117:J121)/SUM(G117:G121)*365</f>
        <v>1145002.2651681288</v>
      </c>
      <c r="L121" s="381" t="s">
        <v>370</v>
      </c>
      <c r="N121" s="396">
        <f t="shared" si="47"/>
        <v>32000000</v>
      </c>
      <c r="O121" s="397">
        <f t="shared" si="54"/>
        <v>1.3851600000000001E-3</v>
      </c>
      <c r="P121" s="374">
        <v>360</v>
      </c>
      <c r="Q121" s="399">
        <f t="shared" si="59"/>
        <v>41334</v>
      </c>
      <c r="R121" s="399">
        <f t="shared" si="61"/>
        <v>41366</v>
      </c>
      <c r="S121" s="400">
        <f t="shared" si="48"/>
        <v>32</v>
      </c>
      <c r="T121" s="401">
        <f t="shared" si="62"/>
        <v>3940.010666666667</v>
      </c>
      <c r="U121" s="363">
        <f t="shared" si="52"/>
        <v>100770.67</v>
      </c>
      <c r="V121" s="402">
        <f t="shared" si="49"/>
        <v>-96830.659333333329</v>
      </c>
      <c r="W121" s="402">
        <f>-SUM(V117:V121)/SUM(S117:S121)*365</f>
        <v>1132754.4740497076</v>
      </c>
      <c r="X121" s="381" t="s">
        <v>370</v>
      </c>
      <c r="Z121" s="396">
        <f t="shared" si="50"/>
        <v>32000000</v>
      </c>
      <c r="AA121" s="397">
        <f t="shared" si="56"/>
        <v>1.3851600000000001E-3</v>
      </c>
      <c r="AB121" s="374">
        <v>360</v>
      </c>
      <c r="AC121" s="399">
        <f t="shared" si="60"/>
        <v>41334</v>
      </c>
      <c r="AD121" s="399">
        <f t="shared" si="57"/>
        <v>41366</v>
      </c>
      <c r="AE121" s="400">
        <f t="shared" si="41"/>
        <v>32</v>
      </c>
      <c r="AF121" s="401">
        <f t="shared" si="63"/>
        <v>3940.010666666667</v>
      </c>
      <c r="AG121" s="363">
        <f t="shared" si="53"/>
        <v>100440</v>
      </c>
      <c r="AH121" s="402">
        <f t="shared" si="42"/>
        <v>-96499.989333333331</v>
      </c>
      <c r="AI121" s="402">
        <f>-SUM(AH117:AH121)/SUM(AE117:AE121)*365</f>
        <v>1128886.770760234</v>
      </c>
      <c r="AJ121" s="381" t="s">
        <v>370</v>
      </c>
    </row>
    <row r="122" spans="2:36" x14ac:dyDescent="0.25">
      <c r="B122" s="396">
        <f t="shared" si="43"/>
        <v>32000000</v>
      </c>
      <c r="C122" s="397">
        <v>1.3851600000000001E-3</v>
      </c>
      <c r="D122" s="374">
        <v>360</v>
      </c>
      <c r="E122" s="399">
        <f t="shared" si="58"/>
        <v>41366</v>
      </c>
      <c r="F122" s="399">
        <v>41395</v>
      </c>
      <c r="G122" s="400">
        <f t="shared" si="44"/>
        <v>29</v>
      </c>
      <c r="H122" s="401">
        <f t="shared" si="45"/>
        <v>3570.6346666666673</v>
      </c>
      <c r="I122" s="363">
        <f t="shared" si="64"/>
        <v>95248.89</v>
      </c>
      <c r="J122" s="402">
        <f t="shared" si="46"/>
        <v>-91678.255333333334</v>
      </c>
      <c r="K122" s="402">
        <f>-SUM(J118:J122)/SUM(G118:G122)*365</f>
        <v>1145216.7675018643</v>
      </c>
      <c r="L122" s="381" t="s">
        <v>370</v>
      </c>
      <c r="N122" s="396">
        <f t="shared" si="47"/>
        <v>32000000</v>
      </c>
      <c r="O122" s="397">
        <f t="shared" si="54"/>
        <v>1.3851600000000001E-3</v>
      </c>
      <c r="P122" s="374">
        <v>360</v>
      </c>
      <c r="Q122" s="399">
        <f t="shared" si="59"/>
        <v>41366</v>
      </c>
      <c r="R122" s="399">
        <f t="shared" si="61"/>
        <v>41395</v>
      </c>
      <c r="S122" s="400">
        <f t="shared" si="48"/>
        <v>29</v>
      </c>
      <c r="T122" s="401">
        <f t="shared" si="62"/>
        <v>3570.6346666666673</v>
      </c>
      <c r="U122" s="363">
        <f t="shared" si="52"/>
        <v>94269.33</v>
      </c>
      <c r="V122" s="402">
        <f t="shared" si="49"/>
        <v>-90698.695333333337</v>
      </c>
      <c r="W122" s="402">
        <f>-SUM(V118:V122)/SUM(S118:S122)*365</f>
        <v>1132970.6010589113</v>
      </c>
      <c r="X122" s="381" t="s">
        <v>370</v>
      </c>
      <c r="Z122" s="396">
        <f t="shared" si="50"/>
        <v>32000000</v>
      </c>
      <c r="AA122" s="397">
        <f t="shared" si="56"/>
        <v>1.3851600000000001E-3</v>
      </c>
      <c r="AB122" s="374">
        <v>360</v>
      </c>
      <c r="AC122" s="399">
        <f t="shared" si="60"/>
        <v>41366</v>
      </c>
      <c r="AD122" s="399">
        <f t="shared" si="57"/>
        <v>41395</v>
      </c>
      <c r="AE122" s="400">
        <f t="shared" si="41"/>
        <v>29</v>
      </c>
      <c r="AF122" s="401">
        <f t="shared" si="63"/>
        <v>3570.6346666666673</v>
      </c>
      <c r="AG122" s="363">
        <f t="shared" si="53"/>
        <v>93960</v>
      </c>
      <c r="AH122" s="402">
        <f t="shared" si="42"/>
        <v>-90389.365333333335</v>
      </c>
      <c r="AI122" s="402">
        <f>-SUM(AH118:AH122)/SUM(AE118:AE122)*365</f>
        <v>1129103.4138105889</v>
      </c>
      <c r="AJ122" s="381" t="s">
        <v>370</v>
      </c>
    </row>
    <row r="123" spans="2:36" x14ac:dyDescent="0.25">
      <c r="B123" s="396">
        <f t="shared" si="43"/>
        <v>32000000</v>
      </c>
      <c r="C123" s="397">
        <v>1.3477599999999999E-3</v>
      </c>
      <c r="D123" s="374">
        <v>360</v>
      </c>
      <c r="E123" s="399">
        <f t="shared" si="58"/>
        <v>41395</v>
      </c>
      <c r="F123" s="399">
        <v>41428</v>
      </c>
      <c r="G123" s="400">
        <f t="shared" si="44"/>
        <v>33</v>
      </c>
      <c r="H123" s="401">
        <f t="shared" si="45"/>
        <v>3953.4293333333326</v>
      </c>
      <c r="I123" s="363">
        <f t="shared" si="64"/>
        <v>105102.22</v>
      </c>
      <c r="J123" s="402">
        <f t="shared" si="46"/>
        <v>-101148.79066666667</v>
      </c>
      <c r="K123" s="402">
        <f>-SUM(J123)/SUM(G123)*365</f>
        <v>1118766.9270707071</v>
      </c>
      <c r="L123" s="381" t="s">
        <v>370</v>
      </c>
      <c r="N123" s="396">
        <f t="shared" si="47"/>
        <v>32000000</v>
      </c>
      <c r="O123" s="397">
        <f t="shared" si="54"/>
        <v>1.3477599999999999E-3</v>
      </c>
      <c r="P123" s="374">
        <v>360</v>
      </c>
      <c r="Q123" s="399">
        <f t="shared" si="59"/>
        <v>41395</v>
      </c>
      <c r="R123" s="399">
        <f t="shared" si="61"/>
        <v>41428</v>
      </c>
      <c r="S123" s="400">
        <f t="shared" si="48"/>
        <v>33</v>
      </c>
      <c r="T123" s="401">
        <f t="shared" si="62"/>
        <v>3953.4293333333326</v>
      </c>
      <c r="U123" s="363">
        <f t="shared" si="52"/>
        <v>104021.33</v>
      </c>
      <c r="V123" s="402">
        <f t="shared" si="49"/>
        <v>-100067.90066666667</v>
      </c>
      <c r="W123" s="402">
        <f>-SUM(V123)/SUM(S123)*365</f>
        <v>1106811.6285858585</v>
      </c>
      <c r="X123" s="381" t="s">
        <v>370</v>
      </c>
      <c r="Z123" s="396">
        <f t="shared" si="50"/>
        <v>32000000</v>
      </c>
      <c r="AA123" s="397">
        <f t="shared" si="56"/>
        <v>1.3477599999999999E-3</v>
      </c>
      <c r="AB123" s="374">
        <v>360</v>
      </c>
      <c r="AC123" s="399">
        <f t="shared" si="60"/>
        <v>41395</v>
      </c>
      <c r="AD123" s="399">
        <f t="shared" si="57"/>
        <v>41428</v>
      </c>
      <c r="AE123" s="400">
        <f t="shared" si="41"/>
        <v>33</v>
      </c>
      <c r="AF123" s="401">
        <f t="shared" si="63"/>
        <v>3953.4293333333326</v>
      </c>
      <c r="AG123" s="363">
        <f t="shared" si="53"/>
        <v>103680</v>
      </c>
      <c r="AH123" s="402">
        <f t="shared" si="42"/>
        <v>-99726.570666666667</v>
      </c>
      <c r="AI123" s="402">
        <f>-SUM(AH123)/SUM(AE123)*365</f>
        <v>1103036.3119191919</v>
      </c>
      <c r="AJ123" s="381" t="s">
        <v>370</v>
      </c>
    </row>
    <row r="124" spans="2:36" x14ac:dyDescent="0.25">
      <c r="B124" s="396">
        <f t="shared" si="43"/>
        <v>32000000</v>
      </c>
      <c r="C124" s="397">
        <v>1.3177040000000001E-3</v>
      </c>
      <c r="D124" s="374">
        <v>360</v>
      </c>
      <c r="E124" s="399">
        <f t="shared" si="58"/>
        <v>41428</v>
      </c>
      <c r="F124" s="399">
        <v>41456</v>
      </c>
      <c r="G124" s="400">
        <f t="shared" si="44"/>
        <v>28</v>
      </c>
      <c r="H124" s="401">
        <f t="shared" si="45"/>
        <v>3279.6188444444447</v>
      </c>
      <c r="I124" s="363">
        <f t="shared" si="64"/>
        <v>91964.44</v>
      </c>
      <c r="J124" s="402">
        <f t="shared" si="46"/>
        <v>-88684.821155555561</v>
      </c>
      <c r="K124" s="402">
        <f>-SUM(J123:J124)/SUM(G123:G124)*365</f>
        <v>1135889.6445100184</v>
      </c>
      <c r="L124" s="381" t="s">
        <v>370</v>
      </c>
      <c r="N124" s="396">
        <f t="shared" si="47"/>
        <v>32000000</v>
      </c>
      <c r="O124" s="397">
        <f t="shared" si="54"/>
        <v>1.3177040000000001E-3</v>
      </c>
      <c r="P124" s="374">
        <v>360</v>
      </c>
      <c r="Q124" s="399">
        <f t="shared" si="59"/>
        <v>41428</v>
      </c>
      <c r="R124" s="399">
        <f t="shared" si="61"/>
        <v>41456</v>
      </c>
      <c r="S124" s="400">
        <f t="shared" si="48"/>
        <v>28</v>
      </c>
      <c r="T124" s="401">
        <f t="shared" si="62"/>
        <v>3279.6188444444447</v>
      </c>
      <c r="U124" s="363">
        <f t="shared" si="52"/>
        <v>91018.67</v>
      </c>
      <c r="V124" s="402">
        <f t="shared" si="49"/>
        <v>-87739.051155555557</v>
      </c>
      <c r="W124" s="402">
        <f>-SUM(V123:V124)/SUM(S123:S124)*365</f>
        <v>1123762.9084444444</v>
      </c>
      <c r="X124" s="381" t="s">
        <v>370</v>
      </c>
      <c r="Z124" s="396">
        <f t="shared" si="50"/>
        <v>32000000</v>
      </c>
      <c r="AA124" s="397">
        <f t="shared" si="56"/>
        <v>1.3177040000000001E-3</v>
      </c>
      <c r="AB124" s="374">
        <v>360</v>
      </c>
      <c r="AC124" s="399">
        <f t="shared" si="60"/>
        <v>41428</v>
      </c>
      <c r="AD124" s="399">
        <f t="shared" si="57"/>
        <v>41456</v>
      </c>
      <c r="AE124" s="400">
        <f t="shared" si="41"/>
        <v>28</v>
      </c>
      <c r="AF124" s="401">
        <f t="shared" si="63"/>
        <v>3279.6188444444447</v>
      </c>
      <c r="AG124" s="363">
        <f t="shared" si="53"/>
        <v>90720</v>
      </c>
      <c r="AH124" s="402">
        <f t="shared" si="42"/>
        <v>-87440.381155555559</v>
      </c>
      <c r="AI124" s="402">
        <f>-SUM(AH123:AH124)/SUM(AE123:AE124)*365</f>
        <v>1119933.4002477231</v>
      </c>
      <c r="AJ124" s="381" t="s">
        <v>370</v>
      </c>
    </row>
    <row r="125" spans="2:36" x14ac:dyDescent="0.25">
      <c r="B125" s="396">
        <f t="shared" si="43"/>
        <v>32000000</v>
      </c>
      <c r="C125" s="397">
        <v>1.3263400000000001E-3</v>
      </c>
      <c r="D125" s="374">
        <v>360</v>
      </c>
      <c r="E125" s="399">
        <f t="shared" si="58"/>
        <v>41456</v>
      </c>
      <c r="F125" s="399">
        <v>41487</v>
      </c>
      <c r="G125" s="400">
        <f t="shared" si="44"/>
        <v>31</v>
      </c>
      <c r="H125" s="401">
        <f t="shared" si="45"/>
        <v>3654.8035555555557</v>
      </c>
      <c r="I125" s="363">
        <f t="shared" si="64"/>
        <v>98533.33</v>
      </c>
      <c r="J125" s="402">
        <f t="shared" si="46"/>
        <v>-94878.526444444447</v>
      </c>
      <c r="K125" s="402">
        <f>-SUM(J123:J125)/SUM(G123:G125)*365</f>
        <v>1129564.4616014494</v>
      </c>
      <c r="L125" s="381" t="s">
        <v>370</v>
      </c>
      <c r="N125" s="396">
        <f t="shared" si="47"/>
        <v>32000000</v>
      </c>
      <c r="O125" s="397">
        <f t="shared" si="54"/>
        <v>1.3263400000000001E-3</v>
      </c>
      <c r="P125" s="374">
        <v>360</v>
      </c>
      <c r="Q125" s="399">
        <f t="shared" si="59"/>
        <v>41456</v>
      </c>
      <c r="R125" s="399">
        <f t="shared" si="61"/>
        <v>41487</v>
      </c>
      <c r="S125" s="400">
        <f t="shared" si="48"/>
        <v>31</v>
      </c>
      <c r="T125" s="401">
        <f t="shared" si="62"/>
        <v>3654.8035555555557</v>
      </c>
      <c r="U125" s="363">
        <f t="shared" si="52"/>
        <v>97520</v>
      </c>
      <c r="V125" s="402">
        <f t="shared" si="49"/>
        <v>-93865.196444444446</v>
      </c>
      <c r="W125" s="402">
        <f>-SUM(V123:V125)/SUM(S123:S125)*365</f>
        <v>1117503.6317101449</v>
      </c>
      <c r="X125" s="381" t="s">
        <v>370</v>
      </c>
      <c r="Z125" s="396">
        <f t="shared" si="50"/>
        <v>32000000</v>
      </c>
      <c r="AA125" s="397">
        <f t="shared" si="56"/>
        <v>1.3263400000000001E-3</v>
      </c>
      <c r="AB125" s="374">
        <v>360</v>
      </c>
      <c r="AC125" s="399">
        <f t="shared" si="60"/>
        <v>41456</v>
      </c>
      <c r="AD125" s="399">
        <f t="shared" si="57"/>
        <v>41487</v>
      </c>
      <c r="AE125" s="400">
        <f t="shared" si="41"/>
        <v>31</v>
      </c>
      <c r="AF125" s="401">
        <f t="shared" si="63"/>
        <v>3654.8035555555557</v>
      </c>
      <c r="AG125" s="363">
        <f t="shared" si="53"/>
        <v>97200</v>
      </c>
      <c r="AH125" s="402">
        <f t="shared" si="42"/>
        <v>-93545.196444444446</v>
      </c>
      <c r="AI125" s="402">
        <f>-SUM(AH123:AH125)/SUM(AE123:AE125)*365</f>
        <v>1113694.9360579711</v>
      </c>
      <c r="AJ125" s="381" t="s">
        <v>370</v>
      </c>
    </row>
    <row r="126" spans="2:36" x14ac:dyDescent="0.25">
      <c r="B126" s="396">
        <f t="shared" si="43"/>
        <v>32000000</v>
      </c>
      <c r="C126" s="397">
        <v>1.273164E-3</v>
      </c>
      <c r="D126" s="374">
        <v>360</v>
      </c>
      <c r="E126" s="399">
        <f t="shared" si="58"/>
        <v>41487</v>
      </c>
      <c r="F126" s="399">
        <v>41520</v>
      </c>
      <c r="G126" s="400">
        <f t="shared" si="44"/>
        <v>33</v>
      </c>
      <c r="H126" s="401">
        <f t="shared" si="45"/>
        <v>3734.6143999999999</v>
      </c>
      <c r="I126" s="363">
        <f t="shared" si="64"/>
        <v>105102.22</v>
      </c>
      <c r="J126" s="402">
        <f t="shared" si="46"/>
        <v>-101367.6056</v>
      </c>
      <c r="K126" s="402">
        <f>-SUM(J123:J126)/SUM(G123:G126)*365</f>
        <v>1127352.8520906665</v>
      </c>
      <c r="L126" s="381" t="s">
        <v>370</v>
      </c>
      <c r="N126" s="396">
        <f t="shared" si="47"/>
        <v>32000000</v>
      </c>
      <c r="O126" s="397">
        <f t="shared" si="54"/>
        <v>1.273164E-3</v>
      </c>
      <c r="P126" s="374">
        <v>360</v>
      </c>
      <c r="Q126" s="399">
        <f t="shared" si="59"/>
        <v>41487</v>
      </c>
      <c r="R126" s="399">
        <f t="shared" si="61"/>
        <v>41520</v>
      </c>
      <c r="S126" s="400">
        <f t="shared" si="48"/>
        <v>33</v>
      </c>
      <c r="T126" s="401">
        <f t="shared" si="62"/>
        <v>3734.6143999999999</v>
      </c>
      <c r="U126" s="363">
        <f t="shared" si="52"/>
        <v>104021.33</v>
      </c>
      <c r="V126" s="402">
        <f t="shared" si="49"/>
        <v>-100286.7156</v>
      </c>
      <c r="W126" s="402">
        <f>-SUM(V123:V126)/SUM(S123:S126)*365</f>
        <v>1115319.8824906666</v>
      </c>
      <c r="X126" s="381" t="s">
        <v>370</v>
      </c>
      <c r="Z126" s="396">
        <f t="shared" si="50"/>
        <v>32000000</v>
      </c>
      <c r="AA126" s="397">
        <f t="shared" si="56"/>
        <v>1.273164E-3</v>
      </c>
      <c r="AB126" s="374">
        <v>360</v>
      </c>
      <c r="AC126" s="399">
        <f t="shared" si="60"/>
        <v>41487</v>
      </c>
      <c r="AD126" s="399">
        <f t="shared" si="57"/>
        <v>41520</v>
      </c>
      <c r="AE126" s="400">
        <f t="shared" si="41"/>
        <v>33</v>
      </c>
      <c r="AF126" s="401">
        <f t="shared" si="63"/>
        <v>3734.6143999999999</v>
      </c>
      <c r="AG126" s="363">
        <f t="shared" si="53"/>
        <v>103680</v>
      </c>
      <c r="AH126" s="402">
        <f t="shared" si="42"/>
        <v>-99945.385599999994</v>
      </c>
      <c r="AI126" s="402">
        <f>-SUM(AH123:AH126)/SUM(AE123:AE126)*365</f>
        <v>1111519.9988906665</v>
      </c>
      <c r="AJ126" s="381" t="s">
        <v>370</v>
      </c>
    </row>
    <row r="127" spans="2:36" x14ac:dyDescent="0.25">
      <c r="B127" s="396">
        <f t="shared" si="43"/>
        <v>32000000</v>
      </c>
      <c r="C127" s="397">
        <v>1.2380080000000001E-3</v>
      </c>
      <c r="D127" s="374">
        <v>360</v>
      </c>
      <c r="E127" s="399">
        <f t="shared" si="58"/>
        <v>41520</v>
      </c>
      <c r="F127" s="399">
        <v>41548</v>
      </c>
      <c r="G127" s="400">
        <f t="shared" si="44"/>
        <v>28</v>
      </c>
      <c r="H127" s="401">
        <f t="shared" si="45"/>
        <v>3081.2643555555555</v>
      </c>
      <c r="I127" s="363">
        <f t="shared" si="64"/>
        <v>91964.44</v>
      </c>
      <c r="J127" s="402">
        <f t="shared" si="46"/>
        <v>-88883.175644444447</v>
      </c>
      <c r="K127" s="402">
        <f>-SUM(J123:J127)/SUM(G123:G127)*365</f>
        <v>1133081.4746506899</v>
      </c>
      <c r="L127" s="381" t="s">
        <v>370</v>
      </c>
      <c r="N127" s="396">
        <f t="shared" si="47"/>
        <v>32000000</v>
      </c>
      <c r="O127" s="397">
        <f t="shared" si="54"/>
        <v>1.2380080000000001E-3</v>
      </c>
      <c r="P127" s="374">
        <v>360</v>
      </c>
      <c r="Q127" s="399">
        <f t="shared" si="59"/>
        <v>41520</v>
      </c>
      <c r="R127" s="399">
        <f t="shared" si="61"/>
        <v>41548</v>
      </c>
      <c r="S127" s="400">
        <f t="shared" si="48"/>
        <v>28</v>
      </c>
      <c r="T127" s="401">
        <f t="shared" si="62"/>
        <v>3081.2643555555555</v>
      </c>
      <c r="U127" s="363">
        <f t="shared" si="52"/>
        <v>91018.67</v>
      </c>
      <c r="V127" s="402">
        <f t="shared" si="49"/>
        <v>-87937.405644444443</v>
      </c>
      <c r="W127" s="402">
        <f>-SUM(V123:V127)/SUM(S123:S127)*365</f>
        <v>1120994.3684415398</v>
      </c>
      <c r="X127" s="381" t="s">
        <v>370</v>
      </c>
      <c r="Z127" s="396">
        <f t="shared" si="50"/>
        <v>32000000</v>
      </c>
      <c r="AA127" s="397">
        <f t="shared" si="56"/>
        <v>1.2380080000000001E-3</v>
      </c>
      <c r="AB127" s="374">
        <v>360</v>
      </c>
      <c r="AC127" s="399">
        <f t="shared" si="60"/>
        <v>41520</v>
      </c>
      <c r="AD127" s="399">
        <f t="shared" si="57"/>
        <v>41548</v>
      </c>
      <c r="AE127" s="400">
        <f t="shared" si="41"/>
        <v>28</v>
      </c>
      <c r="AF127" s="401">
        <f t="shared" si="63"/>
        <v>3081.2643555555555</v>
      </c>
      <c r="AG127" s="363">
        <f t="shared" si="53"/>
        <v>90720</v>
      </c>
      <c r="AH127" s="402">
        <f t="shared" si="42"/>
        <v>-87638.735644444445</v>
      </c>
      <c r="AI127" s="402">
        <f>-SUM(AH123:AH127)/SUM(AE123:AE127)*365</f>
        <v>1117177.3749774871</v>
      </c>
      <c r="AJ127" s="381" t="s">
        <v>370</v>
      </c>
    </row>
    <row r="128" spans="2:36" x14ac:dyDescent="0.25">
      <c r="B128" s="396">
        <f t="shared" si="43"/>
        <v>32000000</v>
      </c>
      <c r="C128" s="412">
        <v>1.2216200000000001E-3</v>
      </c>
      <c r="D128" s="374">
        <v>360</v>
      </c>
      <c r="E128" s="399">
        <f t="shared" si="58"/>
        <v>41548</v>
      </c>
      <c r="F128" s="399">
        <v>41579</v>
      </c>
      <c r="G128" s="400">
        <f>F128-E128</f>
        <v>31</v>
      </c>
      <c r="H128" s="401">
        <f t="shared" si="45"/>
        <v>3366.2417777777778</v>
      </c>
      <c r="I128" s="363">
        <f>ROUND((32000000*0.03695)*(+DAYS360(E128,F128))/D128,2)</f>
        <v>98533.33</v>
      </c>
      <c r="J128" s="402">
        <f>H128-I128</f>
        <v>-95167.088222222228</v>
      </c>
      <c r="K128" s="402">
        <f>-SUM(J123:J128)/SUM(G123:G128)*365</f>
        <v>1130964.417514493</v>
      </c>
      <c r="L128" s="381" t="s">
        <v>370</v>
      </c>
      <c r="N128" s="396">
        <f t="shared" si="47"/>
        <v>32000000</v>
      </c>
      <c r="O128" s="397">
        <f t="shared" si="54"/>
        <v>1.2216200000000001E-3</v>
      </c>
      <c r="P128" s="374">
        <v>360</v>
      </c>
      <c r="Q128" s="399">
        <f t="shared" si="59"/>
        <v>41548</v>
      </c>
      <c r="R128" s="399">
        <f t="shared" si="61"/>
        <v>41579</v>
      </c>
      <c r="S128" s="400">
        <f>R128-Q128</f>
        <v>31</v>
      </c>
      <c r="T128" s="401">
        <f t="shared" si="62"/>
        <v>3366.2417777777778</v>
      </c>
      <c r="U128" s="363">
        <f t="shared" si="52"/>
        <v>97520</v>
      </c>
      <c r="V128" s="402">
        <f>T128-U128</f>
        <v>-94153.758222222226</v>
      </c>
      <c r="W128" s="402">
        <f>-SUM(V123:V128)/SUM(S123:S128)*365</f>
        <v>1118903.5876231887</v>
      </c>
      <c r="X128" s="381" t="s">
        <v>370</v>
      </c>
      <c r="Z128" s="396">
        <f t="shared" si="50"/>
        <v>32000000</v>
      </c>
      <c r="AA128" s="397">
        <f t="shared" si="56"/>
        <v>1.2216200000000001E-3</v>
      </c>
      <c r="AB128" s="374">
        <v>360</v>
      </c>
      <c r="AC128" s="399">
        <f t="shared" si="60"/>
        <v>41548</v>
      </c>
      <c r="AD128" s="399">
        <f t="shared" si="57"/>
        <v>41579</v>
      </c>
      <c r="AE128" s="400">
        <f>AD128-AC128</f>
        <v>31</v>
      </c>
      <c r="AF128" s="401">
        <f t="shared" si="63"/>
        <v>3366.2417777777778</v>
      </c>
      <c r="AG128" s="363">
        <f t="shared" si="53"/>
        <v>97200</v>
      </c>
      <c r="AH128" s="402">
        <f>AF128-AG128</f>
        <v>-93833.758222222226</v>
      </c>
      <c r="AI128" s="402">
        <f>-SUM(AH123:AH128)/SUM(AE123:AE128)*365</f>
        <v>1115094.8919710144</v>
      </c>
      <c r="AJ128" s="381" t="s">
        <v>370</v>
      </c>
    </row>
    <row r="129" spans="2:36" hidden="1" x14ac:dyDescent="0.25">
      <c r="B129" s="396">
        <f t="shared" si="43"/>
        <v>32000000</v>
      </c>
      <c r="C129" s="412">
        <v>1.1424E-3</v>
      </c>
      <c r="D129" s="374">
        <v>360</v>
      </c>
      <c r="E129" s="399">
        <f t="shared" si="58"/>
        <v>41579</v>
      </c>
      <c r="F129" s="399">
        <v>41610</v>
      </c>
      <c r="G129" s="400">
        <f>F129-E129</f>
        <v>31</v>
      </c>
      <c r="H129" s="401">
        <f t="shared" si="45"/>
        <v>3147.9466666666667</v>
      </c>
      <c r="I129" s="363">
        <f>ROUND((32000000*0.03695)*(+DAYS360(E129,F129))/D129,2)</f>
        <v>101817.78</v>
      </c>
      <c r="J129" s="402">
        <f>H129-I129</f>
        <v>-98669.833333333328</v>
      </c>
      <c r="K129" s="402">
        <f>-SUM(J129:J129)/SUM(G129:G129)*365</f>
        <v>1161757.7150537632</v>
      </c>
      <c r="L129" s="381" t="s">
        <v>370</v>
      </c>
      <c r="N129" s="396">
        <f t="shared" si="47"/>
        <v>32000000</v>
      </c>
      <c r="O129" s="397">
        <f>+C129</f>
        <v>1.1424E-3</v>
      </c>
      <c r="P129" s="374">
        <v>360</v>
      </c>
      <c r="Q129" s="399">
        <f t="shared" si="59"/>
        <v>41579</v>
      </c>
      <c r="R129" s="399">
        <f t="shared" si="61"/>
        <v>41610</v>
      </c>
      <c r="S129" s="400">
        <f>R129-Q129</f>
        <v>31</v>
      </c>
      <c r="T129" s="401">
        <f t="shared" si="62"/>
        <v>3147.9466666666667</v>
      </c>
      <c r="U129" s="363">
        <f t="shared" si="52"/>
        <v>100770.67</v>
      </c>
      <c r="V129" s="402">
        <f>T129-U129</f>
        <v>-97622.723333333328</v>
      </c>
      <c r="W129" s="402">
        <f>-SUM(V129:V129)/SUM(S129:S129)*365</f>
        <v>1149428.8392473117</v>
      </c>
      <c r="X129" s="381" t="s">
        <v>370</v>
      </c>
      <c r="Z129" s="396">
        <f t="shared" si="50"/>
        <v>32000000</v>
      </c>
      <c r="AA129" s="397">
        <f>+O129</f>
        <v>1.1424E-3</v>
      </c>
      <c r="AB129" s="374">
        <v>360</v>
      </c>
      <c r="AC129" s="399">
        <f t="shared" si="60"/>
        <v>41579</v>
      </c>
      <c r="AD129" s="399">
        <f>+F129</f>
        <v>41610</v>
      </c>
      <c r="AE129" s="400">
        <f>AD129-AC129</f>
        <v>31</v>
      </c>
      <c r="AF129" s="401">
        <f t="shared" si="63"/>
        <v>3147.9466666666667</v>
      </c>
      <c r="AG129" s="363">
        <f t="shared" si="53"/>
        <v>100440</v>
      </c>
      <c r="AH129" s="402">
        <f>AF129-AG129</f>
        <v>-97292.05333333333</v>
      </c>
      <c r="AI129" s="402">
        <f>-SUM(AH129:AH129)/SUM(AE129:AE129)*365</f>
        <v>1145535.4666666668</v>
      </c>
      <c r="AJ129" s="381" t="s">
        <v>370</v>
      </c>
    </row>
    <row r="130" spans="2:36" hidden="1" x14ac:dyDescent="0.25">
      <c r="B130" s="396">
        <f t="shared" si="43"/>
        <v>32000000</v>
      </c>
      <c r="C130" s="412">
        <v>1.1475000000000001E-3</v>
      </c>
      <c r="D130" s="374">
        <v>360</v>
      </c>
      <c r="E130" s="399">
        <f t="shared" si="58"/>
        <v>41610</v>
      </c>
      <c r="F130" s="399">
        <v>41641</v>
      </c>
      <c r="G130" s="400">
        <f>F130-E130</f>
        <v>31</v>
      </c>
      <c r="H130" s="401">
        <f t="shared" si="45"/>
        <v>3162.0000000000005</v>
      </c>
      <c r="I130" s="363">
        <f>ROUND((32000000*0.03695)*(+DAYS360(E130,F130))/D130,2)</f>
        <v>98533.33</v>
      </c>
      <c r="J130" s="402">
        <f>H130-I130</f>
        <v>-95371.33</v>
      </c>
      <c r="K130" s="402">
        <f>-SUM(J130:J130)/SUM(G130:G130)*365</f>
        <v>1122920.4983870969</v>
      </c>
      <c r="L130" s="381" t="s">
        <v>370</v>
      </c>
      <c r="N130" s="396">
        <f t="shared" si="47"/>
        <v>32000000</v>
      </c>
      <c r="O130" s="397">
        <f>+C130</f>
        <v>1.1475000000000001E-3</v>
      </c>
      <c r="P130" s="374">
        <v>360</v>
      </c>
      <c r="Q130" s="399">
        <f t="shared" si="59"/>
        <v>41610</v>
      </c>
      <c r="R130" s="399">
        <f t="shared" si="61"/>
        <v>41641</v>
      </c>
      <c r="S130" s="400">
        <f>R130-Q130</f>
        <v>31</v>
      </c>
      <c r="T130" s="401">
        <f t="shared" si="62"/>
        <v>3162.0000000000005</v>
      </c>
      <c r="U130" s="363">
        <f t="shared" si="52"/>
        <v>97520</v>
      </c>
      <c r="V130" s="402">
        <f>T130-U130</f>
        <v>-94358</v>
      </c>
      <c r="W130" s="402">
        <f>-SUM(V130:V130)/SUM(S130:S130)*365</f>
        <v>1110989.3548387098</v>
      </c>
      <c r="X130" s="381" t="s">
        <v>370</v>
      </c>
      <c r="Z130" s="396">
        <f t="shared" si="50"/>
        <v>32000000</v>
      </c>
      <c r="AA130" s="397">
        <f>+O130</f>
        <v>1.1475000000000001E-3</v>
      </c>
      <c r="AB130" s="374">
        <v>360</v>
      </c>
      <c r="AC130" s="399">
        <f t="shared" si="60"/>
        <v>41610</v>
      </c>
      <c r="AD130" s="399">
        <f>+F130</f>
        <v>41641</v>
      </c>
      <c r="AE130" s="400">
        <f>AD130-AC130</f>
        <v>31</v>
      </c>
      <c r="AF130" s="401">
        <f t="shared" si="63"/>
        <v>3162.0000000000005</v>
      </c>
      <c r="AG130" s="363">
        <f t="shared" si="53"/>
        <v>97200</v>
      </c>
      <c r="AH130" s="402">
        <f>AF130-AG130</f>
        <v>-94038</v>
      </c>
      <c r="AI130" s="402">
        <f>-SUM(AH130:AH130)/SUM(AE130:AE130)*365</f>
        <v>1107221.6129032257</v>
      </c>
      <c r="AJ130" s="381" t="s">
        <v>370</v>
      </c>
    </row>
    <row r="131" spans="2:36" hidden="1" x14ac:dyDescent="0.25">
      <c r="B131" s="396">
        <f t="shared" si="43"/>
        <v>32000000</v>
      </c>
      <c r="C131" s="412">
        <v>1.1573600000000001E-3</v>
      </c>
      <c r="D131" s="374">
        <v>360</v>
      </c>
      <c r="E131" s="399">
        <f t="shared" si="58"/>
        <v>41641</v>
      </c>
      <c r="F131" s="399">
        <v>41673</v>
      </c>
      <c r="G131" s="400">
        <f>F131-E131</f>
        <v>32</v>
      </c>
      <c r="H131" s="401">
        <f t="shared" si="45"/>
        <v>3292.0462222222227</v>
      </c>
      <c r="I131" s="363">
        <f>ROUND((32000000*0.03695)*(+DAYS360(E131,F131))/D131,2)</f>
        <v>101817.78</v>
      </c>
      <c r="J131" s="402">
        <f>H131-I131</f>
        <v>-98525.733777777772</v>
      </c>
      <c r="K131" s="402">
        <f>-SUM(J131:J131)/SUM(G131:G131)*365</f>
        <v>1123809.1509027777</v>
      </c>
      <c r="L131" s="381" t="s">
        <v>370</v>
      </c>
      <c r="N131" s="396">
        <f t="shared" si="47"/>
        <v>32000000</v>
      </c>
      <c r="O131" s="397">
        <f>+C131</f>
        <v>1.1573600000000001E-3</v>
      </c>
      <c r="P131" s="374">
        <v>360</v>
      </c>
      <c r="Q131" s="399">
        <f t="shared" si="59"/>
        <v>41641</v>
      </c>
      <c r="R131" s="399">
        <f t="shared" si="61"/>
        <v>41673</v>
      </c>
      <c r="S131" s="400">
        <f>R131-Q131</f>
        <v>32</v>
      </c>
      <c r="T131" s="401">
        <f>S131/P131*O131*N131</f>
        <v>3292.0462222222227</v>
      </c>
      <c r="U131" s="363">
        <f t="shared" si="52"/>
        <v>100770.67</v>
      </c>
      <c r="V131" s="402">
        <f>T131-U131</f>
        <v>-97478.623777777771</v>
      </c>
      <c r="W131" s="402">
        <f>-SUM(V131:V131)/SUM(S131:S131)*365</f>
        <v>1111865.5524652777</v>
      </c>
      <c r="X131" s="381" t="s">
        <v>370</v>
      </c>
      <c r="Z131" s="396">
        <f t="shared" si="50"/>
        <v>32000000</v>
      </c>
      <c r="AA131" s="397">
        <f>+O131</f>
        <v>1.1573600000000001E-3</v>
      </c>
      <c r="AB131" s="374">
        <v>360</v>
      </c>
      <c r="AC131" s="399">
        <f t="shared" si="60"/>
        <v>41641</v>
      </c>
      <c r="AD131" s="399">
        <f>+F131</f>
        <v>41673</v>
      </c>
      <c r="AE131" s="400">
        <f>AD131-AC131</f>
        <v>32</v>
      </c>
      <c r="AF131" s="401">
        <f>AE131/AB131*AA131*Z131</f>
        <v>3292.0462222222227</v>
      </c>
      <c r="AG131" s="363">
        <f t="shared" si="53"/>
        <v>100440</v>
      </c>
      <c r="AH131" s="402">
        <f>AF131-AG131</f>
        <v>-97147.953777777773</v>
      </c>
      <c r="AI131" s="402">
        <f>-SUM(AH131:AH131)/SUM(AE131:AE131)*365</f>
        <v>1108093.8477777778</v>
      </c>
      <c r="AJ131" s="381" t="s">
        <v>370</v>
      </c>
    </row>
    <row r="132" spans="2:36" hidden="1" x14ac:dyDescent="0.25">
      <c r="B132" s="396">
        <f t="shared" si="43"/>
        <v>32000000</v>
      </c>
      <c r="C132" s="412">
        <v>1.0778000000000001E-3</v>
      </c>
      <c r="D132" s="374">
        <v>360</v>
      </c>
      <c r="E132" s="399">
        <f t="shared" si="58"/>
        <v>41673</v>
      </c>
      <c r="F132" s="399">
        <v>41701</v>
      </c>
      <c r="G132" s="400">
        <f>F132-E132</f>
        <v>28</v>
      </c>
      <c r="H132" s="401">
        <f t="shared" si="45"/>
        <v>2682.5244444444447</v>
      </c>
      <c r="I132" s="363">
        <f>ROUND((32000000*0.03695)*(+DAYS360(E132,F132))/D132,2)</f>
        <v>98533.33</v>
      </c>
      <c r="J132" s="402">
        <f>H132-I132</f>
        <v>-95850.805555555562</v>
      </c>
      <c r="K132" s="402">
        <f>-SUM(J132:J132)/SUM(G132:G132)*365</f>
        <v>1249483.7152777778</v>
      </c>
      <c r="L132" s="381" t="s">
        <v>370</v>
      </c>
      <c r="N132" s="396">
        <f t="shared" si="47"/>
        <v>32000000</v>
      </c>
      <c r="O132" s="397">
        <f>+C132</f>
        <v>1.0778000000000001E-3</v>
      </c>
      <c r="P132" s="374">
        <v>360</v>
      </c>
      <c r="Q132" s="399">
        <f t="shared" si="59"/>
        <v>41673</v>
      </c>
      <c r="R132" s="399">
        <f>+F132</f>
        <v>41701</v>
      </c>
      <c r="S132" s="400">
        <f>R132-Q132</f>
        <v>28</v>
      </c>
      <c r="T132" s="401">
        <f>S132/P132*O132*N132</f>
        <v>2682.5244444444447</v>
      </c>
      <c r="U132" s="363">
        <f t="shared" si="52"/>
        <v>97520</v>
      </c>
      <c r="V132" s="402">
        <f>T132-U132</f>
        <v>-94837.47555555556</v>
      </c>
      <c r="W132" s="402">
        <f>-SUM(V132:V132)/SUM(S132:S132)*365</f>
        <v>1236274.2349206351</v>
      </c>
      <c r="X132" s="381" t="s">
        <v>370</v>
      </c>
      <c r="Z132" s="396">
        <f t="shared" si="50"/>
        <v>32000000</v>
      </c>
      <c r="AA132" s="397">
        <f>+O132</f>
        <v>1.0778000000000001E-3</v>
      </c>
      <c r="AB132" s="374">
        <v>360</v>
      </c>
      <c r="AC132" s="399">
        <f t="shared" si="60"/>
        <v>41673</v>
      </c>
      <c r="AD132" s="399">
        <f>+F132</f>
        <v>41701</v>
      </c>
      <c r="AE132" s="400">
        <f>AD132-AC132</f>
        <v>28</v>
      </c>
      <c r="AF132" s="401">
        <f>AE132/AB132*AA132*Z132</f>
        <v>2682.5244444444447</v>
      </c>
      <c r="AG132" s="363">
        <f t="shared" si="53"/>
        <v>97200</v>
      </c>
      <c r="AH132" s="402">
        <f>AF132-AG132</f>
        <v>-94517.47555555556</v>
      </c>
      <c r="AI132" s="402">
        <f>-SUM(AH132:AH132)/SUM(AE132:AE132)*365</f>
        <v>1232102.8063492065</v>
      </c>
      <c r="AJ132" s="381" t="s">
        <v>370</v>
      </c>
    </row>
    <row r="133" spans="2:36" x14ac:dyDescent="0.25">
      <c r="L133" s="381" t="s">
        <v>370</v>
      </c>
      <c r="X133" s="381" t="s">
        <v>370</v>
      </c>
      <c r="AJ133" s="381" t="s">
        <v>370</v>
      </c>
    </row>
    <row r="134" spans="2:36" x14ac:dyDescent="0.25">
      <c r="L134" s="381" t="s">
        <v>370</v>
      </c>
      <c r="X134" s="381" t="s">
        <v>370</v>
      </c>
      <c r="AJ134" s="381" t="s">
        <v>370</v>
      </c>
    </row>
    <row r="135" spans="2:36" x14ac:dyDescent="0.25">
      <c r="L135" s="381" t="s">
        <v>370</v>
      </c>
      <c r="X135" s="381" t="s">
        <v>370</v>
      </c>
      <c r="AJ135" s="381" t="s">
        <v>370</v>
      </c>
    </row>
    <row r="136" spans="2:36" x14ac:dyDescent="0.25">
      <c r="L136" s="381" t="s">
        <v>370</v>
      </c>
      <c r="X136" s="381" t="s">
        <v>370</v>
      </c>
      <c r="AJ136" s="381" t="s">
        <v>370</v>
      </c>
    </row>
    <row r="137" spans="2:36" x14ac:dyDescent="0.25">
      <c r="L137" s="381" t="s">
        <v>370</v>
      </c>
      <c r="X137" s="381" t="s">
        <v>370</v>
      </c>
      <c r="AJ137" s="381" t="s">
        <v>370</v>
      </c>
    </row>
    <row r="138" spans="2:36" x14ac:dyDescent="0.25">
      <c r="L138" s="381" t="s">
        <v>370</v>
      </c>
      <c r="X138" s="381" t="s">
        <v>370</v>
      </c>
      <c r="AJ138" s="381" t="s">
        <v>370</v>
      </c>
    </row>
    <row r="139" spans="2:36" x14ac:dyDescent="0.25">
      <c r="L139" s="381" t="s">
        <v>370</v>
      </c>
      <c r="X139" s="381" t="s">
        <v>370</v>
      </c>
      <c r="AJ139" s="381" t="s">
        <v>370</v>
      </c>
    </row>
    <row r="140" spans="2:36" x14ac:dyDescent="0.25">
      <c r="L140" s="381" t="s">
        <v>370</v>
      </c>
      <c r="X140" s="381" t="s">
        <v>370</v>
      </c>
      <c r="AJ140" s="381" t="s">
        <v>370</v>
      </c>
    </row>
    <row r="141" spans="2:36" x14ac:dyDescent="0.25">
      <c r="L141" s="381" t="s">
        <v>370</v>
      </c>
      <c r="X141" s="381" t="s">
        <v>370</v>
      </c>
      <c r="AJ141" s="381" t="s">
        <v>370</v>
      </c>
    </row>
    <row r="142" spans="2:36" x14ac:dyDescent="0.25">
      <c r="L142" s="381" t="s">
        <v>370</v>
      </c>
      <c r="X142" s="381" t="s">
        <v>370</v>
      </c>
      <c r="AJ142" s="381" t="s">
        <v>370</v>
      </c>
    </row>
    <row r="143" spans="2:36" x14ac:dyDescent="0.25">
      <c r="L143" s="381" t="s">
        <v>370</v>
      </c>
      <c r="X143" s="381" t="s">
        <v>370</v>
      </c>
      <c r="AJ143" s="381" t="s">
        <v>370</v>
      </c>
    </row>
    <row r="144" spans="2:36" x14ac:dyDescent="0.25">
      <c r="L144" s="381" t="s">
        <v>370</v>
      </c>
      <c r="X144" s="381" t="s">
        <v>370</v>
      </c>
      <c r="AJ144" s="381" t="s">
        <v>370</v>
      </c>
    </row>
    <row r="145" spans="12:36" x14ac:dyDescent="0.25">
      <c r="L145" s="381" t="s">
        <v>370</v>
      </c>
      <c r="X145" s="381" t="s">
        <v>370</v>
      </c>
      <c r="AJ145" s="381" t="s">
        <v>370</v>
      </c>
    </row>
    <row r="146" spans="12:36" x14ac:dyDescent="0.25">
      <c r="L146" s="381" t="s">
        <v>370</v>
      </c>
      <c r="X146" s="381" t="s">
        <v>370</v>
      </c>
      <c r="AJ146" s="381" t="s">
        <v>370</v>
      </c>
    </row>
    <row r="147" spans="12:36" x14ac:dyDescent="0.25">
      <c r="L147" s="381" t="s">
        <v>370</v>
      </c>
      <c r="X147" s="381" t="s">
        <v>370</v>
      </c>
      <c r="AJ147" s="381" t="s">
        <v>370</v>
      </c>
    </row>
    <row r="148" spans="12:36" x14ac:dyDescent="0.25">
      <c r="L148" s="381" t="s">
        <v>370</v>
      </c>
      <c r="X148" s="381" t="s">
        <v>370</v>
      </c>
      <c r="AJ148" s="381" t="s">
        <v>370</v>
      </c>
    </row>
    <row r="149" spans="12:36" x14ac:dyDescent="0.25">
      <c r="L149" s="381" t="s">
        <v>370</v>
      </c>
      <c r="X149" s="381" t="s">
        <v>370</v>
      </c>
      <c r="AJ149" s="381" t="s">
        <v>370</v>
      </c>
    </row>
    <row r="150" spans="12:36" x14ac:dyDescent="0.25">
      <c r="L150" s="381" t="s">
        <v>370</v>
      </c>
      <c r="X150" s="381" t="s">
        <v>370</v>
      </c>
      <c r="AJ150" s="381" t="s">
        <v>370</v>
      </c>
    </row>
    <row r="151" spans="12:36" x14ac:dyDescent="0.25">
      <c r="L151" s="381" t="s">
        <v>370</v>
      </c>
      <c r="X151" s="381" t="s">
        <v>370</v>
      </c>
      <c r="AJ151" s="381" t="s">
        <v>370</v>
      </c>
    </row>
    <row r="152" spans="12:36" x14ac:dyDescent="0.25">
      <c r="L152" s="381" t="s">
        <v>370</v>
      </c>
      <c r="X152" s="381" t="s">
        <v>370</v>
      </c>
      <c r="AJ152" s="381" t="s">
        <v>370</v>
      </c>
    </row>
    <row r="153" spans="12:36" x14ac:dyDescent="0.25">
      <c r="L153" s="381" t="s">
        <v>370</v>
      </c>
      <c r="X153" s="381" t="s">
        <v>370</v>
      </c>
      <c r="AJ153" s="381" t="s">
        <v>370</v>
      </c>
    </row>
    <row r="154" spans="12:36" x14ac:dyDescent="0.25">
      <c r="L154" s="381" t="s">
        <v>370</v>
      </c>
      <c r="X154" s="381" t="s">
        <v>370</v>
      </c>
      <c r="AJ154" s="381" t="s">
        <v>370</v>
      </c>
    </row>
    <row r="155" spans="12:36" x14ac:dyDescent="0.25">
      <c r="L155" s="381" t="s">
        <v>370</v>
      </c>
      <c r="X155" s="381" t="s">
        <v>370</v>
      </c>
      <c r="AJ155" s="381" t="s">
        <v>370</v>
      </c>
    </row>
    <row r="156" spans="12:36" x14ac:dyDescent="0.25">
      <c r="L156" s="381" t="s">
        <v>370</v>
      </c>
      <c r="X156" s="381" t="s">
        <v>370</v>
      </c>
      <c r="AJ156" s="381" t="s">
        <v>370</v>
      </c>
    </row>
    <row r="157" spans="12:36" x14ac:dyDescent="0.25">
      <c r="L157" s="381" t="s">
        <v>370</v>
      </c>
      <c r="X157" s="381" t="s">
        <v>370</v>
      </c>
      <c r="AJ157" s="381" t="s">
        <v>370</v>
      </c>
    </row>
    <row r="158" spans="12:36" x14ac:dyDescent="0.25">
      <c r="L158" s="381" t="s">
        <v>370</v>
      </c>
      <c r="X158" s="381" t="s">
        <v>370</v>
      </c>
      <c r="AJ158" s="381" t="s">
        <v>370</v>
      </c>
    </row>
    <row r="159" spans="12:36" x14ac:dyDescent="0.25">
      <c r="L159" s="381" t="s">
        <v>370</v>
      </c>
      <c r="X159" s="381" t="s">
        <v>370</v>
      </c>
      <c r="AJ159" s="381" t="s">
        <v>370</v>
      </c>
    </row>
    <row r="160" spans="12:36" x14ac:dyDescent="0.25">
      <c r="L160" s="381" t="s">
        <v>370</v>
      </c>
      <c r="X160" s="381" t="s">
        <v>370</v>
      </c>
      <c r="AJ160" s="381" t="s">
        <v>370</v>
      </c>
    </row>
    <row r="161" spans="12:36" x14ac:dyDescent="0.25">
      <c r="L161" s="381" t="s">
        <v>370</v>
      </c>
      <c r="X161" s="381" t="s">
        <v>370</v>
      </c>
      <c r="AJ161" s="381" t="s">
        <v>370</v>
      </c>
    </row>
    <row r="162" spans="12:36" x14ac:dyDescent="0.25">
      <c r="L162" s="381" t="s">
        <v>370</v>
      </c>
      <c r="X162" s="381" t="s">
        <v>370</v>
      </c>
      <c r="AJ162" s="381" t="s">
        <v>370</v>
      </c>
    </row>
    <row r="163" spans="12:36" x14ac:dyDescent="0.25">
      <c r="L163" s="381" t="s">
        <v>370</v>
      </c>
      <c r="X163" s="381" t="s">
        <v>370</v>
      </c>
      <c r="AJ163" s="381" t="s">
        <v>370</v>
      </c>
    </row>
    <row r="164" spans="12:36" x14ac:dyDescent="0.25">
      <c r="L164" s="381" t="s">
        <v>370</v>
      </c>
      <c r="X164" s="381" t="s">
        <v>370</v>
      </c>
      <c r="AJ164" s="381" t="s">
        <v>370</v>
      </c>
    </row>
    <row r="165" spans="12:36" x14ac:dyDescent="0.25">
      <c r="L165" s="381" t="s">
        <v>370</v>
      </c>
      <c r="X165" s="381" t="s">
        <v>370</v>
      </c>
      <c r="AJ165" s="381" t="s">
        <v>370</v>
      </c>
    </row>
    <row r="166" spans="12:36" x14ac:dyDescent="0.25">
      <c r="L166" s="381" t="s">
        <v>370</v>
      </c>
      <c r="X166" s="381" t="s">
        <v>370</v>
      </c>
      <c r="AJ166" s="381" t="s">
        <v>370</v>
      </c>
    </row>
    <row r="167" spans="12:36" x14ac:dyDescent="0.25">
      <c r="L167" s="381" t="s">
        <v>370</v>
      </c>
      <c r="X167" s="381" t="s">
        <v>370</v>
      </c>
      <c r="AJ167" s="381" t="s">
        <v>370</v>
      </c>
    </row>
    <row r="168" spans="12:36" x14ac:dyDescent="0.25">
      <c r="L168" s="381" t="s">
        <v>370</v>
      </c>
      <c r="X168" s="381" t="s">
        <v>370</v>
      </c>
      <c r="AJ168" s="381" t="s">
        <v>370</v>
      </c>
    </row>
    <row r="169" spans="12:36" x14ac:dyDescent="0.25">
      <c r="L169" s="381" t="s">
        <v>370</v>
      </c>
      <c r="X169" s="381" t="s">
        <v>370</v>
      </c>
      <c r="AJ169" s="381" t="s">
        <v>370</v>
      </c>
    </row>
    <row r="170" spans="12:36" x14ac:dyDescent="0.25">
      <c r="L170" s="381" t="s">
        <v>370</v>
      </c>
      <c r="X170" s="381" t="s">
        <v>370</v>
      </c>
      <c r="AJ170" s="381" t="s">
        <v>370</v>
      </c>
    </row>
    <row r="171" spans="12:36" x14ac:dyDescent="0.25">
      <c r="L171" s="381" t="s">
        <v>370</v>
      </c>
      <c r="X171" s="381" t="s">
        <v>370</v>
      </c>
      <c r="AJ171" s="381" t="s">
        <v>370</v>
      </c>
    </row>
    <row r="172" spans="12:36" x14ac:dyDescent="0.25">
      <c r="L172" s="381" t="s">
        <v>370</v>
      </c>
      <c r="X172" s="381" t="s">
        <v>370</v>
      </c>
      <c r="AJ172" s="381" t="s">
        <v>370</v>
      </c>
    </row>
    <row r="173" spans="12:36" x14ac:dyDescent="0.25">
      <c r="L173" s="381" t="s">
        <v>370</v>
      </c>
      <c r="X173" s="381" t="s">
        <v>370</v>
      </c>
      <c r="AJ173" s="381" t="s">
        <v>370</v>
      </c>
    </row>
    <row r="174" spans="12:36" x14ac:dyDescent="0.25">
      <c r="L174" s="381" t="s">
        <v>370</v>
      </c>
      <c r="X174" s="381" t="s">
        <v>370</v>
      </c>
      <c r="AJ174" s="381" t="s">
        <v>370</v>
      </c>
    </row>
    <row r="175" spans="12:36" x14ac:dyDescent="0.25">
      <c r="L175" s="381" t="s">
        <v>370</v>
      </c>
      <c r="X175" s="381" t="s">
        <v>370</v>
      </c>
      <c r="AJ175" s="381" t="s">
        <v>370</v>
      </c>
    </row>
    <row r="176" spans="12:36" x14ac:dyDescent="0.25">
      <c r="L176" s="381" t="s">
        <v>370</v>
      </c>
      <c r="X176" s="381" t="s">
        <v>370</v>
      </c>
      <c r="AJ176" s="381" t="s">
        <v>370</v>
      </c>
    </row>
    <row r="177" spans="12:36" x14ac:dyDescent="0.25">
      <c r="L177" s="381" t="s">
        <v>370</v>
      </c>
      <c r="X177" s="381" t="s">
        <v>370</v>
      </c>
      <c r="AJ177" s="381" t="s">
        <v>370</v>
      </c>
    </row>
    <row r="178" spans="12:36" x14ac:dyDescent="0.25">
      <c r="L178" s="381" t="s">
        <v>370</v>
      </c>
      <c r="X178" s="381" t="s">
        <v>370</v>
      </c>
      <c r="AJ178" s="381" t="s">
        <v>370</v>
      </c>
    </row>
    <row r="179" spans="12:36" x14ac:dyDescent="0.25">
      <c r="L179" s="381" t="s">
        <v>370</v>
      </c>
      <c r="X179" s="381" t="s">
        <v>370</v>
      </c>
      <c r="AJ179" s="381" t="s">
        <v>370</v>
      </c>
    </row>
    <row r="180" spans="12:36" x14ac:dyDescent="0.25">
      <c r="L180" s="381" t="s">
        <v>370</v>
      </c>
      <c r="X180" s="381" t="s">
        <v>370</v>
      </c>
      <c r="AJ180" s="381" t="s">
        <v>370</v>
      </c>
    </row>
    <row r="181" spans="12:36" x14ac:dyDescent="0.25">
      <c r="L181" s="381" t="s">
        <v>370</v>
      </c>
      <c r="X181" s="381" t="s">
        <v>370</v>
      </c>
      <c r="AJ181" s="381" t="s">
        <v>370</v>
      </c>
    </row>
    <row r="182" spans="12:36" x14ac:dyDescent="0.25">
      <c r="L182" s="381" t="s">
        <v>370</v>
      </c>
      <c r="X182" s="381" t="s">
        <v>370</v>
      </c>
      <c r="AJ182" s="381" t="s">
        <v>370</v>
      </c>
    </row>
    <row r="183" spans="12:36" x14ac:dyDescent="0.25">
      <c r="L183" s="381" t="s">
        <v>370</v>
      </c>
      <c r="X183" s="381" t="s">
        <v>370</v>
      </c>
      <c r="AJ183" s="381" t="s">
        <v>370</v>
      </c>
    </row>
    <row r="184" spans="12:36" x14ac:dyDescent="0.25">
      <c r="L184" s="381" t="s">
        <v>370</v>
      </c>
      <c r="X184" s="381" t="s">
        <v>370</v>
      </c>
      <c r="AJ184" s="381" t="s">
        <v>370</v>
      </c>
    </row>
    <row r="185" spans="12:36" x14ac:dyDescent="0.25">
      <c r="L185" s="381" t="s">
        <v>370</v>
      </c>
      <c r="X185" s="381" t="s">
        <v>370</v>
      </c>
      <c r="AJ185" s="381" t="s">
        <v>370</v>
      </c>
    </row>
    <row r="186" spans="12:36" x14ac:dyDescent="0.25">
      <c r="L186" s="381" t="s">
        <v>370</v>
      </c>
      <c r="X186" s="381" t="s">
        <v>370</v>
      </c>
      <c r="AJ186" s="381" t="s">
        <v>370</v>
      </c>
    </row>
    <row r="187" spans="12:36" x14ac:dyDescent="0.25">
      <c r="L187" s="381" t="s">
        <v>370</v>
      </c>
      <c r="X187" s="381" t="s">
        <v>370</v>
      </c>
      <c r="AJ187" s="381" t="s">
        <v>370</v>
      </c>
    </row>
    <row r="188" spans="12:36" x14ac:dyDescent="0.25">
      <c r="L188" s="381" t="s">
        <v>370</v>
      </c>
      <c r="X188" s="381" t="s">
        <v>370</v>
      </c>
      <c r="AJ188" s="381" t="s">
        <v>370</v>
      </c>
    </row>
    <row r="189" spans="12:36" x14ac:dyDescent="0.25">
      <c r="L189" s="381" t="s">
        <v>370</v>
      </c>
      <c r="X189" s="381" t="s">
        <v>370</v>
      </c>
      <c r="AJ189" s="381" t="s">
        <v>370</v>
      </c>
    </row>
    <row r="190" spans="12:36" x14ac:dyDescent="0.25">
      <c r="L190" s="381" t="s">
        <v>370</v>
      </c>
      <c r="X190" s="381" t="s">
        <v>370</v>
      </c>
      <c r="AJ190" s="381" t="s">
        <v>370</v>
      </c>
    </row>
    <row r="191" spans="12:36" x14ac:dyDescent="0.25">
      <c r="L191" s="381" t="s">
        <v>370</v>
      </c>
      <c r="X191" s="381" t="s">
        <v>370</v>
      </c>
      <c r="AJ191" s="381" t="s">
        <v>370</v>
      </c>
    </row>
    <row r="192" spans="12:36" x14ac:dyDescent="0.25">
      <c r="L192" s="381" t="s">
        <v>370</v>
      </c>
      <c r="X192" s="381" t="s">
        <v>370</v>
      </c>
      <c r="AJ192" s="381" t="s">
        <v>370</v>
      </c>
    </row>
    <row r="193" spans="12:36" x14ac:dyDescent="0.25">
      <c r="L193" s="381" t="s">
        <v>370</v>
      </c>
      <c r="X193" s="381" t="s">
        <v>370</v>
      </c>
      <c r="AJ193" s="381" t="s">
        <v>370</v>
      </c>
    </row>
    <row r="194" spans="12:36" x14ac:dyDescent="0.25">
      <c r="L194" s="381" t="s">
        <v>370</v>
      </c>
      <c r="X194" s="381" t="s">
        <v>370</v>
      </c>
      <c r="AJ194" s="381" t="s">
        <v>370</v>
      </c>
    </row>
    <row r="195" spans="12:36" x14ac:dyDescent="0.25">
      <c r="L195" s="381" t="s">
        <v>370</v>
      </c>
      <c r="X195" s="381" t="s">
        <v>370</v>
      </c>
      <c r="AJ195" s="381" t="s">
        <v>370</v>
      </c>
    </row>
    <row r="196" spans="12:36" x14ac:dyDescent="0.25">
      <c r="L196" s="381" t="s">
        <v>370</v>
      </c>
      <c r="X196" s="381" t="s">
        <v>370</v>
      </c>
      <c r="AJ196" s="381" t="s">
        <v>370</v>
      </c>
    </row>
    <row r="197" spans="12:36" x14ac:dyDescent="0.25">
      <c r="L197" s="381" t="s">
        <v>370</v>
      </c>
      <c r="X197" s="381" t="s">
        <v>370</v>
      </c>
      <c r="AJ197" s="381" t="s">
        <v>370</v>
      </c>
    </row>
    <row r="198" spans="12:36" x14ac:dyDescent="0.25">
      <c r="L198" s="381" t="s">
        <v>370</v>
      </c>
      <c r="X198" s="381" t="s">
        <v>370</v>
      </c>
      <c r="AJ198" s="381" t="s">
        <v>370</v>
      </c>
    </row>
    <row r="199" spans="12:36" x14ac:dyDescent="0.25">
      <c r="L199" s="381" t="s">
        <v>370</v>
      </c>
      <c r="X199" s="381" t="s">
        <v>370</v>
      </c>
      <c r="AJ199" s="381" t="s">
        <v>370</v>
      </c>
    </row>
    <row r="200" spans="12:36" x14ac:dyDescent="0.25">
      <c r="L200" s="381" t="s">
        <v>370</v>
      </c>
      <c r="X200" s="381" t="s">
        <v>370</v>
      </c>
      <c r="AJ200" s="381" t="s">
        <v>370</v>
      </c>
    </row>
    <row r="201" spans="12:36" x14ac:dyDescent="0.25">
      <c r="L201" s="381" t="s">
        <v>370</v>
      </c>
      <c r="X201" s="381" t="s">
        <v>370</v>
      </c>
      <c r="AJ201" s="381" t="s">
        <v>370</v>
      </c>
    </row>
    <row r="202" spans="12:36" x14ac:dyDescent="0.25">
      <c r="L202" s="381" t="s">
        <v>370</v>
      </c>
      <c r="X202" s="381" t="s">
        <v>370</v>
      </c>
      <c r="AJ202" s="381" t="s">
        <v>370</v>
      </c>
    </row>
    <row r="203" spans="12:36" x14ac:dyDescent="0.25">
      <c r="L203" s="381" t="s">
        <v>370</v>
      </c>
      <c r="X203" s="381" t="s">
        <v>370</v>
      </c>
      <c r="AJ203" s="381" t="s">
        <v>370</v>
      </c>
    </row>
    <row r="204" spans="12:36" x14ac:dyDescent="0.25">
      <c r="L204" s="381" t="s">
        <v>370</v>
      </c>
      <c r="X204" s="381" t="s">
        <v>370</v>
      </c>
      <c r="AJ204" s="381" t="s">
        <v>370</v>
      </c>
    </row>
    <row r="205" spans="12:36" x14ac:dyDescent="0.25">
      <c r="L205" s="381" t="s">
        <v>370</v>
      </c>
      <c r="X205" s="381" t="s">
        <v>370</v>
      </c>
      <c r="AJ205" s="381" t="s">
        <v>370</v>
      </c>
    </row>
    <row r="206" spans="12:36" x14ac:dyDescent="0.25">
      <c r="L206" s="381" t="s">
        <v>370</v>
      </c>
      <c r="X206" s="381" t="s">
        <v>370</v>
      </c>
      <c r="AJ206" s="381" t="s">
        <v>370</v>
      </c>
    </row>
    <row r="207" spans="12:36" x14ac:dyDescent="0.25">
      <c r="L207" s="381" t="s">
        <v>370</v>
      </c>
      <c r="X207" s="381" t="s">
        <v>370</v>
      </c>
      <c r="AJ207" s="381" t="s">
        <v>370</v>
      </c>
    </row>
    <row r="208" spans="12:36" x14ac:dyDescent="0.25">
      <c r="L208" s="381" t="s">
        <v>370</v>
      </c>
      <c r="X208" s="381" t="s">
        <v>370</v>
      </c>
      <c r="AJ208" s="381" t="s">
        <v>370</v>
      </c>
    </row>
    <row r="209" spans="12:36" x14ac:dyDescent="0.25">
      <c r="L209" s="381" t="s">
        <v>370</v>
      </c>
      <c r="X209" s="381" t="s">
        <v>370</v>
      </c>
      <c r="AJ209" s="381" t="s">
        <v>370</v>
      </c>
    </row>
    <row r="210" spans="12:36" x14ac:dyDescent="0.25">
      <c r="L210" s="381" t="s">
        <v>370</v>
      </c>
      <c r="X210" s="381" t="s">
        <v>370</v>
      </c>
      <c r="AJ210" s="381" t="s">
        <v>370</v>
      </c>
    </row>
    <row r="211" spans="12:36" x14ac:dyDescent="0.25">
      <c r="L211" s="381" t="s">
        <v>370</v>
      </c>
      <c r="X211" s="381" t="s">
        <v>370</v>
      </c>
      <c r="AJ211" s="381" t="s">
        <v>370</v>
      </c>
    </row>
    <row r="212" spans="12:36" x14ac:dyDescent="0.25">
      <c r="L212" s="381" t="s">
        <v>370</v>
      </c>
      <c r="X212" s="381" t="s">
        <v>370</v>
      </c>
      <c r="AJ212" s="381" t="s">
        <v>370</v>
      </c>
    </row>
    <row r="213" spans="12:36" x14ac:dyDescent="0.25">
      <c r="L213" s="381" t="s">
        <v>370</v>
      </c>
      <c r="X213" s="381" t="s">
        <v>370</v>
      </c>
      <c r="AJ213" s="381" t="s">
        <v>370</v>
      </c>
    </row>
    <row r="214" spans="12:36" x14ac:dyDescent="0.25">
      <c r="L214" s="381" t="s">
        <v>370</v>
      </c>
      <c r="X214" s="381" t="s">
        <v>370</v>
      </c>
      <c r="AJ214" s="381" t="s">
        <v>370</v>
      </c>
    </row>
    <row r="215" spans="12:36" x14ac:dyDescent="0.25">
      <c r="L215" s="381" t="s">
        <v>370</v>
      </c>
      <c r="X215" s="381" t="s">
        <v>370</v>
      </c>
      <c r="AJ215" s="381" t="s">
        <v>370</v>
      </c>
    </row>
    <row r="216" spans="12:36" x14ac:dyDescent="0.25">
      <c r="L216" s="381" t="s">
        <v>370</v>
      </c>
      <c r="X216" s="381" t="s">
        <v>370</v>
      </c>
      <c r="AJ216" s="381" t="s">
        <v>370</v>
      </c>
    </row>
    <row r="217" spans="12:36" x14ac:dyDescent="0.25">
      <c r="L217" s="381" t="s">
        <v>370</v>
      </c>
      <c r="X217" s="381" t="s">
        <v>370</v>
      </c>
      <c r="AJ217" s="381" t="s">
        <v>370</v>
      </c>
    </row>
    <row r="218" spans="12:36" x14ac:dyDescent="0.25">
      <c r="L218" s="381" t="s">
        <v>370</v>
      </c>
      <c r="X218" s="381" t="s">
        <v>370</v>
      </c>
      <c r="AJ218" s="381" t="s">
        <v>370</v>
      </c>
    </row>
    <row r="219" spans="12:36" x14ac:dyDescent="0.25">
      <c r="L219" s="381" t="s">
        <v>370</v>
      </c>
      <c r="X219" s="381" t="s">
        <v>370</v>
      </c>
      <c r="AJ219" s="381" t="s">
        <v>370</v>
      </c>
    </row>
    <row r="220" spans="12:36" x14ac:dyDescent="0.25">
      <c r="L220" s="381" t="s">
        <v>370</v>
      </c>
      <c r="X220" s="381" t="s">
        <v>370</v>
      </c>
      <c r="AJ220" s="381" t="s">
        <v>370</v>
      </c>
    </row>
    <row r="221" spans="12:36" x14ac:dyDescent="0.25">
      <c r="L221" s="381" t="s">
        <v>370</v>
      </c>
      <c r="X221" s="381" t="s">
        <v>370</v>
      </c>
      <c r="AJ221" s="381" t="s">
        <v>370</v>
      </c>
    </row>
    <row r="222" spans="12:36" x14ac:dyDescent="0.25">
      <c r="L222" s="381" t="s">
        <v>370</v>
      </c>
      <c r="X222" s="381" t="s">
        <v>370</v>
      </c>
      <c r="AJ222" s="381" t="s">
        <v>370</v>
      </c>
    </row>
    <row r="223" spans="12:36" x14ac:dyDescent="0.25">
      <c r="L223" s="381" t="s">
        <v>370</v>
      </c>
      <c r="X223" s="381" t="s">
        <v>370</v>
      </c>
      <c r="AJ223" s="381" t="s">
        <v>370</v>
      </c>
    </row>
    <row r="224" spans="12:36" x14ac:dyDescent="0.25">
      <c r="L224" s="381" t="s">
        <v>370</v>
      </c>
      <c r="X224" s="381" t="s">
        <v>370</v>
      </c>
      <c r="AJ224" s="381" t="s">
        <v>370</v>
      </c>
    </row>
    <row r="225" spans="12:36" x14ac:dyDescent="0.25">
      <c r="L225" s="381" t="s">
        <v>370</v>
      </c>
      <c r="X225" s="381" t="s">
        <v>370</v>
      </c>
      <c r="AJ225" s="381" t="s">
        <v>370</v>
      </c>
    </row>
    <row r="226" spans="12:36" x14ac:dyDescent="0.25">
      <c r="L226" s="381" t="s">
        <v>370</v>
      </c>
      <c r="X226" s="381" t="s">
        <v>370</v>
      </c>
      <c r="AJ226" s="381" t="s">
        <v>370</v>
      </c>
    </row>
    <row r="227" spans="12:36" x14ac:dyDescent="0.25">
      <c r="L227" s="381" t="s">
        <v>370</v>
      </c>
      <c r="X227" s="381" t="s">
        <v>370</v>
      </c>
      <c r="AJ227" s="381" t="s">
        <v>370</v>
      </c>
    </row>
    <row r="228" spans="12:36" x14ac:dyDescent="0.25">
      <c r="L228" s="381" t="s">
        <v>370</v>
      </c>
      <c r="X228" s="381" t="s">
        <v>370</v>
      </c>
      <c r="AJ228" s="381" t="s">
        <v>370</v>
      </c>
    </row>
    <row r="229" spans="12:36" x14ac:dyDescent="0.25">
      <c r="L229" s="381" t="s">
        <v>370</v>
      </c>
      <c r="X229" s="381" t="s">
        <v>370</v>
      </c>
      <c r="AJ229" s="381" t="s">
        <v>370</v>
      </c>
    </row>
    <row r="230" spans="12:36" x14ac:dyDescent="0.25">
      <c r="L230" s="381" t="s">
        <v>370</v>
      </c>
      <c r="X230" s="381" t="s">
        <v>370</v>
      </c>
      <c r="AJ230" s="381" t="s">
        <v>370</v>
      </c>
    </row>
    <row r="231" spans="12:36" x14ac:dyDescent="0.25">
      <c r="L231" s="381" t="s">
        <v>370</v>
      </c>
      <c r="X231" s="381" t="s">
        <v>370</v>
      </c>
      <c r="AJ231" s="381" t="s">
        <v>370</v>
      </c>
    </row>
    <row r="232" spans="12:36" x14ac:dyDescent="0.25">
      <c r="L232" s="381" t="s">
        <v>370</v>
      </c>
      <c r="X232" s="381" t="s">
        <v>370</v>
      </c>
      <c r="AJ232" s="381" t="s">
        <v>370</v>
      </c>
    </row>
    <row r="233" spans="12:36" x14ac:dyDescent="0.25">
      <c r="L233" s="381" t="s">
        <v>370</v>
      </c>
      <c r="X233" s="381" t="s">
        <v>370</v>
      </c>
      <c r="AJ233" s="381" t="s">
        <v>370</v>
      </c>
    </row>
    <row r="234" spans="12:36" x14ac:dyDescent="0.25">
      <c r="L234" s="381" t="s">
        <v>370</v>
      </c>
      <c r="X234" s="381" t="s">
        <v>370</v>
      </c>
      <c r="AJ234" s="381" t="s">
        <v>370</v>
      </c>
    </row>
    <row r="235" spans="12:36" x14ac:dyDescent="0.25">
      <c r="L235" s="381" t="s">
        <v>370</v>
      </c>
      <c r="X235" s="381" t="s">
        <v>370</v>
      </c>
      <c r="AJ235" s="381" t="s">
        <v>370</v>
      </c>
    </row>
    <row r="236" spans="12:36" x14ac:dyDescent="0.25">
      <c r="L236" s="381" t="s">
        <v>370</v>
      </c>
      <c r="X236" s="381" t="s">
        <v>370</v>
      </c>
      <c r="AJ236" s="381" t="s">
        <v>370</v>
      </c>
    </row>
    <row r="237" spans="12:36" x14ac:dyDescent="0.25">
      <c r="L237" s="381" t="s">
        <v>370</v>
      </c>
      <c r="X237" s="381" t="s">
        <v>370</v>
      </c>
      <c r="AJ237" s="381" t="s">
        <v>370</v>
      </c>
    </row>
    <row r="238" spans="12:36" x14ac:dyDescent="0.25">
      <c r="L238" s="381" t="s">
        <v>370</v>
      </c>
      <c r="X238" s="381" t="s">
        <v>370</v>
      </c>
      <c r="AJ238" s="381" t="s">
        <v>370</v>
      </c>
    </row>
    <row r="239" spans="12:36" x14ac:dyDescent="0.25">
      <c r="L239" s="381" t="s">
        <v>370</v>
      </c>
      <c r="X239" s="381" t="s">
        <v>370</v>
      </c>
      <c r="AJ239" s="381" t="s">
        <v>370</v>
      </c>
    </row>
    <row r="240" spans="12:36" x14ac:dyDescent="0.25">
      <c r="L240" s="381" t="s">
        <v>370</v>
      </c>
      <c r="X240" s="381" t="s">
        <v>370</v>
      </c>
      <c r="AJ240" s="381" t="s">
        <v>370</v>
      </c>
    </row>
    <row r="241" spans="12:36" x14ac:dyDescent="0.25">
      <c r="L241" s="381" t="s">
        <v>370</v>
      </c>
      <c r="X241" s="381" t="s">
        <v>370</v>
      </c>
      <c r="AJ241" s="381" t="s">
        <v>370</v>
      </c>
    </row>
    <row r="242" spans="12:36" x14ac:dyDescent="0.25">
      <c r="L242" s="381" t="s">
        <v>370</v>
      </c>
      <c r="X242" s="381" t="s">
        <v>370</v>
      </c>
      <c r="AJ242" s="381" t="s">
        <v>370</v>
      </c>
    </row>
    <row r="243" spans="12:36" x14ac:dyDescent="0.25">
      <c r="L243" s="381" t="s">
        <v>370</v>
      </c>
      <c r="X243" s="381" t="s">
        <v>370</v>
      </c>
      <c r="AJ243" s="381" t="s">
        <v>370</v>
      </c>
    </row>
    <row r="244" spans="12:36" x14ac:dyDescent="0.25">
      <c r="L244" s="381" t="s">
        <v>370</v>
      </c>
      <c r="X244" s="381" t="s">
        <v>370</v>
      </c>
      <c r="AJ244" s="381" t="s">
        <v>370</v>
      </c>
    </row>
    <row r="245" spans="12:36" x14ac:dyDescent="0.25">
      <c r="L245" s="381" t="s">
        <v>370</v>
      </c>
      <c r="X245" s="381" t="s">
        <v>370</v>
      </c>
      <c r="AJ245" s="381" t="s">
        <v>370</v>
      </c>
    </row>
    <row r="246" spans="12:36" x14ac:dyDescent="0.25">
      <c r="L246" s="381" t="s">
        <v>370</v>
      </c>
      <c r="X246" s="381" t="s">
        <v>370</v>
      </c>
      <c r="AJ246" s="381" t="s">
        <v>370</v>
      </c>
    </row>
    <row r="247" spans="12:36" x14ac:dyDescent="0.25">
      <c r="L247" s="381" t="s">
        <v>370</v>
      </c>
      <c r="X247" s="381" t="s">
        <v>370</v>
      </c>
      <c r="AJ247" s="381" t="s">
        <v>370</v>
      </c>
    </row>
    <row r="248" spans="12:36" x14ac:dyDescent="0.25">
      <c r="L248" s="381" t="s">
        <v>370</v>
      </c>
      <c r="X248" s="381" t="s">
        <v>370</v>
      </c>
      <c r="AJ248" s="381" t="s">
        <v>370</v>
      </c>
    </row>
    <row r="249" spans="12:36" x14ac:dyDescent="0.25">
      <c r="L249" s="381" t="s">
        <v>370</v>
      </c>
      <c r="X249" s="381" t="s">
        <v>370</v>
      </c>
      <c r="AJ249" s="381" t="s">
        <v>370</v>
      </c>
    </row>
    <row r="250" spans="12:36" x14ac:dyDescent="0.25">
      <c r="L250" s="381" t="s">
        <v>370</v>
      </c>
      <c r="X250" s="381" t="s">
        <v>370</v>
      </c>
      <c r="AJ250" s="381" t="s">
        <v>370</v>
      </c>
    </row>
    <row r="251" spans="12:36" x14ac:dyDescent="0.25">
      <c r="L251" s="381" t="s">
        <v>370</v>
      </c>
      <c r="X251" s="381" t="s">
        <v>370</v>
      </c>
      <c r="AJ251" s="381" t="s">
        <v>370</v>
      </c>
    </row>
    <row r="252" spans="12:36" x14ac:dyDescent="0.25">
      <c r="L252" s="381" t="s">
        <v>370</v>
      </c>
      <c r="X252" s="381" t="s">
        <v>370</v>
      </c>
      <c r="AJ252" s="381" t="s">
        <v>370</v>
      </c>
    </row>
    <row r="253" spans="12:36" x14ac:dyDescent="0.25">
      <c r="L253" s="381" t="s">
        <v>370</v>
      </c>
      <c r="X253" s="381" t="s">
        <v>370</v>
      </c>
      <c r="AJ253" s="381" t="s">
        <v>370</v>
      </c>
    </row>
    <row r="254" spans="12:36" x14ac:dyDescent="0.25">
      <c r="L254" s="381" t="s">
        <v>370</v>
      </c>
      <c r="X254" s="381" t="s">
        <v>370</v>
      </c>
      <c r="AJ254" s="381" t="s">
        <v>370</v>
      </c>
    </row>
    <row r="255" spans="12:36" x14ac:dyDescent="0.25">
      <c r="L255" s="381" t="s">
        <v>370</v>
      </c>
      <c r="X255" s="381" t="s">
        <v>370</v>
      </c>
      <c r="AJ255" s="381" t="s">
        <v>370</v>
      </c>
    </row>
    <row r="256" spans="12:36" x14ac:dyDescent="0.25">
      <c r="L256" s="381" t="s">
        <v>370</v>
      </c>
      <c r="X256" s="381" t="s">
        <v>370</v>
      </c>
      <c r="AJ256" s="381" t="s">
        <v>370</v>
      </c>
    </row>
    <row r="257" spans="12:36" x14ac:dyDescent="0.25">
      <c r="L257" s="381" t="s">
        <v>370</v>
      </c>
      <c r="X257" s="381" t="s">
        <v>370</v>
      </c>
      <c r="AJ257" s="381" t="s">
        <v>370</v>
      </c>
    </row>
    <row r="258" spans="12:36" x14ac:dyDescent="0.25">
      <c r="L258" s="381" t="s">
        <v>370</v>
      </c>
      <c r="X258" s="381" t="s">
        <v>370</v>
      </c>
      <c r="AJ258" s="381" t="s">
        <v>370</v>
      </c>
    </row>
    <row r="259" spans="12:36" x14ac:dyDescent="0.25">
      <c r="L259" s="381" t="s">
        <v>370</v>
      </c>
      <c r="X259" s="381" t="s">
        <v>370</v>
      </c>
      <c r="AJ259" s="381" t="s">
        <v>370</v>
      </c>
    </row>
    <row r="260" spans="12:36" x14ac:dyDescent="0.25">
      <c r="L260" s="381" t="s">
        <v>370</v>
      </c>
      <c r="X260" s="381" t="s">
        <v>370</v>
      </c>
      <c r="AJ260" s="381" t="s">
        <v>370</v>
      </c>
    </row>
    <row r="261" spans="12:36" x14ac:dyDescent="0.25">
      <c r="L261" s="381" t="s">
        <v>370</v>
      </c>
      <c r="X261" s="381" t="s">
        <v>370</v>
      </c>
      <c r="AJ261" s="381" t="s">
        <v>370</v>
      </c>
    </row>
    <row r="262" spans="12:36" x14ac:dyDescent="0.25">
      <c r="L262" s="381" t="s">
        <v>370</v>
      </c>
      <c r="X262" s="381" t="s">
        <v>370</v>
      </c>
      <c r="AJ262" s="381" t="s">
        <v>370</v>
      </c>
    </row>
    <row r="263" spans="12:36" x14ac:dyDescent="0.25">
      <c r="L263" s="381" t="s">
        <v>370</v>
      </c>
      <c r="X263" s="381" t="s">
        <v>370</v>
      </c>
      <c r="AJ263" s="381" t="s">
        <v>370</v>
      </c>
    </row>
    <row r="264" spans="12:36" x14ac:dyDescent="0.25">
      <c r="L264" s="381" t="s">
        <v>370</v>
      </c>
      <c r="X264" s="381" t="s">
        <v>370</v>
      </c>
      <c r="AJ264" s="381" t="s">
        <v>370</v>
      </c>
    </row>
    <row r="265" spans="12:36" x14ac:dyDescent="0.25">
      <c r="L265" s="381" t="s">
        <v>370</v>
      </c>
      <c r="X265" s="381" t="s">
        <v>370</v>
      </c>
      <c r="AJ265" s="381" t="s">
        <v>370</v>
      </c>
    </row>
    <row r="266" spans="12:36" x14ac:dyDescent="0.25">
      <c r="L266" s="381" t="s">
        <v>370</v>
      </c>
      <c r="X266" s="381" t="s">
        <v>370</v>
      </c>
      <c r="AJ266" s="381" t="s">
        <v>370</v>
      </c>
    </row>
    <row r="267" spans="12:36" x14ac:dyDescent="0.25">
      <c r="L267" s="381" t="s">
        <v>370</v>
      </c>
      <c r="X267" s="381" t="s">
        <v>370</v>
      </c>
      <c r="AJ267" s="381" t="s">
        <v>370</v>
      </c>
    </row>
    <row r="268" spans="12:36" x14ac:dyDescent="0.25">
      <c r="L268" s="381" t="s">
        <v>370</v>
      </c>
      <c r="X268" s="381" t="s">
        <v>370</v>
      </c>
      <c r="AJ268" s="381" t="s">
        <v>370</v>
      </c>
    </row>
    <row r="269" spans="12:36" x14ac:dyDescent="0.25">
      <c r="L269" s="381" t="s">
        <v>370</v>
      </c>
      <c r="X269" s="381" t="s">
        <v>370</v>
      </c>
      <c r="AJ269" s="381" t="s">
        <v>370</v>
      </c>
    </row>
    <row r="270" spans="12:36" x14ac:dyDescent="0.25">
      <c r="L270" s="381" t="s">
        <v>370</v>
      </c>
      <c r="X270" s="381" t="s">
        <v>370</v>
      </c>
      <c r="AJ270" s="381" t="s">
        <v>370</v>
      </c>
    </row>
    <row r="271" spans="12:36" x14ac:dyDescent="0.25">
      <c r="L271" s="381" t="s">
        <v>370</v>
      </c>
      <c r="X271" s="381" t="s">
        <v>370</v>
      </c>
      <c r="AJ271" s="381" t="s">
        <v>370</v>
      </c>
    </row>
    <row r="272" spans="12:36" x14ac:dyDescent="0.25">
      <c r="L272" s="381" t="s">
        <v>370</v>
      </c>
      <c r="X272" s="381" t="s">
        <v>370</v>
      </c>
      <c r="AJ272" s="381" t="s">
        <v>370</v>
      </c>
    </row>
    <row r="273" spans="12:36" x14ac:dyDescent="0.25">
      <c r="L273" s="381" t="s">
        <v>370</v>
      </c>
      <c r="X273" s="381" t="s">
        <v>370</v>
      </c>
      <c r="AJ273" s="381" t="s">
        <v>370</v>
      </c>
    </row>
    <row r="274" spans="12:36" x14ac:dyDescent="0.25">
      <c r="L274" s="381" t="s">
        <v>370</v>
      </c>
      <c r="X274" s="381" t="s">
        <v>370</v>
      </c>
      <c r="AJ274" s="381" t="s">
        <v>370</v>
      </c>
    </row>
    <row r="275" spans="12:36" x14ac:dyDescent="0.25">
      <c r="L275" s="381" t="s">
        <v>370</v>
      </c>
      <c r="X275" s="381" t="s">
        <v>370</v>
      </c>
      <c r="AJ275" s="381" t="s">
        <v>370</v>
      </c>
    </row>
    <row r="276" spans="12:36" x14ac:dyDescent="0.25">
      <c r="L276" s="381" t="s">
        <v>370</v>
      </c>
      <c r="X276" s="381" t="s">
        <v>370</v>
      </c>
      <c r="AJ276" s="381" t="s">
        <v>370</v>
      </c>
    </row>
    <row r="277" spans="12:36" x14ac:dyDescent="0.25">
      <c r="L277" s="381" t="s">
        <v>370</v>
      </c>
      <c r="X277" s="381" t="s">
        <v>370</v>
      </c>
      <c r="AJ277" s="381" t="s">
        <v>370</v>
      </c>
    </row>
    <row r="278" spans="12:36" x14ac:dyDescent="0.25">
      <c r="L278" s="381" t="s">
        <v>370</v>
      </c>
      <c r="X278" s="381" t="s">
        <v>370</v>
      </c>
      <c r="AJ278" s="381" t="s">
        <v>370</v>
      </c>
    </row>
    <row r="279" spans="12:36" x14ac:dyDescent="0.25">
      <c r="L279" s="381" t="s">
        <v>370</v>
      </c>
      <c r="X279" s="381" t="s">
        <v>370</v>
      </c>
      <c r="AJ279" s="381" t="s">
        <v>370</v>
      </c>
    </row>
    <row r="280" spans="12:36" x14ac:dyDescent="0.25">
      <c r="L280" s="381" t="s">
        <v>370</v>
      </c>
      <c r="X280" s="381" t="s">
        <v>370</v>
      </c>
      <c r="AJ280" s="381" t="s">
        <v>370</v>
      </c>
    </row>
    <row r="281" spans="12:36" x14ac:dyDescent="0.25">
      <c r="L281" s="381" t="s">
        <v>370</v>
      </c>
      <c r="X281" s="381" t="s">
        <v>370</v>
      </c>
      <c r="AJ281" s="381" t="s">
        <v>370</v>
      </c>
    </row>
    <row r="282" spans="12:36" x14ac:dyDescent="0.25">
      <c r="L282" s="381" t="s">
        <v>370</v>
      </c>
      <c r="X282" s="381" t="s">
        <v>370</v>
      </c>
      <c r="AJ282" s="381" t="s">
        <v>370</v>
      </c>
    </row>
    <row r="283" spans="12:36" x14ac:dyDescent="0.25">
      <c r="L283" s="381" t="s">
        <v>370</v>
      </c>
      <c r="X283" s="381" t="s">
        <v>370</v>
      </c>
      <c r="AJ283" s="381" t="s">
        <v>370</v>
      </c>
    </row>
    <row r="284" spans="12:36" x14ac:dyDescent="0.25">
      <c r="L284" s="381" t="s">
        <v>370</v>
      </c>
      <c r="X284" s="381" t="s">
        <v>370</v>
      </c>
      <c r="AJ284" s="381" t="s">
        <v>370</v>
      </c>
    </row>
    <row r="285" spans="12:36" x14ac:dyDescent="0.25">
      <c r="L285" s="381" t="s">
        <v>370</v>
      </c>
      <c r="X285" s="381" t="s">
        <v>370</v>
      </c>
      <c r="AJ285" s="381" t="s">
        <v>370</v>
      </c>
    </row>
    <row r="286" spans="12:36" x14ac:dyDescent="0.25">
      <c r="L286" s="381" t="s">
        <v>370</v>
      </c>
      <c r="X286" s="381" t="s">
        <v>370</v>
      </c>
      <c r="AJ286" s="381" t="s">
        <v>370</v>
      </c>
    </row>
    <row r="287" spans="12:36" x14ac:dyDescent="0.25">
      <c r="L287" s="381" t="s">
        <v>370</v>
      </c>
      <c r="X287" s="381" t="s">
        <v>370</v>
      </c>
      <c r="AJ287" s="381" t="s">
        <v>370</v>
      </c>
    </row>
    <row r="288" spans="12:36" x14ac:dyDescent="0.25">
      <c r="L288" s="381" t="s">
        <v>370</v>
      </c>
      <c r="X288" s="381" t="s">
        <v>370</v>
      </c>
      <c r="AJ288" s="381" t="s">
        <v>370</v>
      </c>
    </row>
    <row r="289" spans="12:36" x14ac:dyDescent="0.25">
      <c r="L289" s="381" t="s">
        <v>370</v>
      </c>
      <c r="X289" s="381" t="s">
        <v>370</v>
      </c>
      <c r="AJ289" s="381" t="s">
        <v>370</v>
      </c>
    </row>
    <row r="290" spans="12:36" x14ac:dyDescent="0.25">
      <c r="L290" s="381" t="s">
        <v>370</v>
      </c>
      <c r="X290" s="381" t="s">
        <v>370</v>
      </c>
      <c r="AJ290" s="381" t="s">
        <v>370</v>
      </c>
    </row>
    <row r="291" spans="12:36" x14ac:dyDescent="0.25">
      <c r="L291" s="381" t="s">
        <v>370</v>
      </c>
      <c r="X291" s="381" t="s">
        <v>370</v>
      </c>
      <c r="AJ291" s="381" t="s">
        <v>370</v>
      </c>
    </row>
    <row r="292" spans="12:36" x14ac:dyDescent="0.25">
      <c r="L292" s="381" t="s">
        <v>370</v>
      </c>
      <c r="X292" s="381" t="s">
        <v>370</v>
      </c>
      <c r="AJ292" s="381" t="s">
        <v>370</v>
      </c>
    </row>
    <row r="293" spans="12:36" x14ac:dyDescent="0.25">
      <c r="L293" s="381" t="s">
        <v>370</v>
      </c>
      <c r="X293" s="381" t="s">
        <v>370</v>
      </c>
      <c r="AJ293" s="381" t="s">
        <v>370</v>
      </c>
    </row>
    <row r="294" spans="12:36" x14ac:dyDescent="0.25">
      <c r="L294" s="381" t="s">
        <v>370</v>
      </c>
      <c r="X294" s="381" t="s">
        <v>370</v>
      </c>
      <c r="AJ294" s="381" t="s">
        <v>370</v>
      </c>
    </row>
    <row r="295" spans="12:36" x14ac:dyDescent="0.25">
      <c r="L295" s="381" t="s">
        <v>370</v>
      </c>
      <c r="X295" s="381" t="s">
        <v>370</v>
      </c>
      <c r="AJ295" s="381" t="s">
        <v>370</v>
      </c>
    </row>
    <row r="296" spans="12:36" x14ac:dyDescent="0.25">
      <c r="L296" s="381" t="s">
        <v>370</v>
      </c>
      <c r="X296" s="381" t="s">
        <v>370</v>
      </c>
      <c r="AJ296" s="381" t="s">
        <v>370</v>
      </c>
    </row>
    <row r="297" spans="12:36" x14ac:dyDescent="0.25">
      <c r="L297" s="381" t="s">
        <v>370</v>
      </c>
      <c r="X297" s="381" t="s">
        <v>370</v>
      </c>
      <c r="AJ297" s="381" t="s">
        <v>370</v>
      </c>
    </row>
    <row r="298" spans="12:36" x14ac:dyDescent="0.25">
      <c r="L298" s="381" t="s">
        <v>370</v>
      </c>
      <c r="X298" s="381" t="s">
        <v>370</v>
      </c>
      <c r="AJ298" s="381" t="s">
        <v>370</v>
      </c>
    </row>
    <row r="299" spans="12:36" x14ac:dyDescent="0.25">
      <c r="L299" s="381" t="s">
        <v>370</v>
      </c>
      <c r="X299" s="381" t="s">
        <v>370</v>
      </c>
      <c r="AJ299" s="381" t="s">
        <v>370</v>
      </c>
    </row>
    <row r="300" spans="12:36" x14ac:dyDescent="0.25">
      <c r="L300" s="381" t="s">
        <v>370</v>
      </c>
      <c r="X300" s="381" t="s">
        <v>370</v>
      </c>
      <c r="AJ300" s="381" t="s">
        <v>370</v>
      </c>
    </row>
    <row r="301" spans="12:36" x14ac:dyDescent="0.25">
      <c r="L301" s="381" t="s">
        <v>370</v>
      </c>
      <c r="X301" s="381" t="s">
        <v>370</v>
      </c>
      <c r="AJ301" s="381" t="s">
        <v>370</v>
      </c>
    </row>
    <row r="302" spans="12:36" x14ac:dyDescent="0.25">
      <c r="L302" s="381" t="s">
        <v>370</v>
      </c>
      <c r="X302" s="381" t="s">
        <v>370</v>
      </c>
      <c r="AJ302" s="381" t="s">
        <v>370</v>
      </c>
    </row>
    <row r="303" spans="12:36" x14ac:dyDescent="0.25">
      <c r="L303" s="381" t="s">
        <v>370</v>
      </c>
      <c r="X303" s="381" t="s">
        <v>370</v>
      </c>
      <c r="AJ303" s="381" t="s">
        <v>370</v>
      </c>
    </row>
    <row r="304" spans="12:36" x14ac:dyDescent="0.25">
      <c r="L304" s="381" t="s">
        <v>370</v>
      </c>
      <c r="X304" s="381" t="s">
        <v>370</v>
      </c>
      <c r="AJ304" s="381" t="s">
        <v>370</v>
      </c>
    </row>
    <row r="305" spans="12:36" x14ac:dyDescent="0.25">
      <c r="L305" s="381" t="s">
        <v>370</v>
      </c>
      <c r="X305" s="381" t="s">
        <v>370</v>
      </c>
      <c r="AJ305" s="381" t="s">
        <v>370</v>
      </c>
    </row>
    <row r="306" spans="12:36" x14ac:dyDescent="0.25">
      <c r="L306" s="381" t="s">
        <v>370</v>
      </c>
      <c r="X306" s="381" t="s">
        <v>370</v>
      </c>
      <c r="AJ306" s="381" t="s">
        <v>370</v>
      </c>
    </row>
    <row r="307" spans="12:36" x14ac:dyDescent="0.25">
      <c r="L307" s="381" t="s">
        <v>370</v>
      </c>
      <c r="X307" s="381" t="s">
        <v>370</v>
      </c>
      <c r="AJ307" s="381" t="s">
        <v>370</v>
      </c>
    </row>
    <row r="308" spans="12:36" x14ac:dyDescent="0.25">
      <c r="L308" s="381" t="s">
        <v>370</v>
      </c>
      <c r="X308" s="381" t="s">
        <v>370</v>
      </c>
      <c r="AJ308" s="381" t="s">
        <v>370</v>
      </c>
    </row>
    <row r="309" spans="12:36" x14ac:dyDescent="0.25">
      <c r="L309" s="381" t="s">
        <v>370</v>
      </c>
      <c r="X309" s="381" t="s">
        <v>370</v>
      </c>
      <c r="AJ309" s="381" t="s">
        <v>370</v>
      </c>
    </row>
    <row r="310" spans="12:36" x14ac:dyDescent="0.25">
      <c r="L310" s="381" t="s">
        <v>370</v>
      </c>
      <c r="X310" s="381" t="s">
        <v>370</v>
      </c>
      <c r="AJ310" s="381" t="s">
        <v>370</v>
      </c>
    </row>
    <row r="311" spans="12:36" x14ac:dyDescent="0.25">
      <c r="L311" s="381" t="s">
        <v>370</v>
      </c>
      <c r="X311" s="381" t="s">
        <v>370</v>
      </c>
      <c r="AJ311" s="381" t="s">
        <v>370</v>
      </c>
    </row>
    <row r="312" spans="12:36" x14ac:dyDescent="0.25">
      <c r="L312" s="381" t="s">
        <v>370</v>
      </c>
      <c r="X312" s="381" t="s">
        <v>370</v>
      </c>
      <c r="AJ312" s="381" t="s">
        <v>370</v>
      </c>
    </row>
    <row r="313" spans="12:36" x14ac:dyDescent="0.25">
      <c r="L313" s="381" t="s">
        <v>370</v>
      </c>
      <c r="X313" s="381" t="s">
        <v>370</v>
      </c>
      <c r="AJ313" s="381" t="s">
        <v>370</v>
      </c>
    </row>
    <row r="314" spans="12:36" x14ac:dyDescent="0.25">
      <c r="L314" s="381" t="s">
        <v>370</v>
      </c>
      <c r="X314" s="381" t="s">
        <v>370</v>
      </c>
      <c r="AJ314" s="381" t="s">
        <v>370</v>
      </c>
    </row>
    <row r="315" spans="12:36" x14ac:dyDescent="0.25">
      <c r="L315" s="381" t="s">
        <v>370</v>
      </c>
      <c r="X315" s="381" t="s">
        <v>370</v>
      </c>
      <c r="AJ315" s="381" t="s">
        <v>370</v>
      </c>
    </row>
    <row r="316" spans="12:36" x14ac:dyDescent="0.25">
      <c r="L316" s="381" t="s">
        <v>370</v>
      </c>
      <c r="X316" s="381" t="s">
        <v>370</v>
      </c>
      <c r="AJ316" s="381" t="s">
        <v>370</v>
      </c>
    </row>
    <row r="317" spans="12:36" x14ac:dyDescent="0.25">
      <c r="L317" s="381" t="s">
        <v>370</v>
      </c>
      <c r="X317" s="381" t="s">
        <v>370</v>
      </c>
      <c r="AJ317" s="381" t="s">
        <v>370</v>
      </c>
    </row>
    <row r="318" spans="12:36" x14ac:dyDescent="0.25">
      <c r="L318" s="381" t="s">
        <v>370</v>
      </c>
      <c r="X318" s="381" t="s">
        <v>370</v>
      </c>
      <c r="AJ318" s="381" t="s">
        <v>370</v>
      </c>
    </row>
    <row r="319" spans="12:36" x14ac:dyDescent="0.25">
      <c r="L319" s="381" t="s">
        <v>370</v>
      </c>
      <c r="X319" s="381" t="s">
        <v>370</v>
      </c>
      <c r="AJ319" s="381" t="s">
        <v>370</v>
      </c>
    </row>
    <row r="320" spans="12:36" x14ac:dyDescent="0.25">
      <c r="L320" s="381" t="s">
        <v>370</v>
      </c>
      <c r="X320" s="381" t="s">
        <v>370</v>
      </c>
      <c r="AJ320" s="381" t="s">
        <v>370</v>
      </c>
    </row>
    <row r="321" spans="12:36" x14ac:dyDescent="0.25">
      <c r="L321" s="381" t="s">
        <v>370</v>
      </c>
      <c r="X321" s="381" t="s">
        <v>370</v>
      </c>
      <c r="AJ321" s="381" t="s">
        <v>370</v>
      </c>
    </row>
    <row r="322" spans="12:36" x14ac:dyDescent="0.25">
      <c r="L322" s="381" t="s">
        <v>370</v>
      </c>
      <c r="X322" s="381" t="s">
        <v>370</v>
      </c>
      <c r="AJ322" s="381" t="s">
        <v>370</v>
      </c>
    </row>
    <row r="323" spans="12:36" x14ac:dyDescent="0.25">
      <c r="L323" s="381" t="s">
        <v>370</v>
      </c>
      <c r="X323" s="381" t="s">
        <v>370</v>
      </c>
      <c r="AJ323" s="381" t="s">
        <v>370</v>
      </c>
    </row>
    <row r="324" spans="12:36" x14ac:dyDescent="0.25">
      <c r="L324" s="381" t="s">
        <v>370</v>
      </c>
      <c r="X324" s="381" t="s">
        <v>370</v>
      </c>
      <c r="AJ324" s="381" t="s">
        <v>370</v>
      </c>
    </row>
    <row r="325" spans="12:36" x14ac:dyDescent="0.25">
      <c r="L325" s="381" t="s">
        <v>370</v>
      </c>
      <c r="X325" s="381" t="s">
        <v>370</v>
      </c>
      <c r="AJ325" s="381" t="s">
        <v>370</v>
      </c>
    </row>
    <row r="326" spans="12:36" x14ac:dyDescent="0.25">
      <c r="L326" s="381" t="s">
        <v>370</v>
      </c>
      <c r="X326" s="381" t="s">
        <v>370</v>
      </c>
      <c r="AJ326" s="381" t="s">
        <v>370</v>
      </c>
    </row>
    <row r="327" spans="12:36" x14ac:dyDescent="0.25">
      <c r="L327" s="381" t="s">
        <v>370</v>
      </c>
      <c r="X327" s="381" t="s">
        <v>370</v>
      </c>
      <c r="AJ327" s="381" t="s">
        <v>370</v>
      </c>
    </row>
    <row r="328" spans="12:36" x14ac:dyDescent="0.25">
      <c r="L328" s="381" t="s">
        <v>370</v>
      </c>
      <c r="X328" s="381" t="s">
        <v>370</v>
      </c>
      <c r="AJ328" s="381" t="s">
        <v>370</v>
      </c>
    </row>
    <row r="329" spans="12:36" x14ac:dyDescent="0.25">
      <c r="L329" s="381" t="s">
        <v>370</v>
      </c>
      <c r="X329" s="381" t="s">
        <v>370</v>
      </c>
      <c r="AJ329" s="381" t="s">
        <v>370</v>
      </c>
    </row>
    <row r="330" spans="12:36" x14ac:dyDescent="0.25">
      <c r="L330" s="381" t="s">
        <v>370</v>
      </c>
      <c r="X330" s="381" t="s">
        <v>370</v>
      </c>
      <c r="AJ330" s="381" t="s">
        <v>370</v>
      </c>
    </row>
  </sheetData>
  <hyperlinks>
    <hyperlink ref="AP2" r:id="rId1"/>
  </hyperlinks>
  <pageMargins left="0.75" right="0.75" top="1" bottom="1" header="0.5" footer="0.5"/>
  <pageSetup scale="80" fitToWidth="3" orientation="landscape" r:id="rId2"/>
  <headerFooter alignWithMargins="0"/>
  <colBreaks count="2" manualBreakCount="2">
    <brk id="11" min="105" max="109" man="1"/>
    <brk id="23" min="105" max="10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>
    <pageSetUpPr fitToPage="1"/>
  </sheetPr>
  <dimension ref="A1:O191"/>
  <sheetViews>
    <sheetView topLeftCell="F1" zoomScaleNormal="100" workbookViewId="0">
      <pane ySplit="5" topLeftCell="A179" activePane="bottomLeft" state="frozen"/>
      <selection activeCell="M22" sqref="M22"/>
      <selection pane="bottomLeft" activeCell="A8" sqref="A8:XFD160"/>
    </sheetView>
  </sheetViews>
  <sheetFormatPr defaultColWidth="11.7109375" defaultRowHeight="12.75" x14ac:dyDescent="0.2"/>
  <cols>
    <col min="1" max="1" width="12.42578125" style="420" customWidth="1"/>
    <col min="2" max="2" width="13.42578125" style="447" hidden="1" customWidth="1"/>
    <col min="3" max="3" width="15.5703125" style="452" bestFit="1" customWidth="1"/>
    <col min="4" max="4" width="14.42578125" style="452" bestFit="1" customWidth="1"/>
    <col min="5" max="5" width="19" customWidth="1"/>
    <col min="6" max="6" width="4.42578125" customWidth="1"/>
    <col min="8" max="8" width="15.42578125" customWidth="1"/>
    <col min="9" max="9" width="12.85546875" style="449" bestFit="1" customWidth="1"/>
    <col min="10" max="10" width="11.7109375" style="450"/>
    <col min="11" max="11" width="16.5703125" style="451" bestFit="1" customWidth="1"/>
    <col min="12" max="12" width="13.42578125" style="451" bestFit="1" customWidth="1"/>
    <col min="13" max="13" width="13.28515625" style="451" bestFit="1" customWidth="1"/>
    <col min="14" max="14" width="17.42578125" style="451" bestFit="1" customWidth="1"/>
    <col min="15" max="15" width="11.7109375" style="420"/>
  </cols>
  <sheetData>
    <row r="1" spans="1:15" ht="15" x14ac:dyDescent="0.25">
      <c r="A1" s="413" t="s">
        <v>396</v>
      </c>
      <c r="B1" s="414"/>
      <c r="C1" s="415"/>
      <c r="D1" s="415"/>
      <c r="E1" s="416"/>
      <c r="F1" s="416"/>
      <c r="G1" s="416"/>
      <c r="H1" s="620"/>
      <c r="I1" s="417"/>
      <c r="J1" s="418"/>
      <c r="K1" s="419"/>
      <c r="L1" s="419"/>
      <c r="M1" s="419"/>
      <c r="N1" s="419"/>
    </row>
    <row r="2" spans="1:15" x14ac:dyDescent="0.2">
      <c r="A2" s="421" t="s">
        <v>397</v>
      </c>
      <c r="B2" s="422"/>
      <c r="C2" s="423"/>
      <c r="D2" s="423"/>
      <c r="E2" s="424"/>
      <c r="F2" s="424"/>
      <c r="G2" s="424"/>
      <c r="H2" s="620"/>
      <c r="I2" s="425"/>
      <c r="J2" s="426"/>
      <c r="K2" s="427"/>
      <c r="L2" s="427"/>
      <c r="M2" s="427"/>
      <c r="N2" s="427"/>
    </row>
    <row r="3" spans="1:15" x14ac:dyDescent="0.2">
      <c r="A3" s="428"/>
      <c r="B3" s="429"/>
      <c r="C3" s="430"/>
      <c r="D3" s="430"/>
      <c r="E3" s="431"/>
      <c r="F3" s="431"/>
      <c r="G3" s="432" t="s">
        <v>398</v>
      </c>
      <c r="H3" s="431"/>
      <c r="I3" s="425"/>
      <c r="J3" s="426"/>
      <c r="K3" s="427"/>
      <c r="L3" s="427"/>
      <c r="M3" s="427"/>
      <c r="N3" s="427"/>
    </row>
    <row r="4" spans="1:15" x14ac:dyDescent="0.2">
      <c r="A4" s="428"/>
      <c r="B4" s="429"/>
      <c r="C4" s="643"/>
      <c r="D4" s="643"/>
      <c r="E4" s="431"/>
      <c r="F4" s="431"/>
      <c r="G4" s="432" t="s">
        <v>399</v>
      </c>
      <c r="H4" s="431"/>
      <c r="I4" s="433" t="s">
        <v>400</v>
      </c>
      <c r="J4" s="434" t="s">
        <v>401</v>
      </c>
      <c r="K4" s="434" t="s">
        <v>34</v>
      </c>
      <c r="L4" s="434" t="s">
        <v>402</v>
      </c>
      <c r="M4" s="434" t="s">
        <v>34</v>
      </c>
      <c r="N4" s="434" t="s">
        <v>403</v>
      </c>
      <c r="O4" s="435"/>
    </row>
    <row r="5" spans="1:15" x14ac:dyDescent="0.2">
      <c r="A5" s="421" t="s">
        <v>391</v>
      </c>
      <c r="B5" s="422" t="s">
        <v>404</v>
      </c>
      <c r="C5" s="430" t="s">
        <v>405</v>
      </c>
      <c r="D5" s="430" t="s">
        <v>406</v>
      </c>
      <c r="E5" s="432" t="s">
        <v>407</v>
      </c>
      <c r="F5" s="431"/>
      <c r="G5" s="432" t="s">
        <v>6</v>
      </c>
      <c r="H5" s="432" t="s">
        <v>14</v>
      </c>
      <c r="I5" s="434" t="s">
        <v>408</v>
      </c>
      <c r="J5" s="434" t="s">
        <v>409</v>
      </c>
      <c r="K5" s="434" t="s">
        <v>14</v>
      </c>
      <c r="L5" s="434" t="s">
        <v>410</v>
      </c>
      <c r="M5" s="434" t="s">
        <v>411</v>
      </c>
      <c r="N5" s="434" t="s">
        <v>410</v>
      </c>
      <c r="O5" s="435"/>
    </row>
    <row r="6" spans="1:15" x14ac:dyDescent="0.2">
      <c r="A6" s="436"/>
      <c r="B6" s="437"/>
      <c r="C6" s="423"/>
      <c r="D6" s="423"/>
      <c r="E6" s="424"/>
      <c r="F6" s="424"/>
      <c r="G6" s="424"/>
      <c r="H6" s="424"/>
      <c r="I6" s="425"/>
      <c r="J6" s="426"/>
      <c r="K6" s="427"/>
      <c r="L6" s="427"/>
      <c r="M6" s="427"/>
      <c r="N6" s="427"/>
    </row>
    <row r="7" spans="1:15" x14ac:dyDescent="0.2">
      <c r="A7" s="438" t="s">
        <v>412</v>
      </c>
      <c r="B7" s="439"/>
      <c r="C7" s="423"/>
      <c r="D7" s="423"/>
      <c r="E7" s="440">
        <v>0</v>
      </c>
      <c r="F7" s="424" t="s">
        <v>11</v>
      </c>
      <c r="G7" s="441"/>
      <c r="H7" s="424"/>
      <c r="I7" s="425"/>
      <c r="J7" s="426"/>
      <c r="K7" s="427"/>
      <c r="L7" s="427"/>
      <c r="M7" s="427"/>
      <c r="N7" s="427"/>
    </row>
    <row r="8" spans="1:15" ht="15" hidden="1" x14ac:dyDescent="0.2">
      <c r="A8" s="442">
        <v>41395</v>
      </c>
      <c r="B8" s="437"/>
      <c r="C8" s="443">
        <f t="shared" ref="C8:C64" si="0">IF(B8&lt;0,B8*-1,0)</f>
        <v>0</v>
      </c>
      <c r="D8" s="443">
        <f t="shared" ref="D8:D64" si="1">IF(B8&gt;0,B8*1,0)</f>
        <v>0</v>
      </c>
      <c r="E8" s="444">
        <v>0</v>
      </c>
      <c r="F8" s="424"/>
      <c r="G8" s="441">
        <v>3.3E-3</v>
      </c>
      <c r="H8" s="444">
        <f t="shared" ref="H8:H65" si="2">ROUND(+E8*G8/360,5)</f>
        <v>0</v>
      </c>
      <c r="I8" s="425"/>
      <c r="J8" s="426"/>
      <c r="K8" s="427"/>
      <c r="L8" s="427"/>
      <c r="M8" s="427"/>
      <c r="N8" s="427"/>
    </row>
    <row r="9" spans="1:15" ht="15" hidden="1" x14ac:dyDescent="0.2">
      <c r="A9" s="442">
        <f t="shared" ref="A9:A64" si="3">A8+1</f>
        <v>41396</v>
      </c>
      <c r="B9" s="437"/>
      <c r="C9" s="443">
        <f t="shared" si="0"/>
        <v>0</v>
      </c>
      <c r="D9" s="443">
        <f t="shared" si="1"/>
        <v>0</v>
      </c>
      <c r="E9" s="444">
        <f t="shared" ref="E9:E72" si="4">E8-C9+D9</f>
        <v>0</v>
      </c>
      <c r="F9" s="424"/>
      <c r="G9" s="441">
        <f>G8</f>
        <v>3.3E-3</v>
      </c>
      <c r="H9" s="444">
        <f t="shared" si="2"/>
        <v>0</v>
      </c>
      <c r="I9" s="425"/>
      <c r="J9" s="426"/>
      <c r="K9" s="427"/>
      <c r="L9" s="427"/>
      <c r="M9" s="427"/>
      <c r="N9" s="427"/>
    </row>
    <row r="10" spans="1:15" ht="15" hidden="1" x14ac:dyDescent="0.2">
      <c r="A10" s="442">
        <f t="shared" si="3"/>
        <v>41397</v>
      </c>
      <c r="B10" s="437"/>
      <c r="C10" s="443">
        <f t="shared" si="0"/>
        <v>0</v>
      </c>
      <c r="D10" s="443">
        <f t="shared" si="1"/>
        <v>0</v>
      </c>
      <c r="E10" s="444">
        <f t="shared" si="4"/>
        <v>0</v>
      </c>
      <c r="F10" s="424"/>
      <c r="G10" s="441">
        <f t="shared" ref="G10:G38" si="5">G9</f>
        <v>3.3E-3</v>
      </c>
      <c r="H10" s="444">
        <f t="shared" si="2"/>
        <v>0</v>
      </c>
      <c r="I10" s="425"/>
      <c r="J10" s="426"/>
      <c r="K10" s="427"/>
      <c r="L10" s="427"/>
      <c r="M10" s="427"/>
      <c r="N10" s="427"/>
    </row>
    <row r="11" spans="1:15" ht="15" hidden="1" x14ac:dyDescent="0.2">
      <c r="A11" s="442">
        <f t="shared" si="3"/>
        <v>41398</v>
      </c>
      <c r="B11" s="437"/>
      <c r="C11" s="443">
        <f t="shared" si="0"/>
        <v>0</v>
      </c>
      <c r="D11" s="443">
        <f t="shared" si="1"/>
        <v>0</v>
      </c>
      <c r="E11" s="444">
        <f t="shared" si="4"/>
        <v>0</v>
      </c>
      <c r="F11" s="424"/>
      <c r="G11" s="441">
        <f t="shared" si="5"/>
        <v>3.3E-3</v>
      </c>
      <c r="H11" s="444">
        <f t="shared" si="2"/>
        <v>0</v>
      </c>
      <c r="I11" s="425"/>
      <c r="J11" s="426"/>
      <c r="K11" s="427"/>
      <c r="L11" s="427"/>
      <c r="M11" s="427"/>
      <c r="N11" s="427"/>
    </row>
    <row r="12" spans="1:15" ht="15" hidden="1" x14ac:dyDescent="0.2">
      <c r="A12" s="442">
        <f t="shared" si="3"/>
        <v>41399</v>
      </c>
      <c r="B12" s="437"/>
      <c r="C12" s="443">
        <f t="shared" si="0"/>
        <v>0</v>
      </c>
      <c r="D12" s="443">
        <f t="shared" si="1"/>
        <v>0</v>
      </c>
      <c r="E12" s="444">
        <f t="shared" si="4"/>
        <v>0</v>
      </c>
      <c r="F12" s="424"/>
      <c r="G12" s="441">
        <f t="shared" si="5"/>
        <v>3.3E-3</v>
      </c>
      <c r="H12" s="444">
        <f t="shared" si="2"/>
        <v>0</v>
      </c>
      <c r="I12" s="425"/>
      <c r="J12" s="426"/>
      <c r="K12" s="427"/>
      <c r="L12" s="427"/>
      <c r="M12" s="427"/>
      <c r="N12" s="427"/>
    </row>
    <row r="13" spans="1:15" ht="15" hidden="1" x14ac:dyDescent="0.2">
      <c r="A13" s="442">
        <f t="shared" si="3"/>
        <v>41400</v>
      </c>
      <c r="B13" s="437"/>
      <c r="C13" s="443">
        <f t="shared" si="0"/>
        <v>0</v>
      </c>
      <c r="D13" s="443">
        <f t="shared" si="1"/>
        <v>0</v>
      </c>
      <c r="E13" s="444">
        <f t="shared" si="4"/>
        <v>0</v>
      </c>
      <c r="F13" s="424"/>
      <c r="G13" s="441">
        <f t="shared" si="5"/>
        <v>3.3E-3</v>
      </c>
      <c r="H13" s="444">
        <f t="shared" si="2"/>
        <v>0</v>
      </c>
      <c r="I13" s="425"/>
      <c r="J13" s="426"/>
      <c r="K13" s="427"/>
      <c r="L13" s="427"/>
      <c r="M13" s="427"/>
      <c r="N13" s="427"/>
    </row>
    <row r="14" spans="1:15" ht="15" hidden="1" x14ac:dyDescent="0.2">
      <c r="A14" s="442">
        <f t="shared" si="3"/>
        <v>41401</v>
      </c>
      <c r="B14" s="437"/>
      <c r="C14" s="443">
        <f t="shared" si="0"/>
        <v>0</v>
      </c>
      <c r="D14" s="443">
        <f t="shared" si="1"/>
        <v>0</v>
      </c>
      <c r="E14" s="444">
        <f t="shared" si="4"/>
        <v>0</v>
      </c>
      <c r="F14" s="424"/>
      <c r="G14" s="441">
        <f t="shared" si="5"/>
        <v>3.3E-3</v>
      </c>
      <c r="H14" s="444">
        <f t="shared" si="2"/>
        <v>0</v>
      </c>
      <c r="I14" s="425"/>
      <c r="J14" s="426"/>
      <c r="K14" s="427"/>
      <c r="L14" s="427"/>
      <c r="M14" s="427"/>
      <c r="N14" s="427"/>
    </row>
    <row r="15" spans="1:15" ht="15" hidden="1" x14ac:dyDescent="0.2">
      <c r="A15" s="442">
        <f t="shared" si="3"/>
        <v>41402</v>
      </c>
      <c r="B15" s="437"/>
      <c r="C15" s="443">
        <f t="shared" si="0"/>
        <v>0</v>
      </c>
      <c r="D15" s="443">
        <f t="shared" si="1"/>
        <v>0</v>
      </c>
      <c r="E15" s="444">
        <f t="shared" si="4"/>
        <v>0</v>
      </c>
      <c r="F15" s="424"/>
      <c r="G15" s="441">
        <f t="shared" si="5"/>
        <v>3.3E-3</v>
      </c>
      <c r="H15" s="444">
        <f t="shared" si="2"/>
        <v>0</v>
      </c>
      <c r="I15" s="425"/>
      <c r="J15" s="426"/>
      <c r="K15" s="427"/>
      <c r="L15" s="427"/>
      <c r="M15" s="427"/>
      <c r="N15" s="427"/>
    </row>
    <row r="16" spans="1:15" ht="15" hidden="1" x14ac:dyDescent="0.2">
      <c r="A16" s="442">
        <f t="shared" si="3"/>
        <v>41403</v>
      </c>
      <c r="B16" s="437"/>
      <c r="C16" s="443">
        <f t="shared" si="0"/>
        <v>0</v>
      </c>
      <c r="D16" s="443">
        <f t="shared" si="1"/>
        <v>0</v>
      </c>
      <c r="E16" s="444">
        <f t="shared" si="4"/>
        <v>0</v>
      </c>
      <c r="F16" s="424"/>
      <c r="G16" s="441">
        <f t="shared" si="5"/>
        <v>3.3E-3</v>
      </c>
      <c r="H16" s="444">
        <f t="shared" si="2"/>
        <v>0</v>
      </c>
      <c r="I16" s="425"/>
      <c r="J16" s="426"/>
      <c r="K16" s="427"/>
      <c r="L16" s="427"/>
      <c r="M16" s="427"/>
      <c r="N16" s="427"/>
    </row>
    <row r="17" spans="1:14" ht="15" hidden="1" x14ac:dyDescent="0.2">
      <c r="A17" s="442">
        <f t="shared" si="3"/>
        <v>41404</v>
      </c>
      <c r="B17" s="437"/>
      <c r="C17" s="443">
        <f t="shared" si="0"/>
        <v>0</v>
      </c>
      <c r="D17" s="443">
        <f t="shared" si="1"/>
        <v>0</v>
      </c>
      <c r="E17" s="444">
        <f t="shared" si="4"/>
        <v>0</v>
      </c>
      <c r="F17" s="424"/>
      <c r="G17" s="441">
        <f t="shared" si="5"/>
        <v>3.3E-3</v>
      </c>
      <c r="H17" s="444">
        <f t="shared" si="2"/>
        <v>0</v>
      </c>
      <c r="I17" s="425"/>
      <c r="J17" s="426"/>
      <c r="K17" s="427"/>
      <c r="L17" s="427"/>
      <c r="M17" s="427"/>
      <c r="N17" s="427"/>
    </row>
    <row r="18" spans="1:14" ht="15" hidden="1" x14ac:dyDescent="0.2">
      <c r="A18" s="442">
        <f t="shared" si="3"/>
        <v>41405</v>
      </c>
      <c r="B18" s="437"/>
      <c r="C18" s="443">
        <f t="shared" si="0"/>
        <v>0</v>
      </c>
      <c r="D18" s="443">
        <f t="shared" si="1"/>
        <v>0</v>
      </c>
      <c r="E18" s="444">
        <f t="shared" si="4"/>
        <v>0</v>
      </c>
      <c r="F18" s="424"/>
      <c r="G18" s="441">
        <f t="shared" si="5"/>
        <v>3.3E-3</v>
      </c>
      <c r="H18" s="444">
        <f t="shared" si="2"/>
        <v>0</v>
      </c>
      <c r="I18" s="425"/>
      <c r="J18" s="426"/>
      <c r="K18" s="427"/>
      <c r="L18" s="427"/>
      <c r="M18" s="427"/>
      <c r="N18" s="427"/>
    </row>
    <row r="19" spans="1:14" ht="15" hidden="1" x14ac:dyDescent="0.2">
      <c r="A19" s="442">
        <f t="shared" si="3"/>
        <v>41406</v>
      </c>
      <c r="B19" s="437"/>
      <c r="C19" s="443">
        <f t="shared" si="0"/>
        <v>0</v>
      </c>
      <c r="D19" s="443">
        <f t="shared" si="1"/>
        <v>0</v>
      </c>
      <c r="E19" s="444">
        <f t="shared" si="4"/>
        <v>0</v>
      </c>
      <c r="F19" s="424"/>
      <c r="G19" s="441">
        <f t="shared" si="5"/>
        <v>3.3E-3</v>
      </c>
      <c r="H19" s="444">
        <f t="shared" si="2"/>
        <v>0</v>
      </c>
      <c r="I19" s="425"/>
      <c r="J19" s="426"/>
      <c r="K19" s="427"/>
      <c r="L19" s="427"/>
      <c r="M19" s="427"/>
      <c r="N19" s="427"/>
    </row>
    <row r="20" spans="1:14" ht="15" hidden="1" x14ac:dyDescent="0.2">
      <c r="A20" s="442">
        <f t="shared" si="3"/>
        <v>41407</v>
      </c>
      <c r="B20" s="437"/>
      <c r="C20" s="443">
        <f t="shared" si="0"/>
        <v>0</v>
      </c>
      <c r="D20" s="443">
        <f t="shared" si="1"/>
        <v>0</v>
      </c>
      <c r="E20" s="444">
        <f t="shared" si="4"/>
        <v>0</v>
      </c>
      <c r="F20" s="424"/>
      <c r="G20" s="441">
        <f t="shared" si="5"/>
        <v>3.3E-3</v>
      </c>
      <c r="H20" s="444">
        <f t="shared" si="2"/>
        <v>0</v>
      </c>
      <c r="I20" s="425"/>
      <c r="J20" s="426"/>
      <c r="K20" s="427"/>
      <c r="L20" s="427"/>
      <c r="M20" s="427"/>
      <c r="N20" s="427"/>
    </row>
    <row r="21" spans="1:14" ht="15" hidden="1" x14ac:dyDescent="0.2">
      <c r="A21" s="442">
        <f t="shared" si="3"/>
        <v>41408</v>
      </c>
      <c r="B21" s="437"/>
      <c r="C21" s="443">
        <f t="shared" si="0"/>
        <v>0</v>
      </c>
      <c r="D21" s="443">
        <f t="shared" si="1"/>
        <v>0</v>
      </c>
      <c r="E21" s="444">
        <f t="shared" si="4"/>
        <v>0</v>
      </c>
      <c r="F21" s="424"/>
      <c r="G21" s="441">
        <f t="shared" si="5"/>
        <v>3.3E-3</v>
      </c>
      <c r="H21" s="444">
        <f t="shared" si="2"/>
        <v>0</v>
      </c>
      <c r="I21" s="425"/>
      <c r="J21" s="426"/>
      <c r="K21" s="427"/>
      <c r="L21" s="427"/>
      <c r="M21" s="427"/>
      <c r="N21" s="427"/>
    </row>
    <row r="22" spans="1:14" ht="15" hidden="1" x14ac:dyDescent="0.2">
      <c r="A22" s="442">
        <f t="shared" si="3"/>
        <v>41409</v>
      </c>
      <c r="B22" s="437"/>
      <c r="C22" s="443">
        <f t="shared" si="0"/>
        <v>0</v>
      </c>
      <c r="D22" s="443">
        <f t="shared" si="1"/>
        <v>0</v>
      </c>
      <c r="E22" s="444">
        <f t="shared" si="4"/>
        <v>0</v>
      </c>
      <c r="F22" s="424"/>
      <c r="G22" s="441">
        <f t="shared" si="5"/>
        <v>3.3E-3</v>
      </c>
      <c r="H22" s="444">
        <f t="shared" si="2"/>
        <v>0</v>
      </c>
      <c r="I22" s="425"/>
      <c r="J22" s="426"/>
      <c r="K22" s="427"/>
      <c r="L22" s="427"/>
      <c r="M22" s="427"/>
      <c r="N22" s="427"/>
    </row>
    <row r="23" spans="1:14" ht="15" hidden="1" x14ac:dyDescent="0.2">
      <c r="A23" s="442">
        <f t="shared" si="3"/>
        <v>41410</v>
      </c>
      <c r="B23" s="437"/>
      <c r="C23" s="443">
        <f t="shared" si="0"/>
        <v>0</v>
      </c>
      <c r="D23" s="443">
        <f t="shared" si="1"/>
        <v>0</v>
      </c>
      <c r="E23" s="444">
        <f t="shared" si="4"/>
        <v>0</v>
      </c>
      <c r="F23" s="424"/>
      <c r="G23" s="441">
        <f t="shared" si="5"/>
        <v>3.3E-3</v>
      </c>
      <c r="H23" s="444">
        <f t="shared" si="2"/>
        <v>0</v>
      </c>
      <c r="I23" s="425"/>
      <c r="J23" s="426"/>
      <c r="K23" s="427"/>
      <c r="L23" s="427"/>
      <c r="M23" s="427"/>
      <c r="N23" s="427"/>
    </row>
    <row r="24" spans="1:14" ht="15" hidden="1" x14ac:dyDescent="0.2">
      <c r="A24" s="442">
        <f t="shared" si="3"/>
        <v>41411</v>
      </c>
      <c r="B24" s="437"/>
      <c r="C24" s="443">
        <f t="shared" si="0"/>
        <v>0</v>
      </c>
      <c r="D24" s="443">
        <f t="shared" si="1"/>
        <v>0</v>
      </c>
      <c r="E24" s="444">
        <f t="shared" si="4"/>
        <v>0</v>
      </c>
      <c r="F24" s="424"/>
      <c r="G24" s="441">
        <f t="shared" si="5"/>
        <v>3.3E-3</v>
      </c>
      <c r="H24" s="444">
        <f t="shared" si="2"/>
        <v>0</v>
      </c>
      <c r="I24" s="425"/>
      <c r="J24" s="426"/>
      <c r="K24" s="427"/>
      <c r="L24" s="427"/>
      <c r="M24" s="427"/>
      <c r="N24" s="427"/>
    </row>
    <row r="25" spans="1:14" ht="15" hidden="1" x14ac:dyDescent="0.2">
      <c r="A25" s="442">
        <f t="shared" si="3"/>
        <v>41412</v>
      </c>
      <c r="B25" s="437"/>
      <c r="C25" s="443">
        <f t="shared" si="0"/>
        <v>0</v>
      </c>
      <c r="D25" s="443">
        <f t="shared" si="1"/>
        <v>0</v>
      </c>
      <c r="E25" s="444">
        <f t="shared" si="4"/>
        <v>0</v>
      </c>
      <c r="F25" s="424"/>
      <c r="G25" s="441">
        <f t="shared" si="5"/>
        <v>3.3E-3</v>
      </c>
      <c r="H25" s="444">
        <f t="shared" si="2"/>
        <v>0</v>
      </c>
      <c r="I25" s="425"/>
      <c r="J25" s="426"/>
      <c r="K25" s="427"/>
      <c r="L25" s="427"/>
      <c r="M25" s="427"/>
      <c r="N25" s="427"/>
    </row>
    <row r="26" spans="1:14" ht="15" hidden="1" x14ac:dyDescent="0.2">
      <c r="A26" s="442">
        <f t="shared" si="3"/>
        <v>41413</v>
      </c>
      <c r="B26" s="437"/>
      <c r="C26" s="443">
        <f t="shared" si="0"/>
        <v>0</v>
      </c>
      <c r="D26" s="443">
        <f t="shared" si="1"/>
        <v>0</v>
      </c>
      <c r="E26" s="444">
        <f t="shared" si="4"/>
        <v>0</v>
      </c>
      <c r="F26" s="424"/>
      <c r="G26" s="441">
        <f t="shared" si="5"/>
        <v>3.3E-3</v>
      </c>
      <c r="H26" s="444">
        <f t="shared" si="2"/>
        <v>0</v>
      </c>
      <c r="I26" s="425"/>
      <c r="J26" s="426"/>
      <c r="K26" s="427"/>
      <c r="L26" s="427"/>
      <c r="M26" s="427"/>
      <c r="N26" s="427"/>
    </row>
    <row r="27" spans="1:14" ht="15" hidden="1" x14ac:dyDescent="0.2">
      <c r="A27" s="442">
        <f t="shared" si="3"/>
        <v>41414</v>
      </c>
      <c r="B27" s="437"/>
      <c r="C27" s="443">
        <f t="shared" si="0"/>
        <v>0</v>
      </c>
      <c r="D27" s="443">
        <f t="shared" si="1"/>
        <v>0</v>
      </c>
      <c r="E27" s="444">
        <f t="shared" si="4"/>
        <v>0</v>
      </c>
      <c r="F27" s="424"/>
      <c r="G27" s="441">
        <f t="shared" si="5"/>
        <v>3.3E-3</v>
      </c>
      <c r="H27" s="444">
        <f t="shared" si="2"/>
        <v>0</v>
      </c>
      <c r="I27" s="425"/>
      <c r="J27" s="426"/>
      <c r="K27" s="427"/>
      <c r="L27" s="427"/>
      <c r="M27" s="427"/>
      <c r="N27" s="427"/>
    </row>
    <row r="28" spans="1:14" ht="15" hidden="1" x14ac:dyDescent="0.2">
      <c r="A28" s="442">
        <f t="shared" si="3"/>
        <v>41415</v>
      </c>
      <c r="B28" s="437"/>
      <c r="C28" s="443">
        <f t="shared" si="0"/>
        <v>0</v>
      </c>
      <c r="D28" s="443">
        <f t="shared" si="1"/>
        <v>0</v>
      </c>
      <c r="E28" s="444">
        <f t="shared" si="4"/>
        <v>0</v>
      </c>
      <c r="F28" s="424"/>
      <c r="G28" s="441">
        <f t="shared" si="5"/>
        <v>3.3E-3</v>
      </c>
      <c r="H28" s="444">
        <f t="shared" si="2"/>
        <v>0</v>
      </c>
      <c r="I28" s="425"/>
      <c r="J28" s="426"/>
      <c r="K28" s="427"/>
      <c r="L28" s="427"/>
      <c r="M28" s="427"/>
      <c r="N28" s="427"/>
    </row>
    <row r="29" spans="1:14" ht="15" hidden="1" x14ac:dyDescent="0.2">
      <c r="A29" s="442">
        <f t="shared" si="3"/>
        <v>41416</v>
      </c>
      <c r="B29" s="437"/>
      <c r="C29" s="443">
        <f t="shared" si="0"/>
        <v>0</v>
      </c>
      <c r="D29" s="443">
        <f t="shared" si="1"/>
        <v>0</v>
      </c>
      <c r="E29" s="444">
        <f t="shared" si="4"/>
        <v>0</v>
      </c>
      <c r="F29" s="424"/>
      <c r="G29" s="441">
        <f t="shared" si="5"/>
        <v>3.3E-3</v>
      </c>
      <c r="H29" s="444">
        <f t="shared" si="2"/>
        <v>0</v>
      </c>
      <c r="I29" s="425"/>
      <c r="J29" s="426"/>
      <c r="K29" s="427"/>
      <c r="L29" s="427"/>
      <c r="M29" s="427"/>
      <c r="N29" s="427"/>
    </row>
    <row r="30" spans="1:14" ht="15" hidden="1" x14ac:dyDescent="0.2">
      <c r="A30" s="442">
        <f t="shared" si="3"/>
        <v>41417</v>
      </c>
      <c r="B30" s="437"/>
      <c r="C30" s="443">
        <f t="shared" si="0"/>
        <v>0</v>
      </c>
      <c r="D30" s="443">
        <f t="shared" si="1"/>
        <v>0</v>
      </c>
      <c r="E30" s="444">
        <f t="shared" si="4"/>
        <v>0</v>
      </c>
      <c r="F30" s="424"/>
      <c r="G30" s="441">
        <f t="shared" si="5"/>
        <v>3.3E-3</v>
      </c>
      <c r="H30" s="444">
        <f t="shared" si="2"/>
        <v>0</v>
      </c>
      <c r="I30" s="425"/>
      <c r="J30" s="426"/>
      <c r="K30" s="427"/>
      <c r="L30" s="427"/>
      <c r="M30" s="427"/>
      <c r="N30" s="427"/>
    </row>
    <row r="31" spans="1:14" ht="15" hidden="1" x14ac:dyDescent="0.2">
      <c r="A31" s="442">
        <f t="shared" si="3"/>
        <v>41418</v>
      </c>
      <c r="B31" s="437"/>
      <c r="C31" s="443">
        <f t="shared" si="0"/>
        <v>0</v>
      </c>
      <c r="D31" s="443">
        <f t="shared" si="1"/>
        <v>0</v>
      </c>
      <c r="E31" s="444">
        <f t="shared" si="4"/>
        <v>0</v>
      </c>
      <c r="F31" s="424"/>
      <c r="G31" s="441">
        <f t="shared" si="5"/>
        <v>3.3E-3</v>
      </c>
      <c r="H31" s="444">
        <f t="shared" si="2"/>
        <v>0</v>
      </c>
      <c r="I31" s="425"/>
      <c r="J31" s="426"/>
      <c r="K31" s="427"/>
      <c r="L31" s="427"/>
      <c r="M31" s="427"/>
      <c r="N31" s="427"/>
    </row>
    <row r="32" spans="1:14" ht="15" hidden="1" x14ac:dyDescent="0.2">
      <c r="A32" s="442">
        <f t="shared" si="3"/>
        <v>41419</v>
      </c>
      <c r="B32" s="437"/>
      <c r="C32" s="443">
        <f t="shared" si="0"/>
        <v>0</v>
      </c>
      <c r="D32" s="443">
        <f t="shared" si="1"/>
        <v>0</v>
      </c>
      <c r="E32" s="444">
        <f t="shared" si="4"/>
        <v>0</v>
      </c>
      <c r="F32" s="424"/>
      <c r="G32" s="441">
        <f t="shared" si="5"/>
        <v>3.3E-3</v>
      </c>
      <c r="H32" s="444">
        <f t="shared" si="2"/>
        <v>0</v>
      </c>
      <c r="I32" s="425"/>
      <c r="J32" s="426"/>
      <c r="K32" s="427"/>
      <c r="L32" s="427"/>
      <c r="M32" s="427"/>
      <c r="N32" s="427"/>
    </row>
    <row r="33" spans="1:14" ht="15" hidden="1" x14ac:dyDescent="0.2">
      <c r="A33" s="442">
        <f t="shared" si="3"/>
        <v>41420</v>
      </c>
      <c r="B33" s="437"/>
      <c r="C33" s="443">
        <f t="shared" si="0"/>
        <v>0</v>
      </c>
      <c r="D33" s="443">
        <f t="shared" si="1"/>
        <v>0</v>
      </c>
      <c r="E33" s="444">
        <f t="shared" si="4"/>
        <v>0</v>
      </c>
      <c r="F33" s="424"/>
      <c r="G33" s="441">
        <f t="shared" si="5"/>
        <v>3.3E-3</v>
      </c>
      <c r="H33" s="444">
        <f t="shared" si="2"/>
        <v>0</v>
      </c>
      <c r="I33" s="425"/>
      <c r="J33" s="426"/>
      <c r="K33" s="427"/>
      <c r="L33" s="427"/>
      <c r="M33" s="427"/>
      <c r="N33" s="427"/>
    </row>
    <row r="34" spans="1:14" ht="15" hidden="1" x14ac:dyDescent="0.2">
      <c r="A34" s="442">
        <f t="shared" si="3"/>
        <v>41421</v>
      </c>
      <c r="B34" s="437"/>
      <c r="C34" s="443">
        <f t="shared" si="0"/>
        <v>0</v>
      </c>
      <c r="D34" s="443">
        <f t="shared" si="1"/>
        <v>0</v>
      </c>
      <c r="E34" s="444">
        <f t="shared" si="4"/>
        <v>0</v>
      </c>
      <c r="F34" s="424"/>
      <c r="G34" s="441">
        <f t="shared" si="5"/>
        <v>3.3E-3</v>
      </c>
      <c r="H34" s="444">
        <f t="shared" si="2"/>
        <v>0</v>
      </c>
      <c r="I34" s="425"/>
      <c r="J34" s="426"/>
      <c r="K34" s="427"/>
      <c r="L34" s="427"/>
      <c r="M34" s="427"/>
      <c r="N34" s="427"/>
    </row>
    <row r="35" spans="1:14" ht="15" hidden="1" x14ac:dyDescent="0.2">
      <c r="A35" s="442">
        <f t="shared" si="3"/>
        <v>41422</v>
      </c>
      <c r="B35" s="437"/>
      <c r="C35" s="443">
        <f t="shared" si="0"/>
        <v>0</v>
      </c>
      <c r="D35" s="443">
        <f t="shared" si="1"/>
        <v>0</v>
      </c>
      <c r="E35" s="444">
        <f t="shared" si="4"/>
        <v>0</v>
      </c>
      <c r="F35" s="424"/>
      <c r="G35" s="441">
        <f t="shared" si="5"/>
        <v>3.3E-3</v>
      </c>
      <c r="H35" s="444">
        <f t="shared" si="2"/>
        <v>0</v>
      </c>
      <c r="I35" s="425"/>
      <c r="J35" s="426"/>
      <c r="K35" s="427"/>
      <c r="L35" s="427"/>
      <c r="M35" s="427"/>
      <c r="N35" s="427"/>
    </row>
    <row r="36" spans="1:14" ht="15" hidden="1" x14ac:dyDescent="0.2">
      <c r="A36" s="442">
        <f t="shared" si="3"/>
        <v>41423</v>
      </c>
      <c r="B36" s="437"/>
      <c r="C36" s="443">
        <f t="shared" si="0"/>
        <v>0</v>
      </c>
      <c r="D36" s="443">
        <f t="shared" si="1"/>
        <v>0</v>
      </c>
      <c r="E36" s="444">
        <f t="shared" si="4"/>
        <v>0</v>
      </c>
      <c r="F36" s="424"/>
      <c r="G36" s="441">
        <f t="shared" si="5"/>
        <v>3.3E-3</v>
      </c>
      <c r="H36" s="444">
        <f t="shared" si="2"/>
        <v>0</v>
      </c>
      <c r="I36" s="425"/>
      <c r="J36" s="426"/>
      <c r="K36" s="427"/>
      <c r="L36" s="427"/>
      <c r="M36" s="427"/>
      <c r="N36" s="427"/>
    </row>
    <row r="37" spans="1:14" ht="15" hidden="1" x14ac:dyDescent="0.2">
      <c r="A37" s="442">
        <f t="shared" si="3"/>
        <v>41424</v>
      </c>
      <c r="B37" s="437"/>
      <c r="C37" s="443">
        <f t="shared" si="0"/>
        <v>0</v>
      </c>
      <c r="D37" s="443">
        <f t="shared" si="1"/>
        <v>0</v>
      </c>
      <c r="E37" s="444">
        <f t="shared" si="4"/>
        <v>0</v>
      </c>
      <c r="F37" s="424"/>
      <c r="G37" s="441">
        <f t="shared" si="5"/>
        <v>3.3E-3</v>
      </c>
      <c r="H37" s="444">
        <f t="shared" si="2"/>
        <v>0</v>
      </c>
      <c r="I37" s="425"/>
      <c r="J37" s="426"/>
      <c r="K37" s="426"/>
      <c r="L37" s="426"/>
      <c r="M37" s="426"/>
      <c r="N37" s="426"/>
    </row>
    <row r="38" spans="1:14" ht="15" hidden="1" x14ac:dyDescent="0.2">
      <c r="A38" s="442">
        <f t="shared" si="3"/>
        <v>41425</v>
      </c>
      <c r="B38" s="437"/>
      <c r="C38" s="443">
        <f t="shared" si="0"/>
        <v>0</v>
      </c>
      <c r="D38" s="443">
        <f t="shared" si="1"/>
        <v>0</v>
      </c>
      <c r="E38" s="444">
        <f t="shared" si="4"/>
        <v>0</v>
      </c>
      <c r="F38" s="424"/>
      <c r="G38" s="441">
        <f t="shared" si="5"/>
        <v>3.3E-3</v>
      </c>
      <c r="H38" s="444">
        <f t="shared" si="2"/>
        <v>0</v>
      </c>
      <c r="I38" s="425">
        <f>SUM(H8:H38)</f>
        <v>0</v>
      </c>
      <c r="J38" s="426"/>
      <c r="K38" s="426">
        <f>AVERAGE(H8:H38)</f>
        <v>0</v>
      </c>
      <c r="L38" s="426">
        <f>AVERAGE(H8:H38)</f>
        <v>0</v>
      </c>
      <c r="M38" s="426">
        <f>AVERAGE(E8:E38)</f>
        <v>0</v>
      </c>
      <c r="N38" s="426">
        <f>AVERAGE(E8:E38)</f>
        <v>0</v>
      </c>
    </row>
    <row r="39" spans="1:14" ht="15" hidden="1" x14ac:dyDescent="0.2">
      <c r="A39" s="442">
        <f t="shared" si="3"/>
        <v>41426</v>
      </c>
      <c r="B39" s="437"/>
      <c r="C39" s="443">
        <f t="shared" si="0"/>
        <v>0</v>
      </c>
      <c r="D39" s="443">
        <f t="shared" si="1"/>
        <v>0</v>
      </c>
      <c r="E39" s="444">
        <f t="shared" si="4"/>
        <v>0</v>
      </c>
      <c r="F39" s="424"/>
      <c r="G39" s="441">
        <v>2.8E-3</v>
      </c>
      <c r="H39" s="444">
        <f t="shared" si="2"/>
        <v>0</v>
      </c>
      <c r="I39" s="425"/>
      <c r="J39" s="426"/>
      <c r="K39" s="427"/>
      <c r="L39" s="427"/>
      <c r="M39" s="427"/>
      <c r="N39" s="427"/>
    </row>
    <row r="40" spans="1:14" ht="15" hidden="1" x14ac:dyDescent="0.2">
      <c r="A40" s="442">
        <f t="shared" si="3"/>
        <v>41427</v>
      </c>
      <c r="B40" s="437"/>
      <c r="C40" s="443">
        <f t="shared" si="0"/>
        <v>0</v>
      </c>
      <c r="D40" s="443">
        <f t="shared" si="1"/>
        <v>0</v>
      </c>
      <c r="E40" s="444">
        <f t="shared" si="4"/>
        <v>0</v>
      </c>
      <c r="F40" s="424"/>
      <c r="G40" s="441">
        <f>G39</f>
        <v>2.8E-3</v>
      </c>
      <c r="H40" s="444">
        <f t="shared" si="2"/>
        <v>0</v>
      </c>
      <c r="I40" s="425"/>
      <c r="J40" s="426"/>
      <c r="K40" s="427"/>
      <c r="L40" s="427"/>
      <c r="M40" s="427"/>
      <c r="N40" s="427"/>
    </row>
    <row r="41" spans="1:14" ht="15" hidden="1" x14ac:dyDescent="0.2">
      <c r="A41" s="442">
        <f t="shared" si="3"/>
        <v>41428</v>
      </c>
      <c r="B41" s="437"/>
      <c r="C41" s="443">
        <f t="shared" si="0"/>
        <v>0</v>
      </c>
      <c r="D41" s="443">
        <f t="shared" si="1"/>
        <v>0</v>
      </c>
      <c r="E41" s="444">
        <f t="shared" si="4"/>
        <v>0</v>
      </c>
      <c r="F41" s="424"/>
      <c r="G41" s="441">
        <f t="shared" ref="G41:G68" si="6">G40</f>
        <v>2.8E-3</v>
      </c>
      <c r="H41" s="444">
        <f t="shared" si="2"/>
        <v>0</v>
      </c>
      <c r="I41" s="425"/>
      <c r="J41" s="426"/>
      <c r="K41" s="427"/>
      <c r="L41" s="427"/>
      <c r="M41" s="427"/>
      <c r="N41" s="427"/>
    </row>
    <row r="42" spans="1:14" ht="15" hidden="1" x14ac:dyDescent="0.2">
      <c r="A42" s="442">
        <f t="shared" si="3"/>
        <v>41429</v>
      </c>
      <c r="B42" s="437"/>
      <c r="C42" s="443">
        <f t="shared" si="0"/>
        <v>0</v>
      </c>
      <c r="D42" s="443">
        <f t="shared" si="1"/>
        <v>0</v>
      </c>
      <c r="E42" s="444">
        <f t="shared" si="4"/>
        <v>0</v>
      </c>
      <c r="F42" s="424"/>
      <c r="G42" s="441">
        <f t="shared" si="6"/>
        <v>2.8E-3</v>
      </c>
      <c r="H42" s="444">
        <f t="shared" si="2"/>
        <v>0</v>
      </c>
      <c r="I42" s="425"/>
      <c r="J42" s="426"/>
      <c r="K42" s="427"/>
      <c r="L42" s="427"/>
      <c r="M42" s="427"/>
      <c r="N42" s="427"/>
    </row>
    <row r="43" spans="1:14" ht="15" hidden="1" x14ac:dyDescent="0.2">
      <c r="A43" s="442">
        <f t="shared" si="3"/>
        <v>41430</v>
      </c>
      <c r="B43" s="437"/>
      <c r="C43" s="443">
        <f t="shared" si="0"/>
        <v>0</v>
      </c>
      <c r="D43" s="443">
        <f t="shared" si="1"/>
        <v>0</v>
      </c>
      <c r="E43" s="444">
        <f t="shared" si="4"/>
        <v>0</v>
      </c>
      <c r="F43" s="424"/>
      <c r="G43" s="441">
        <f t="shared" si="6"/>
        <v>2.8E-3</v>
      </c>
      <c r="H43" s="444">
        <f t="shared" si="2"/>
        <v>0</v>
      </c>
      <c r="I43" s="425"/>
      <c r="J43" s="426"/>
      <c r="K43" s="427"/>
      <c r="L43" s="427"/>
      <c r="M43" s="427"/>
      <c r="N43" s="427"/>
    </row>
    <row r="44" spans="1:14" ht="15" hidden="1" x14ac:dyDescent="0.2">
      <c r="A44" s="442">
        <f t="shared" si="3"/>
        <v>41431</v>
      </c>
      <c r="B44" s="437"/>
      <c r="C44" s="443">
        <f t="shared" si="0"/>
        <v>0</v>
      </c>
      <c r="D44" s="443">
        <f t="shared" si="1"/>
        <v>0</v>
      </c>
      <c r="E44" s="444">
        <f t="shared" si="4"/>
        <v>0</v>
      </c>
      <c r="F44" s="424"/>
      <c r="G44" s="441">
        <f t="shared" si="6"/>
        <v>2.8E-3</v>
      </c>
      <c r="H44" s="444">
        <f t="shared" si="2"/>
        <v>0</v>
      </c>
      <c r="I44" s="425"/>
      <c r="J44" s="426"/>
      <c r="K44" s="427"/>
      <c r="L44" s="427"/>
      <c r="M44" s="427"/>
      <c r="N44" s="427"/>
    </row>
    <row r="45" spans="1:14" ht="15" hidden="1" x14ac:dyDescent="0.2">
      <c r="A45" s="442">
        <f t="shared" si="3"/>
        <v>41432</v>
      </c>
      <c r="B45" s="437"/>
      <c r="C45" s="443">
        <f t="shared" si="0"/>
        <v>0</v>
      </c>
      <c r="D45" s="443">
        <f t="shared" si="1"/>
        <v>0</v>
      </c>
      <c r="E45" s="444">
        <f t="shared" si="4"/>
        <v>0</v>
      </c>
      <c r="F45" s="424"/>
      <c r="G45" s="441">
        <f t="shared" si="6"/>
        <v>2.8E-3</v>
      </c>
      <c r="H45" s="444">
        <f t="shared" si="2"/>
        <v>0</v>
      </c>
      <c r="I45" s="425"/>
      <c r="J45" s="426"/>
      <c r="K45" s="427"/>
      <c r="L45" s="427"/>
      <c r="M45" s="427"/>
      <c r="N45" s="427"/>
    </row>
    <row r="46" spans="1:14" ht="15" hidden="1" x14ac:dyDescent="0.2">
      <c r="A46" s="442">
        <f t="shared" si="3"/>
        <v>41433</v>
      </c>
      <c r="B46" s="437"/>
      <c r="C46" s="443">
        <f t="shared" si="0"/>
        <v>0</v>
      </c>
      <c r="D46" s="443">
        <f t="shared" si="1"/>
        <v>0</v>
      </c>
      <c r="E46" s="444">
        <f t="shared" si="4"/>
        <v>0</v>
      </c>
      <c r="F46" s="424"/>
      <c r="G46" s="441">
        <f t="shared" si="6"/>
        <v>2.8E-3</v>
      </c>
      <c r="H46" s="444">
        <f t="shared" si="2"/>
        <v>0</v>
      </c>
      <c r="I46" s="425"/>
      <c r="J46" s="426"/>
      <c r="K46" s="427"/>
      <c r="L46" s="427"/>
      <c r="M46" s="427"/>
      <c r="N46" s="427"/>
    </row>
    <row r="47" spans="1:14" ht="15" hidden="1" x14ac:dyDescent="0.2">
      <c r="A47" s="442">
        <f t="shared" si="3"/>
        <v>41434</v>
      </c>
      <c r="B47" s="437"/>
      <c r="C47" s="443">
        <f t="shared" si="0"/>
        <v>0</v>
      </c>
      <c r="D47" s="443">
        <f t="shared" si="1"/>
        <v>0</v>
      </c>
      <c r="E47" s="444">
        <f t="shared" si="4"/>
        <v>0</v>
      </c>
      <c r="F47" s="424"/>
      <c r="G47" s="441">
        <f t="shared" si="6"/>
        <v>2.8E-3</v>
      </c>
      <c r="H47" s="444">
        <f t="shared" si="2"/>
        <v>0</v>
      </c>
      <c r="I47" s="425"/>
      <c r="J47" s="426"/>
      <c r="K47" s="427"/>
      <c r="L47" s="427"/>
      <c r="M47" s="427"/>
      <c r="N47" s="427"/>
    </row>
    <row r="48" spans="1:14" ht="15" hidden="1" x14ac:dyDescent="0.2">
      <c r="A48" s="442">
        <f t="shared" si="3"/>
        <v>41435</v>
      </c>
      <c r="B48" s="437"/>
      <c r="C48" s="443">
        <f t="shared" si="0"/>
        <v>0</v>
      </c>
      <c r="D48" s="443">
        <f t="shared" si="1"/>
        <v>0</v>
      </c>
      <c r="E48" s="444">
        <f t="shared" si="4"/>
        <v>0</v>
      </c>
      <c r="F48" s="424"/>
      <c r="G48" s="441">
        <f t="shared" si="6"/>
        <v>2.8E-3</v>
      </c>
      <c r="H48" s="444">
        <f t="shared" si="2"/>
        <v>0</v>
      </c>
      <c r="I48" s="425"/>
      <c r="J48" s="426"/>
      <c r="K48" s="427"/>
      <c r="L48" s="427"/>
      <c r="M48" s="427"/>
      <c r="N48" s="427"/>
    </row>
    <row r="49" spans="1:14" ht="15" hidden="1" x14ac:dyDescent="0.2">
      <c r="A49" s="442">
        <f t="shared" si="3"/>
        <v>41436</v>
      </c>
      <c r="B49" s="437"/>
      <c r="C49" s="443">
        <f t="shared" si="0"/>
        <v>0</v>
      </c>
      <c r="D49" s="443">
        <f t="shared" si="1"/>
        <v>0</v>
      </c>
      <c r="E49" s="444">
        <f t="shared" si="4"/>
        <v>0</v>
      </c>
      <c r="F49" s="424"/>
      <c r="G49" s="441">
        <f t="shared" si="6"/>
        <v>2.8E-3</v>
      </c>
      <c r="H49" s="444">
        <f t="shared" si="2"/>
        <v>0</v>
      </c>
      <c r="I49" s="425"/>
      <c r="J49" s="426"/>
      <c r="K49" s="427"/>
      <c r="L49" s="427"/>
      <c r="M49" s="427"/>
      <c r="N49" s="427"/>
    </row>
    <row r="50" spans="1:14" ht="15" hidden="1" x14ac:dyDescent="0.2">
      <c r="A50" s="442">
        <f t="shared" si="3"/>
        <v>41437</v>
      </c>
      <c r="B50" s="437"/>
      <c r="C50" s="443">
        <f t="shared" si="0"/>
        <v>0</v>
      </c>
      <c r="D50" s="443">
        <f t="shared" si="1"/>
        <v>0</v>
      </c>
      <c r="E50" s="444">
        <f t="shared" si="4"/>
        <v>0</v>
      </c>
      <c r="F50" s="424"/>
      <c r="G50" s="441">
        <f t="shared" si="6"/>
        <v>2.8E-3</v>
      </c>
      <c r="H50" s="444">
        <f t="shared" si="2"/>
        <v>0</v>
      </c>
      <c r="I50" s="425"/>
      <c r="J50" s="426"/>
      <c r="K50" s="427"/>
      <c r="L50" s="427"/>
      <c r="M50" s="427"/>
      <c r="N50" s="427"/>
    </row>
    <row r="51" spans="1:14" ht="15" hidden="1" x14ac:dyDescent="0.2">
      <c r="A51" s="442">
        <f t="shared" si="3"/>
        <v>41438</v>
      </c>
      <c r="B51" s="437"/>
      <c r="C51" s="443">
        <f t="shared" si="0"/>
        <v>0</v>
      </c>
      <c r="D51" s="443">
        <f t="shared" si="1"/>
        <v>0</v>
      </c>
      <c r="E51" s="444">
        <f t="shared" si="4"/>
        <v>0</v>
      </c>
      <c r="F51" s="424"/>
      <c r="G51" s="441">
        <f t="shared" si="6"/>
        <v>2.8E-3</v>
      </c>
      <c r="H51" s="444">
        <f t="shared" si="2"/>
        <v>0</v>
      </c>
      <c r="I51" s="425"/>
      <c r="J51" s="426"/>
      <c r="K51" s="427"/>
      <c r="L51" s="427"/>
      <c r="M51" s="427"/>
      <c r="N51" s="427"/>
    </row>
    <row r="52" spans="1:14" ht="15" hidden="1" x14ac:dyDescent="0.2">
      <c r="A52" s="442">
        <f t="shared" si="3"/>
        <v>41439</v>
      </c>
      <c r="B52" s="437"/>
      <c r="C52" s="443">
        <f t="shared" si="0"/>
        <v>0</v>
      </c>
      <c r="D52" s="443">
        <f t="shared" si="1"/>
        <v>0</v>
      </c>
      <c r="E52" s="444">
        <f t="shared" si="4"/>
        <v>0</v>
      </c>
      <c r="F52" s="424"/>
      <c r="G52" s="441">
        <f t="shared" si="6"/>
        <v>2.8E-3</v>
      </c>
      <c r="H52" s="444">
        <f t="shared" si="2"/>
        <v>0</v>
      </c>
      <c r="I52" s="425"/>
      <c r="J52" s="426"/>
      <c r="K52" s="427"/>
      <c r="L52" s="427"/>
      <c r="M52" s="427"/>
      <c r="N52" s="427"/>
    </row>
    <row r="53" spans="1:14" ht="15" hidden="1" x14ac:dyDescent="0.2">
      <c r="A53" s="442">
        <f t="shared" si="3"/>
        <v>41440</v>
      </c>
      <c r="B53" s="437"/>
      <c r="C53" s="443">
        <f t="shared" si="0"/>
        <v>0</v>
      </c>
      <c r="D53" s="443">
        <f t="shared" si="1"/>
        <v>0</v>
      </c>
      <c r="E53" s="444">
        <f t="shared" si="4"/>
        <v>0</v>
      </c>
      <c r="F53" s="424"/>
      <c r="G53" s="441">
        <f t="shared" si="6"/>
        <v>2.8E-3</v>
      </c>
      <c r="H53" s="444">
        <f t="shared" si="2"/>
        <v>0</v>
      </c>
      <c r="I53" s="425"/>
      <c r="J53" s="426"/>
      <c r="K53" s="427"/>
      <c r="L53" s="427"/>
      <c r="M53" s="427"/>
      <c r="N53" s="427"/>
    </row>
    <row r="54" spans="1:14" ht="15" hidden="1" x14ac:dyDescent="0.2">
      <c r="A54" s="442">
        <f t="shared" si="3"/>
        <v>41441</v>
      </c>
      <c r="B54" s="437"/>
      <c r="C54" s="443">
        <f t="shared" si="0"/>
        <v>0</v>
      </c>
      <c r="D54" s="443">
        <f t="shared" si="1"/>
        <v>0</v>
      </c>
      <c r="E54" s="444">
        <f t="shared" si="4"/>
        <v>0</v>
      </c>
      <c r="F54" s="424"/>
      <c r="G54" s="441">
        <f t="shared" si="6"/>
        <v>2.8E-3</v>
      </c>
      <c r="H54" s="444">
        <f t="shared" si="2"/>
        <v>0</v>
      </c>
      <c r="I54" s="425"/>
      <c r="J54" s="426"/>
      <c r="K54" s="427"/>
      <c r="L54" s="427"/>
      <c r="M54" s="427"/>
      <c r="N54" s="427"/>
    </row>
    <row r="55" spans="1:14" ht="15" hidden="1" x14ac:dyDescent="0.2">
      <c r="A55" s="442">
        <f t="shared" si="3"/>
        <v>41442</v>
      </c>
      <c r="B55" s="437"/>
      <c r="C55" s="443">
        <f t="shared" si="0"/>
        <v>0</v>
      </c>
      <c r="D55" s="443">
        <f t="shared" si="1"/>
        <v>0</v>
      </c>
      <c r="E55" s="444">
        <f t="shared" si="4"/>
        <v>0</v>
      </c>
      <c r="F55" s="424"/>
      <c r="G55" s="441">
        <f t="shared" si="6"/>
        <v>2.8E-3</v>
      </c>
      <c r="H55" s="444">
        <f t="shared" si="2"/>
        <v>0</v>
      </c>
      <c r="I55" s="425"/>
      <c r="J55" s="426"/>
      <c r="K55" s="427"/>
      <c r="L55" s="427"/>
      <c r="M55" s="427"/>
      <c r="N55" s="427"/>
    </row>
    <row r="56" spans="1:14" ht="15" hidden="1" x14ac:dyDescent="0.2">
      <c r="A56" s="442">
        <f t="shared" si="3"/>
        <v>41443</v>
      </c>
      <c r="B56" s="437"/>
      <c r="C56" s="443">
        <f t="shared" si="0"/>
        <v>0</v>
      </c>
      <c r="D56" s="443">
        <f t="shared" si="1"/>
        <v>0</v>
      </c>
      <c r="E56" s="444">
        <f t="shared" si="4"/>
        <v>0</v>
      </c>
      <c r="F56" s="424"/>
      <c r="G56" s="441">
        <f t="shared" si="6"/>
        <v>2.8E-3</v>
      </c>
      <c r="H56" s="444">
        <f t="shared" si="2"/>
        <v>0</v>
      </c>
      <c r="I56" s="425"/>
      <c r="J56" s="426"/>
      <c r="K56" s="427"/>
      <c r="L56" s="427"/>
      <c r="M56" s="427"/>
      <c r="N56" s="427"/>
    </row>
    <row r="57" spans="1:14" ht="15" hidden="1" x14ac:dyDescent="0.2">
      <c r="A57" s="442">
        <f t="shared" si="3"/>
        <v>41444</v>
      </c>
      <c r="B57" s="437"/>
      <c r="C57" s="443">
        <f t="shared" si="0"/>
        <v>0</v>
      </c>
      <c r="D57" s="443">
        <f t="shared" si="1"/>
        <v>0</v>
      </c>
      <c r="E57" s="444">
        <f t="shared" si="4"/>
        <v>0</v>
      </c>
      <c r="F57" s="424"/>
      <c r="G57" s="441">
        <f t="shared" si="6"/>
        <v>2.8E-3</v>
      </c>
      <c r="H57" s="444">
        <f t="shared" si="2"/>
        <v>0</v>
      </c>
      <c r="I57" s="425"/>
      <c r="J57" s="426"/>
      <c r="K57" s="427"/>
      <c r="L57" s="427"/>
      <c r="M57" s="427"/>
      <c r="N57" s="427"/>
    </row>
    <row r="58" spans="1:14" ht="15" hidden="1" x14ac:dyDescent="0.2">
      <c r="A58" s="442">
        <f t="shared" si="3"/>
        <v>41445</v>
      </c>
      <c r="B58" s="437"/>
      <c r="C58" s="443">
        <f t="shared" si="0"/>
        <v>0</v>
      </c>
      <c r="D58" s="443">
        <f t="shared" si="1"/>
        <v>0</v>
      </c>
      <c r="E58" s="444">
        <f t="shared" si="4"/>
        <v>0</v>
      </c>
      <c r="F58" s="424"/>
      <c r="G58" s="441">
        <f t="shared" si="6"/>
        <v>2.8E-3</v>
      </c>
      <c r="H58" s="444">
        <f t="shared" si="2"/>
        <v>0</v>
      </c>
      <c r="I58" s="425"/>
      <c r="J58" s="426"/>
      <c r="K58" s="427"/>
      <c r="L58" s="427"/>
      <c r="M58" s="427"/>
      <c r="N58" s="427"/>
    </row>
    <row r="59" spans="1:14" ht="15" hidden="1" x14ac:dyDescent="0.2">
      <c r="A59" s="442">
        <f t="shared" si="3"/>
        <v>41446</v>
      </c>
      <c r="B59" s="437"/>
      <c r="C59" s="443">
        <f t="shared" si="0"/>
        <v>0</v>
      </c>
      <c r="D59" s="443">
        <f t="shared" si="1"/>
        <v>0</v>
      </c>
      <c r="E59" s="444">
        <f t="shared" si="4"/>
        <v>0</v>
      </c>
      <c r="F59" s="424"/>
      <c r="G59" s="441">
        <f t="shared" si="6"/>
        <v>2.8E-3</v>
      </c>
      <c r="H59" s="444">
        <f t="shared" si="2"/>
        <v>0</v>
      </c>
      <c r="I59" s="425"/>
      <c r="J59" s="426"/>
      <c r="K59" s="427"/>
      <c r="L59" s="427"/>
      <c r="M59" s="427"/>
      <c r="N59" s="427"/>
    </row>
    <row r="60" spans="1:14" ht="15" hidden="1" x14ac:dyDescent="0.2">
      <c r="A60" s="442">
        <f t="shared" si="3"/>
        <v>41447</v>
      </c>
      <c r="B60" s="437"/>
      <c r="C60" s="443">
        <f t="shared" si="0"/>
        <v>0</v>
      </c>
      <c r="D60" s="443">
        <f t="shared" si="1"/>
        <v>0</v>
      </c>
      <c r="E60" s="444">
        <f t="shared" si="4"/>
        <v>0</v>
      </c>
      <c r="F60" s="424"/>
      <c r="G60" s="441">
        <f t="shared" si="6"/>
        <v>2.8E-3</v>
      </c>
      <c r="H60" s="444">
        <f t="shared" si="2"/>
        <v>0</v>
      </c>
      <c r="I60" s="425"/>
      <c r="J60" s="426"/>
      <c r="K60" s="427"/>
      <c r="L60" s="427"/>
      <c r="M60" s="427"/>
      <c r="N60" s="427"/>
    </row>
    <row r="61" spans="1:14" ht="15" hidden="1" x14ac:dyDescent="0.2">
      <c r="A61" s="442">
        <f t="shared" si="3"/>
        <v>41448</v>
      </c>
      <c r="B61" s="437"/>
      <c r="C61" s="443">
        <f t="shared" si="0"/>
        <v>0</v>
      </c>
      <c r="D61" s="443">
        <f t="shared" si="1"/>
        <v>0</v>
      </c>
      <c r="E61" s="444">
        <f t="shared" si="4"/>
        <v>0</v>
      </c>
      <c r="F61" s="424"/>
      <c r="G61" s="441">
        <f t="shared" si="6"/>
        <v>2.8E-3</v>
      </c>
      <c r="H61" s="444">
        <f t="shared" si="2"/>
        <v>0</v>
      </c>
      <c r="I61" s="425"/>
      <c r="J61" s="426"/>
      <c r="K61" s="427"/>
      <c r="L61" s="427"/>
      <c r="M61" s="427"/>
      <c r="N61" s="427"/>
    </row>
    <row r="62" spans="1:14" ht="15" hidden="1" x14ac:dyDescent="0.2">
      <c r="A62" s="442">
        <f t="shared" si="3"/>
        <v>41449</v>
      </c>
      <c r="B62" s="437"/>
      <c r="C62" s="443">
        <f t="shared" si="0"/>
        <v>0</v>
      </c>
      <c r="D62" s="443">
        <f t="shared" si="1"/>
        <v>0</v>
      </c>
      <c r="E62" s="444">
        <f t="shared" si="4"/>
        <v>0</v>
      </c>
      <c r="F62" s="424"/>
      <c r="G62" s="441">
        <f t="shared" si="6"/>
        <v>2.8E-3</v>
      </c>
      <c r="H62" s="444">
        <f t="shared" si="2"/>
        <v>0</v>
      </c>
      <c r="I62" s="425"/>
      <c r="J62" s="426"/>
      <c r="K62" s="427"/>
      <c r="L62" s="427"/>
      <c r="M62" s="427"/>
      <c r="N62" s="427"/>
    </row>
    <row r="63" spans="1:14" ht="15" hidden="1" x14ac:dyDescent="0.2">
      <c r="A63" s="442">
        <f t="shared" si="3"/>
        <v>41450</v>
      </c>
      <c r="B63" s="437"/>
      <c r="C63" s="443">
        <f t="shared" si="0"/>
        <v>0</v>
      </c>
      <c r="D63" s="443">
        <f t="shared" si="1"/>
        <v>0</v>
      </c>
      <c r="E63" s="444">
        <f t="shared" si="4"/>
        <v>0</v>
      </c>
      <c r="F63" s="424"/>
      <c r="G63" s="441">
        <f t="shared" si="6"/>
        <v>2.8E-3</v>
      </c>
      <c r="H63" s="444">
        <f t="shared" si="2"/>
        <v>0</v>
      </c>
      <c r="I63" s="425"/>
      <c r="J63" s="426"/>
      <c r="K63" s="427"/>
      <c r="L63" s="427"/>
      <c r="M63" s="427"/>
      <c r="N63" s="427"/>
    </row>
    <row r="64" spans="1:14" ht="15" hidden="1" x14ac:dyDescent="0.2">
      <c r="A64" s="442">
        <f t="shared" si="3"/>
        <v>41451</v>
      </c>
      <c r="B64" s="437"/>
      <c r="C64" s="443">
        <f t="shared" si="0"/>
        <v>0</v>
      </c>
      <c r="D64" s="443">
        <f t="shared" si="1"/>
        <v>0</v>
      </c>
      <c r="E64" s="444">
        <f t="shared" si="4"/>
        <v>0</v>
      </c>
      <c r="F64" s="424"/>
      <c r="G64" s="441">
        <f t="shared" si="6"/>
        <v>2.8E-3</v>
      </c>
      <c r="H64" s="444">
        <f t="shared" si="2"/>
        <v>0</v>
      </c>
      <c r="I64" s="425"/>
      <c r="J64" s="426"/>
      <c r="K64" s="427"/>
      <c r="L64" s="427"/>
      <c r="M64" s="427"/>
      <c r="N64" s="427"/>
    </row>
    <row r="65" spans="1:14" ht="15" hidden="1" x14ac:dyDescent="0.2">
      <c r="A65" s="442">
        <f t="shared" ref="A65:A128" si="7">A64+1</f>
        <v>41452</v>
      </c>
      <c r="B65" s="437"/>
      <c r="C65" s="443">
        <f t="shared" ref="C65:C128" si="8">IF(B65&lt;0,B65*-1,0)</f>
        <v>0</v>
      </c>
      <c r="D65" s="443">
        <f t="shared" ref="D65:D128" si="9">IF(B65&gt;0,B65*1,0)</f>
        <v>0</v>
      </c>
      <c r="E65" s="444">
        <f t="shared" si="4"/>
        <v>0</v>
      </c>
      <c r="F65" s="424"/>
      <c r="G65" s="441">
        <f t="shared" si="6"/>
        <v>2.8E-3</v>
      </c>
      <c r="H65" s="444">
        <f t="shared" si="2"/>
        <v>0</v>
      </c>
      <c r="I65" s="425"/>
      <c r="J65" s="426"/>
      <c r="K65" s="427"/>
      <c r="L65" s="427"/>
      <c r="M65" s="427"/>
      <c r="N65" s="427"/>
    </row>
    <row r="66" spans="1:14" ht="15" hidden="1" x14ac:dyDescent="0.2">
      <c r="A66" s="442">
        <f t="shared" si="7"/>
        <v>41453</v>
      </c>
      <c r="B66" s="437"/>
      <c r="C66" s="443">
        <f t="shared" si="8"/>
        <v>0</v>
      </c>
      <c r="D66" s="443">
        <f t="shared" si="9"/>
        <v>0</v>
      </c>
      <c r="E66" s="444">
        <f t="shared" si="4"/>
        <v>0</v>
      </c>
      <c r="F66" s="424"/>
      <c r="G66" s="441">
        <f t="shared" si="6"/>
        <v>2.8E-3</v>
      </c>
      <c r="H66" s="444">
        <f t="shared" ref="H66:H129" si="10">ROUND(+E66*G66/360,5)</f>
        <v>0</v>
      </c>
      <c r="I66" s="425"/>
      <c r="J66" s="426"/>
      <c r="K66" s="427"/>
      <c r="L66" s="427"/>
      <c r="M66" s="427"/>
      <c r="N66" s="427"/>
    </row>
    <row r="67" spans="1:14" ht="15" hidden="1" x14ac:dyDescent="0.2">
      <c r="A67" s="442">
        <f t="shared" si="7"/>
        <v>41454</v>
      </c>
      <c r="B67" s="437"/>
      <c r="C67" s="443">
        <f t="shared" si="8"/>
        <v>0</v>
      </c>
      <c r="D67" s="443">
        <f t="shared" si="9"/>
        <v>0</v>
      </c>
      <c r="E67" s="444">
        <f t="shared" si="4"/>
        <v>0</v>
      </c>
      <c r="F67" s="424"/>
      <c r="G67" s="441">
        <f t="shared" si="6"/>
        <v>2.8E-3</v>
      </c>
      <c r="H67" s="444">
        <f t="shared" si="10"/>
        <v>0</v>
      </c>
      <c r="I67" s="425"/>
      <c r="J67" s="426"/>
      <c r="K67" s="427"/>
      <c r="L67" s="427"/>
      <c r="M67" s="427"/>
      <c r="N67" s="427"/>
    </row>
    <row r="68" spans="1:14" ht="15" hidden="1" x14ac:dyDescent="0.2">
      <c r="A68" s="442">
        <f t="shared" si="7"/>
        <v>41455</v>
      </c>
      <c r="B68" s="437"/>
      <c r="C68" s="443">
        <f t="shared" si="8"/>
        <v>0</v>
      </c>
      <c r="D68" s="443">
        <f t="shared" si="9"/>
        <v>0</v>
      </c>
      <c r="E68" s="444">
        <f t="shared" si="4"/>
        <v>0</v>
      </c>
      <c r="F68" s="424"/>
      <c r="G68" s="441">
        <f t="shared" si="6"/>
        <v>2.8E-3</v>
      </c>
      <c r="H68" s="444">
        <f t="shared" si="10"/>
        <v>0</v>
      </c>
      <c r="I68" s="425">
        <f>SUM(H39:H68)</f>
        <v>0</v>
      </c>
      <c r="J68" s="426"/>
      <c r="K68" s="445">
        <f>AVERAGE(G39:G68)</f>
        <v>2.7999999999999982E-3</v>
      </c>
      <c r="L68" s="445">
        <f>AVERAGE(G8:G68)</f>
        <v>3.0540983606557352E-3</v>
      </c>
      <c r="M68" s="426">
        <f>AVERAGE(E39:E68)</f>
        <v>0</v>
      </c>
      <c r="N68" s="426">
        <f>AVERAGE(E8:E68)</f>
        <v>0</v>
      </c>
    </row>
    <row r="69" spans="1:14" ht="15" hidden="1" x14ac:dyDescent="0.2">
      <c r="A69" s="442">
        <f t="shared" si="7"/>
        <v>41456</v>
      </c>
      <c r="B69" s="437"/>
      <c r="C69" s="443">
        <f t="shared" si="8"/>
        <v>0</v>
      </c>
      <c r="D69" s="443">
        <f t="shared" si="9"/>
        <v>0</v>
      </c>
      <c r="E69" s="444">
        <f t="shared" si="4"/>
        <v>0</v>
      </c>
      <c r="F69" s="424"/>
      <c r="G69" s="441">
        <v>2.8999999999999998E-3</v>
      </c>
      <c r="H69" s="444">
        <f t="shared" si="10"/>
        <v>0</v>
      </c>
      <c r="I69" s="425"/>
      <c r="J69" s="426"/>
      <c r="K69" s="427"/>
      <c r="L69" s="427"/>
      <c r="M69" s="427"/>
      <c r="N69" s="427"/>
    </row>
    <row r="70" spans="1:14" ht="15" hidden="1" x14ac:dyDescent="0.2">
      <c r="A70" s="442">
        <f t="shared" si="7"/>
        <v>41457</v>
      </c>
      <c r="B70" s="437"/>
      <c r="C70" s="443">
        <f t="shared" si="8"/>
        <v>0</v>
      </c>
      <c r="D70" s="443">
        <f t="shared" si="9"/>
        <v>0</v>
      </c>
      <c r="E70" s="444">
        <f t="shared" si="4"/>
        <v>0</v>
      </c>
      <c r="F70" s="424"/>
      <c r="G70" s="441">
        <f>G69</f>
        <v>2.8999999999999998E-3</v>
      </c>
      <c r="H70" s="444">
        <f t="shared" si="10"/>
        <v>0</v>
      </c>
      <c r="I70" s="425"/>
      <c r="J70" s="426"/>
      <c r="K70" s="427"/>
      <c r="L70" s="427"/>
      <c r="M70" s="427"/>
      <c r="N70" s="427"/>
    </row>
    <row r="71" spans="1:14" ht="15" hidden="1" x14ac:dyDescent="0.2">
      <c r="A71" s="442">
        <f t="shared" si="7"/>
        <v>41458</v>
      </c>
      <c r="B71" s="437"/>
      <c r="C71" s="443">
        <f t="shared" si="8"/>
        <v>0</v>
      </c>
      <c r="D71" s="443">
        <f t="shared" si="9"/>
        <v>0</v>
      </c>
      <c r="E71" s="444">
        <f t="shared" si="4"/>
        <v>0</v>
      </c>
      <c r="F71" s="424"/>
      <c r="G71" s="441">
        <f t="shared" ref="G71:G99" si="11">G70</f>
        <v>2.8999999999999998E-3</v>
      </c>
      <c r="H71" s="444">
        <f t="shared" si="10"/>
        <v>0</v>
      </c>
      <c r="I71" s="425"/>
      <c r="J71" s="426"/>
      <c r="K71" s="427"/>
      <c r="L71" s="427"/>
      <c r="M71" s="427"/>
      <c r="N71" s="427"/>
    </row>
    <row r="72" spans="1:14" ht="15" hidden="1" x14ac:dyDescent="0.2">
      <c r="A72" s="442">
        <f t="shared" si="7"/>
        <v>41459</v>
      </c>
      <c r="B72" s="437"/>
      <c r="C72" s="443">
        <f t="shared" si="8"/>
        <v>0</v>
      </c>
      <c r="D72" s="443">
        <f t="shared" si="9"/>
        <v>0</v>
      </c>
      <c r="E72" s="444">
        <f t="shared" si="4"/>
        <v>0</v>
      </c>
      <c r="F72" s="424"/>
      <c r="G72" s="441">
        <f t="shared" si="11"/>
        <v>2.8999999999999998E-3</v>
      </c>
      <c r="H72" s="444">
        <f t="shared" si="10"/>
        <v>0</v>
      </c>
      <c r="I72" s="425"/>
      <c r="J72" s="426"/>
      <c r="K72" s="427"/>
      <c r="L72" s="427"/>
      <c r="M72" s="427"/>
      <c r="N72" s="427"/>
    </row>
    <row r="73" spans="1:14" ht="15" hidden="1" x14ac:dyDescent="0.2">
      <c r="A73" s="442">
        <f t="shared" si="7"/>
        <v>41460</v>
      </c>
      <c r="B73" s="437"/>
      <c r="C73" s="443">
        <f t="shared" si="8"/>
        <v>0</v>
      </c>
      <c r="D73" s="443">
        <f t="shared" si="9"/>
        <v>0</v>
      </c>
      <c r="E73" s="444">
        <f t="shared" ref="E73:E136" si="12">E72-C73+D73</f>
        <v>0</v>
      </c>
      <c r="F73" s="424"/>
      <c r="G73" s="441">
        <f t="shared" si="11"/>
        <v>2.8999999999999998E-3</v>
      </c>
      <c r="H73" s="444">
        <f t="shared" si="10"/>
        <v>0</v>
      </c>
      <c r="I73" s="425"/>
      <c r="J73" s="426"/>
      <c r="K73" s="427"/>
      <c r="L73" s="427"/>
      <c r="M73" s="427"/>
      <c r="N73" s="427"/>
    </row>
    <row r="74" spans="1:14" ht="15" hidden="1" x14ac:dyDescent="0.2">
      <c r="A74" s="442">
        <f t="shared" si="7"/>
        <v>41461</v>
      </c>
      <c r="B74" s="437"/>
      <c r="C74" s="443">
        <f t="shared" si="8"/>
        <v>0</v>
      </c>
      <c r="D74" s="443">
        <f t="shared" si="9"/>
        <v>0</v>
      </c>
      <c r="E74" s="444">
        <f t="shared" si="12"/>
        <v>0</v>
      </c>
      <c r="F74" s="424"/>
      <c r="G74" s="441">
        <f t="shared" si="11"/>
        <v>2.8999999999999998E-3</v>
      </c>
      <c r="H74" s="444">
        <f t="shared" si="10"/>
        <v>0</v>
      </c>
      <c r="I74" s="425"/>
      <c r="J74" s="426"/>
      <c r="K74" s="427"/>
      <c r="L74" s="427"/>
      <c r="M74" s="427"/>
      <c r="N74" s="427"/>
    </row>
    <row r="75" spans="1:14" ht="15" hidden="1" x14ac:dyDescent="0.2">
      <c r="A75" s="442">
        <f t="shared" si="7"/>
        <v>41462</v>
      </c>
      <c r="B75" s="437"/>
      <c r="C75" s="443">
        <f t="shared" si="8"/>
        <v>0</v>
      </c>
      <c r="D75" s="443">
        <f t="shared" si="9"/>
        <v>0</v>
      </c>
      <c r="E75" s="444">
        <f t="shared" si="12"/>
        <v>0</v>
      </c>
      <c r="F75" s="424"/>
      <c r="G75" s="441">
        <f t="shared" si="11"/>
        <v>2.8999999999999998E-3</v>
      </c>
      <c r="H75" s="444">
        <f t="shared" si="10"/>
        <v>0</v>
      </c>
      <c r="I75" s="425"/>
      <c r="J75" s="426"/>
      <c r="K75" s="427"/>
      <c r="L75" s="427"/>
      <c r="M75" s="427"/>
      <c r="N75" s="427"/>
    </row>
    <row r="76" spans="1:14" ht="15" hidden="1" x14ac:dyDescent="0.2">
      <c r="A76" s="442">
        <f t="shared" si="7"/>
        <v>41463</v>
      </c>
      <c r="B76" s="437"/>
      <c r="C76" s="443">
        <f t="shared" si="8"/>
        <v>0</v>
      </c>
      <c r="D76" s="443">
        <f t="shared" si="9"/>
        <v>0</v>
      </c>
      <c r="E76" s="444">
        <f t="shared" si="12"/>
        <v>0</v>
      </c>
      <c r="F76" s="424"/>
      <c r="G76" s="441">
        <f t="shared" si="11"/>
        <v>2.8999999999999998E-3</v>
      </c>
      <c r="H76" s="444">
        <f t="shared" si="10"/>
        <v>0</v>
      </c>
      <c r="I76" s="425"/>
      <c r="J76" s="426"/>
      <c r="K76" s="427"/>
      <c r="L76" s="427"/>
      <c r="M76" s="427"/>
      <c r="N76" s="427"/>
    </row>
    <row r="77" spans="1:14" ht="15" hidden="1" x14ac:dyDescent="0.2">
      <c r="A77" s="442">
        <f t="shared" si="7"/>
        <v>41464</v>
      </c>
      <c r="B77" s="437"/>
      <c r="C77" s="443">
        <f t="shared" si="8"/>
        <v>0</v>
      </c>
      <c r="D77" s="443">
        <f t="shared" si="9"/>
        <v>0</v>
      </c>
      <c r="E77" s="444">
        <f t="shared" si="12"/>
        <v>0</v>
      </c>
      <c r="F77" s="424"/>
      <c r="G77" s="441">
        <f t="shared" si="11"/>
        <v>2.8999999999999998E-3</v>
      </c>
      <c r="H77" s="444">
        <f t="shared" si="10"/>
        <v>0</v>
      </c>
      <c r="I77" s="425"/>
      <c r="J77" s="426"/>
      <c r="K77" s="427"/>
      <c r="L77" s="427"/>
      <c r="M77" s="427"/>
      <c r="N77" s="427"/>
    </row>
    <row r="78" spans="1:14" ht="15" hidden="1" x14ac:dyDescent="0.2">
      <c r="A78" s="442">
        <f t="shared" si="7"/>
        <v>41465</v>
      </c>
      <c r="B78" s="437"/>
      <c r="C78" s="443">
        <f t="shared" si="8"/>
        <v>0</v>
      </c>
      <c r="D78" s="443">
        <f t="shared" si="9"/>
        <v>0</v>
      </c>
      <c r="E78" s="444">
        <f t="shared" si="12"/>
        <v>0</v>
      </c>
      <c r="F78" s="424"/>
      <c r="G78" s="441">
        <f t="shared" si="11"/>
        <v>2.8999999999999998E-3</v>
      </c>
      <c r="H78" s="444">
        <f t="shared" si="10"/>
        <v>0</v>
      </c>
      <c r="I78" s="425"/>
      <c r="J78" s="426"/>
      <c r="K78" s="427"/>
      <c r="L78" s="427"/>
      <c r="M78" s="427"/>
      <c r="N78" s="427"/>
    </row>
    <row r="79" spans="1:14" ht="15" hidden="1" x14ac:dyDescent="0.2">
      <c r="A79" s="442">
        <f t="shared" si="7"/>
        <v>41466</v>
      </c>
      <c r="B79" s="437"/>
      <c r="C79" s="443">
        <f t="shared" si="8"/>
        <v>0</v>
      </c>
      <c r="D79" s="443">
        <f t="shared" si="9"/>
        <v>0</v>
      </c>
      <c r="E79" s="444">
        <f t="shared" si="12"/>
        <v>0</v>
      </c>
      <c r="F79" s="424"/>
      <c r="G79" s="441">
        <f t="shared" si="11"/>
        <v>2.8999999999999998E-3</v>
      </c>
      <c r="H79" s="444">
        <f t="shared" si="10"/>
        <v>0</v>
      </c>
      <c r="I79" s="425"/>
      <c r="J79" s="426"/>
      <c r="K79" s="427"/>
      <c r="L79" s="427"/>
      <c r="M79" s="427"/>
      <c r="N79" s="427"/>
    </row>
    <row r="80" spans="1:14" ht="15" hidden="1" x14ac:dyDescent="0.2">
      <c r="A80" s="442">
        <f t="shared" si="7"/>
        <v>41467</v>
      </c>
      <c r="B80" s="437"/>
      <c r="C80" s="443">
        <f t="shared" si="8"/>
        <v>0</v>
      </c>
      <c r="D80" s="443">
        <f t="shared" si="9"/>
        <v>0</v>
      </c>
      <c r="E80" s="444">
        <f t="shared" si="12"/>
        <v>0</v>
      </c>
      <c r="F80" s="424"/>
      <c r="G80" s="441">
        <f t="shared" si="11"/>
        <v>2.8999999999999998E-3</v>
      </c>
      <c r="H80" s="444">
        <f t="shared" si="10"/>
        <v>0</v>
      </c>
      <c r="I80" s="425"/>
      <c r="J80" s="426"/>
      <c r="K80" s="427"/>
      <c r="L80" s="427"/>
      <c r="M80" s="427"/>
      <c r="N80" s="427"/>
    </row>
    <row r="81" spans="1:14" ht="15" hidden="1" x14ac:dyDescent="0.2">
      <c r="A81" s="442">
        <f t="shared" si="7"/>
        <v>41468</v>
      </c>
      <c r="B81" s="437"/>
      <c r="C81" s="443">
        <f t="shared" si="8"/>
        <v>0</v>
      </c>
      <c r="D81" s="443">
        <f t="shared" si="9"/>
        <v>0</v>
      </c>
      <c r="E81" s="444">
        <f t="shared" si="12"/>
        <v>0</v>
      </c>
      <c r="F81" s="424"/>
      <c r="G81" s="441">
        <f t="shared" si="11"/>
        <v>2.8999999999999998E-3</v>
      </c>
      <c r="H81" s="444">
        <f t="shared" si="10"/>
        <v>0</v>
      </c>
      <c r="I81" s="425"/>
      <c r="J81" s="426"/>
      <c r="K81" s="427"/>
      <c r="L81" s="427"/>
      <c r="M81" s="427"/>
      <c r="N81" s="427"/>
    </row>
    <row r="82" spans="1:14" ht="15" hidden="1" x14ac:dyDescent="0.2">
      <c r="A82" s="442">
        <f t="shared" si="7"/>
        <v>41469</v>
      </c>
      <c r="B82" s="437"/>
      <c r="C82" s="443">
        <f t="shared" si="8"/>
        <v>0</v>
      </c>
      <c r="D82" s="443">
        <f t="shared" si="9"/>
        <v>0</v>
      </c>
      <c r="E82" s="444">
        <f t="shared" si="12"/>
        <v>0</v>
      </c>
      <c r="F82" s="424"/>
      <c r="G82" s="441">
        <f t="shared" si="11"/>
        <v>2.8999999999999998E-3</v>
      </c>
      <c r="H82" s="444">
        <f t="shared" si="10"/>
        <v>0</v>
      </c>
      <c r="I82" s="425"/>
      <c r="J82" s="426"/>
      <c r="K82" s="427"/>
      <c r="L82" s="427"/>
      <c r="M82" s="427"/>
      <c r="N82" s="427"/>
    </row>
    <row r="83" spans="1:14" ht="15" hidden="1" x14ac:dyDescent="0.2">
      <c r="A83" s="442">
        <f t="shared" si="7"/>
        <v>41470</v>
      </c>
      <c r="B83" s="437"/>
      <c r="C83" s="443">
        <f t="shared" si="8"/>
        <v>0</v>
      </c>
      <c r="D83" s="443">
        <f t="shared" si="9"/>
        <v>0</v>
      </c>
      <c r="E83" s="444">
        <f t="shared" si="12"/>
        <v>0</v>
      </c>
      <c r="F83" s="424"/>
      <c r="G83" s="441">
        <f t="shared" si="11"/>
        <v>2.8999999999999998E-3</v>
      </c>
      <c r="H83" s="444">
        <f t="shared" si="10"/>
        <v>0</v>
      </c>
      <c r="I83" s="425"/>
      <c r="J83" s="426"/>
      <c r="K83" s="427"/>
      <c r="L83" s="427"/>
      <c r="M83" s="427"/>
      <c r="N83" s="427"/>
    </row>
    <row r="84" spans="1:14" ht="15" hidden="1" x14ac:dyDescent="0.2">
      <c r="A84" s="442">
        <f t="shared" si="7"/>
        <v>41471</v>
      </c>
      <c r="B84" s="437"/>
      <c r="C84" s="443">
        <f t="shared" si="8"/>
        <v>0</v>
      </c>
      <c r="D84" s="443">
        <f t="shared" si="9"/>
        <v>0</v>
      </c>
      <c r="E84" s="444">
        <f t="shared" si="12"/>
        <v>0</v>
      </c>
      <c r="F84" s="424"/>
      <c r="G84" s="441">
        <f t="shared" si="11"/>
        <v>2.8999999999999998E-3</v>
      </c>
      <c r="H84" s="444">
        <f t="shared" si="10"/>
        <v>0</v>
      </c>
      <c r="I84" s="425"/>
      <c r="J84" s="426"/>
      <c r="K84" s="427"/>
      <c r="L84" s="427"/>
      <c r="M84" s="427"/>
      <c r="N84" s="427"/>
    </row>
    <row r="85" spans="1:14" ht="15" hidden="1" x14ac:dyDescent="0.2">
      <c r="A85" s="442">
        <f t="shared" si="7"/>
        <v>41472</v>
      </c>
      <c r="B85" s="437"/>
      <c r="C85" s="443">
        <f t="shared" si="8"/>
        <v>0</v>
      </c>
      <c r="D85" s="443">
        <f t="shared" si="9"/>
        <v>0</v>
      </c>
      <c r="E85" s="444">
        <f t="shared" si="12"/>
        <v>0</v>
      </c>
      <c r="F85" s="424"/>
      <c r="G85" s="441">
        <f t="shared" si="11"/>
        <v>2.8999999999999998E-3</v>
      </c>
      <c r="H85" s="444">
        <f t="shared" si="10"/>
        <v>0</v>
      </c>
      <c r="I85" s="425"/>
      <c r="J85" s="426"/>
      <c r="K85" s="427"/>
      <c r="L85" s="427"/>
      <c r="M85" s="427"/>
      <c r="N85" s="427"/>
    </row>
    <row r="86" spans="1:14" ht="15" hidden="1" x14ac:dyDescent="0.2">
      <c r="A86" s="442">
        <f t="shared" si="7"/>
        <v>41473</v>
      </c>
      <c r="B86" s="437"/>
      <c r="C86" s="443">
        <f t="shared" si="8"/>
        <v>0</v>
      </c>
      <c r="D86" s="443">
        <f t="shared" si="9"/>
        <v>0</v>
      </c>
      <c r="E86" s="444">
        <f t="shared" si="12"/>
        <v>0</v>
      </c>
      <c r="F86" s="424"/>
      <c r="G86" s="441">
        <f t="shared" si="11"/>
        <v>2.8999999999999998E-3</v>
      </c>
      <c r="H86" s="444">
        <f t="shared" si="10"/>
        <v>0</v>
      </c>
      <c r="I86" s="425"/>
      <c r="J86" s="426"/>
      <c r="K86" s="427"/>
      <c r="L86" s="427"/>
      <c r="M86" s="427"/>
      <c r="N86" s="427"/>
    </row>
    <row r="87" spans="1:14" ht="15" hidden="1" x14ac:dyDescent="0.2">
      <c r="A87" s="442">
        <f t="shared" si="7"/>
        <v>41474</v>
      </c>
      <c r="B87" s="437"/>
      <c r="C87" s="443">
        <f t="shared" si="8"/>
        <v>0</v>
      </c>
      <c r="D87" s="443">
        <f t="shared" si="9"/>
        <v>0</v>
      </c>
      <c r="E87" s="444">
        <f t="shared" si="12"/>
        <v>0</v>
      </c>
      <c r="F87" s="424"/>
      <c r="G87" s="441">
        <f t="shared" si="11"/>
        <v>2.8999999999999998E-3</v>
      </c>
      <c r="H87" s="444">
        <f t="shared" si="10"/>
        <v>0</v>
      </c>
      <c r="I87" s="425"/>
      <c r="J87" s="426"/>
      <c r="K87" s="427"/>
      <c r="L87" s="427"/>
      <c r="M87" s="427"/>
      <c r="N87" s="427"/>
    </row>
    <row r="88" spans="1:14" ht="15" hidden="1" x14ac:dyDescent="0.2">
      <c r="A88" s="442">
        <f t="shared" si="7"/>
        <v>41475</v>
      </c>
      <c r="B88" s="437"/>
      <c r="C88" s="443">
        <f t="shared" si="8"/>
        <v>0</v>
      </c>
      <c r="D88" s="443">
        <f t="shared" si="9"/>
        <v>0</v>
      </c>
      <c r="E88" s="444">
        <f t="shared" si="12"/>
        <v>0</v>
      </c>
      <c r="F88" s="424"/>
      <c r="G88" s="441">
        <f t="shared" si="11"/>
        <v>2.8999999999999998E-3</v>
      </c>
      <c r="H88" s="444">
        <f t="shared" si="10"/>
        <v>0</v>
      </c>
      <c r="I88" s="425"/>
      <c r="J88" s="426"/>
      <c r="K88" s="427"/>
      <c r="L88" s="427"/>
      <c r="M88" s="427"/>
      <c r="N88" s="427"/>
    </row>
    <row r="89" spans="1:14" ht="15" hidden="1" x14ac:dyDescent="0.2">
      <c r="A89" s="442">
        <f t="shared" si="7"/>
        <v>41476</v>
      </c>
      <c r="B89" s="437"/>
      <c r="C89" s="443">
        <f t="shared" si="8"/>
        <v>0</v>
      </c>
      <c r="D89" s="443">
        <f t="shared" si="9"/>
        <v>0</v>
      </c>
      <c r="E89" s="444">
        <f t="shared" si="12"/>
        <v>0</v>
      </c>
      <c r="F89" s="424"/>
      <c r="G89" s="441">
        <f t="shared" si="11"/>
        <v>2.8999999999999998E-3</v>
      </c>
      <c r="H89" s="444">
        <f t="shared" si="10"/>
        <v>0</v>
      </c>
      <c r="I89" s="425"/>
      <c r="J89" s="426"/>
      <c r="K89" s="427"/>
      <c r="L89" s="427"/>
      <c r="M89" s="427"/>
      <c r="N89" s="427"/>
    </row>
    <row r="90" spans="1:14" ht="15" hidden="1" x14ac:dyDescent="0.2">
      <c r="A90" s="442">
        <f t="shared" si="7"/>
        <v>41477</v>
      </c>
      <c r="B90" s="437"/>
      <c r="C90" s="443">
        <f t="shared" si="8"/>
        <v>0</v>
      </c>
      <c r="D90" s="443">
        <f t="shared" si="9"/>
        <v>0</v>
      </c>
      <c r="E90" s="444">
        <f t="shared" si="12"/>
        <v>0</v>
      </c>
      <c r="F90" s="424"/>
      <c r="G90" s="441">
        <f t="shared" si="11"/>
        <v>2.8999999999999998E-3</v>
      </c>
      <c r="H90" s="444">
        <f t="shared" si="10"/>
        <v>0</v>
      </c>
      <c r="I90" s="425"/>
      <c r="J90" s="426"/>
      <c r="K90" s="427"/>
      <c r="L90" s="427"/>
      <c r="M90" s="427"/>
      <c r="N90" s="427"/>
    </row>
    <row r="91" spans="1:14" ht="15" hidden="1" x14ac:dyDescent="0.2">
      <c r="A91" s="442">
        <f t="shared" si="7"/>
        <v>41478</v>
      </c>
      <c r="B91" s="437"/>
      <c r="C91" s="443">
        <f t="shared" si="8"/>
        <v>0</v>
      </c>
      <c r="D91" s="443">
        <f t="shared" si="9"/>
        <v>0</v>
      </c>
      <c r="E91" s="444">
        <f t="shared" si="12"/>
        <v>0</v>
      </c>
      <c r="F91" s="424"/>
      <c r="G91" s="441">
        <f t="shared" si="11"/>
        <v>2.8999999999999998E-3</v>
      </c>
      <c r="H91" s="444">
        <f t="shared" si="10"/>
        <v>0</v>
      </c>
      <c r="I91" s="425"/>
      <c r="J91" s="426"/>
      <c r="K91" s="427"/>
      <c r="L91" s="427"/>
      <c r="M91" s="427"/>
      <c r="N91" s="427"/>
    </row>
    <row r="92" spans="1:14" ht="15" hidden="1" x14ac:dyDescent="0.2">
      <c r="A92" s="442">
        <f t="shared" si="7"/>
        <v>41479</v>
      </c>
      <c r="B92" s="437"/>
      <c r="C92" s="443">
        <f t="shared" si="8"/>
        <v>0</v>
      </c>
      <c r="D92" s="443">
        <f t="shared" si="9"/>
        <v>0</v>
      </c>
      <c r="E92" s="444">
        <f t="shared" si="12"/>
        <v>0</v>
      </c>
      <c r="F92" s="424"/>
      <c r="G92" s="441">
        <f t="shared" si="11"/>
        <v>2.8999999999999998E-3</v>
      </c>
      <c r="H92" s="444">
        <f t="shared" si="10"/>
        <v>0</v>
      </c>
      <c r="I92" s="425"/>
      <c r="J92" s="426"/>
      <c r="K92" s="427"/>
      <c r="L92" s="427"/>
      <c r="M92" s="427"/>
      <c r="N92" s="427"/>
    </row>
    <row r="93" spans="1:14" ht="15" hidden="1" x14ac:dyDescent="0.2">
      <c r="A93" s="442">
        <f t="shared" si="7"/>
        <v>41480</v>
      </c>
      <c r="B93" s="437"/>
      <c r="C93" s="443">
        <f t="shared" si="8"/>
        <v>0</v>
      </c>
      <c r="D93" s="443">
        <f t="shared" si="9"/>
        <v>0</v>
      </c>
      <c r="E93" s="444">
        <f t="shared" si="12"/>
        <v>0</v>
      </c>
      <c r="F93" s="424"/>
      <c r="G93" s="441">
        <f t="shared" si="11"/>
        <v>2.8999999999999998E-3</v>
      </c>
      <c r="H93" s="444">
        <f t="shared" si="10"/>
        <v>0</v>
      </c>
      <c r="I93" s="425"/>
      <c r="J93" s="426"/>
      <c r="K93" s="427"/>
      <c r="L93" s="427"/>
      <c r="M93" s="427"/>
      <c r="N93" s="427"/>
    </row>
    <row r="94" spans="1:14" ht="15" hidden="1" x14ac:dyDescent="0.2">
      <c r="A94" s="442">
        <f t="shared" si="7"/>
        <v>41481</v>
      </c>
      <c r="B94" s="437"/>
      <c r="C94" s="443">
        <f t="shared" si="8"/>
        <v>0</v>
      </c>
      <c r="D94" s="443">
        <f t="shared" si="9"/>
        <v>0</v>
      </c>
      <c r="E94" s="444">
        <f t="shared" si="12"/>
        <v>0</v>
      </c>
      <c r="F94" s="424"/>
      <c r="G94" s="441">
        <f t="shared" si="11"/>
        <v>2.8999999999999998E-3</v>
      </c>
      <c r="H94" s="444">
        <f t="shared" si="10"/>
        <v>0</v>
      </c>
      <c r="I94" s="425"/>
      <c r="J94" s="426"/>
      <c r="K94" s="427"/>
      <c r="L94" s="427"/>
      <c r="M94" s="427"/>
      <c r="N94" s="427"/>
    </row>
    <row r="95" spans="1:14" ht="15" hidden="1" x14ac:dyDescent="0.2">
      <c r="A95" s="442">
        <f t="shared" si="7"/>
        <v>41482</v>
      </c>
      <c r="B95" s="437"/>
      <c r="C95" s="443">
        <f t="shared" si="8"/>
        <v>0</v>
      </c>
      <c r="D95" s="443">
        <f t="shared" si="9"/>
        <v>0</v>
      </c>
      <c r="E95" s="444">
        <f t="shared" si="12"/>
        <v>0</v>
      </c>
      <c r="F95" s="424"/>
      <c r="G95" s="441">
        <f t="shared" si="11"/>
        <v>2.8999999999999998E-3</v>
      </c>
      <c r="H95" s="444">
        <f t="shared" si="10"/>
        <v>0</v>
      </c>
      <c r="I95" s="425"/>
      <c r="J95" s="426"/>
      <c r="K95" s="427"/>
      <c r="L95" s="427"/>
      <c r="M95" s="427"/>
      <c r="N95" s="427"/>
    </row>
    <row r="96" spans="1:14" ht="15" hidden="1" x14ac:dyDescent="0.2">
      <c r="A96" s="442">
        <f t="shared" si="7"/>
        <v>41483</v>
      </c>
      <c r="B96" s="437"/>
      <c r="C96" s="443">
        <f t="shared" si="8"/>
        <v>0</v>
      </c>
      <c r="D96" s="443">
        <f t="shared" si="9"/>
        <v>0</v>
      </c>
      <c r="E96" s="444">
        <f t="shared" si="12"/>
        <v>0</v>
      </c>
      <c r="F96" s="424"/>
      <c r="G96" s="441">
        <f t="shared" si="11"/>
        <v>2.8999999999999998E-3</v>
      </c>
      <c r="H96" s="444">
        <f t="shared" si="10"/>
        <v>0</v>
      </c>
      <c r="I96" s="425"/>
      <c r="J96" s="426"/>
      <c r="K96" s="427"/>
      <c r="L96" s="427"/>
      <c r="M96" s="427"/>
      <c r="N96" s="427"/>
    </row>
    <row r="97" spans="1:14" ht="15" hidden="1" x14ac:dyDescent="0.2">
      <c r="A97" s="442">
        <f t="shared" si="7"/>
        <v>41484</v>
      </c>
      <c r="B97" s="437"/>
      <c r="C97" s="443">
        <f t="shared" si="8"/>
        <v>0</v>
      </c>
      <c r="D97" s="443">
        <f t="shared" si="9"/>
        <v>0</v>
      </c>
      <c r="E97" s="444">
        <f t="shared" si="12"/>
        <v>0</v>
      </c>
      <c r="F97" s="424"/>
      <c r="G97" s="441">
        <f t="shared" si="11"/>
        <v>2.8999999999999998E-3</v>
      </c>
      <c r="H97" s="444">
        <f t="shared" si="10"/>
        <v>0</v>
      </c>
      <c r="I97" s="425"/>
      <c r="J97" s="426"/>
      <c r="K97" s="427"/>
      <c r="L97" s="427"/>
      <c r="M97" s="427"/>
      <c r="N97" s="427"/>
    </row>
    <row r="98" spans="1:14" ht="15" hidden="1" x14ac:dyDescent="0.2">
      <c r="A98" s="442">
        <f t="shared" si="7"/>
        <v>41485</v>
      </c>
      <c r="B98" s="437"/>
      <c r="C98" s="443">
        <f t="shared" si="8"/>
        <v>0</v>
      </c>
      <c r="D98" s="443">
        <f t="shared" si="9"/>
        <v>0</v>
      </c>
      <c r="E98" s="444">
        <f t="shared" si="12"/>
        <v>0</v>
      </c>
      <c r="F98" s="424"/>
      <c r="G98" s="441">
        <f t="shared" si="11"/>
        <v>2.8999999999999998E-3</v>
      </c>
      <c r="H98" s="444">
        <f t="shared" si="10"/>
        <v>0</v>
      </c>
      <c r="I98" s="425"/>
      <c r="J98" s="426"/>
      <c r="K98" s="427"/>
      <c r="L98" s="427"/>
      <c r="M98" s="427"/>
      <c r="N98" s="427"/>
    </row>
    <row r="99" spans="1:14" ht="15" hidden="1" x14ac:dyDescent="0.2">
      <c r="A99" s="442">
        <f t="shared" si="7"/>
        <v>41486</v>
      </c>
      <c r="B99" s="437"/>
      <c r="C99" s="443">
        <f t="shared" si="8"/>
        <v>0</v>
      </c>
      <c r="D99" s="443">
        <f t="shared" si="9"/>
        <v>0</v>
      </c>
      <c r="E99" s="444">
        <f t="shared" si="12"/>
        <v>0</v>
      </c>
      <c r="F99" s="424"/>
      <c r="G99" s="441">
        <f t="shared" si="11"/>
        <v>2.8999999999999998E-3</v>
      </c>
      <c r="H99" s="444">
        <f t="shared" si="10"/>
        <v>0</v>
      </c>
      <c r="I99" s="425">
        <f>SUM(H69:H99)</f>
        <v>0</v>
      </c>
      <c r="J99" s="426">
        <v>0</v>
      </c>
      <c r="K99" s="445">
        <f>AVERAGE(G69:G99)</f>
        <v>2.8999999999999998E-3</v>
      </c>
      <c r="L99" s="445">
        <f>AVERAGE(G8:G99)</f>
        <v>3.0021739130434814E-3</v>
      </c>
      <c r="M99" s="426">
        <f>AVERAGE(E69:E99)</f>
        <v>0</v>
      </c>
      <c r="N99" s="426">
        <f>AVERAGE(E8:E99)</f>
        <v>0</v>
      </c>
    </row>
    <row r="100" spans="1:14" ht="15" hidden="1" x14ac:dyDescent="0.2">
      <c r="A100" s="442">
        <f t="shared" si="7"/>
        <v>41487</v>
      </c>
      <c r="B100" s="437"/>
      <c r="C100" s="443">
        <f t="shared" si="8"/>
        <v>0</v>
      </c>
      <c r="D100" s="443">
        <f t="shared" si="9"/>
        <v>0</v>
      </c>
      <c r="E100" s="444">
        <f t="shared" si="12"/>
        <v>0</v>
      </c>
      <c r="F100" s="424"/>
      <c r="G100" s="446">
        <v>3.5999999999999999E-3</v>
      </c>
      <c r="H100" s="444">
        <f t="shared" si="10"/>
        <v>0</v>
      </c>
      <c r="I100" s="425"/>
      <c r="J100" s="426"/>
      <c r="K100" s="427"/>
      <c r="L100" s="427"/>
      <c r="M100" s="427"/>
      <c r="N100" s="427"/>
    </row>
    <row r="101" spans="1:14" ht="15" hidden="1" x14ac:dyDescent="0.2">
      <c r="A101" s="442">
        <f t="shared" si="7"/>
        <v>41488</v>
      </c>
      <c r="B101" s="437"/>
      <c r="C101" s="443">
        <f t="shared" si="8"/>
        <v>0</v>
      </c>
      <c r="D101" s="443">
        <f t="shared" si="9"/>
        <v>0</v>
      </c>
      <c r="E101" s="444">
        <f t="shared" si="12"/>
        <v>0</v>
      </c>
      <c r="F101" s="424"/>
      <c r="G101" s="446">
        <f>G100</f>
        <v>3.5999999999999999E-3</v>
      </c>
      <c r="H101" s="444">
        <f t="shared" si="10"/>
        <v>0</v>
      </c>
      <c r="I101" s="425"/>
      <c r="J101" s="426"/>
      <c r="K101" s="427"/>
      <c r="L101" s="427"/>
      <c r="M101" s="427"/>
      <c r="N101" s="427"/>
    </row>
    <row r="102" spans="1:14" ht="15" hidden="1" x14ac:dyDescent="0.2">
      <c r="A102" s="442">
        <f t="shared" si="7"/>
        <v>41489</v>
      </c>
      <c r="B102" s="437"/>
      <c r="C102" s="443">
        <f t="shared" si="8"/>
        <v>0</v>
      </c>
      <c r="D102" s="443">
        <f t="shared" si="9"/>
        <v>0</v>
      </c>
      <c r="E102" s="444">
        <f t="shared" si="12"/>
        <v>0</v>
      </c>
      <c r="F102" s="424"/>
      <c r="G102" s="446">
        <f t="shared" ref="G102:G130" si="13">G101</f>
        <v>3.5999999999999999E-3</v>
      </c>
      <c r="H102" s="444">
        <f t="shared" si="10"/>
        <v>0</v>
      </c>
      <c r="I102" s="425"/>
      <c r="J102" s="426"/>
      <c r="K102" s="427"/>
      <c r="L102" s="427"/>
      <c r="M102" s="427"/>
      <c r="N102" s="427"/>
    </row>
    <row r="103" spans="1:14" ht="15" hidden="1" x14ac:dyDescent="0.2">
      <c r="A103" s="442">
        <f t="shared" si="7"/>
        <v>41490</v>
      </c>
      <c r="B103" s="437"/>
      <c r="C103" s="443">
        <f t="shared" si="8"/>
        <v>0</v>
      </c>
      <c r="D103" s="443">
        <f t="shared" si="9"/>
        <v>0</v>
      </c>
      <c r="E103" s="444">
        <f t="shared" si="12"/>
        <v>0</v>
      </c>
      <c r="F103" s="424"/>
      <c r="G103" s="446">
        <f t="shared" si="13"/>
        <v>3.5999999999999999E-3</v>
      </c>
      <c r="H103" s="444">
        <f t="shared" si="10"/>
        <v>0</v>
      </c>
      <c r="I103" s="425"/>
      <c r="J103" s="426"/>
      <c r="K103" s="427"/>
      <c r="L103" s="427"/>
      <c r="M103" s="427"/>
      <c r="N103" s="427"/>
    </row>
    <row r="104" spans="1:14" ht="15" hidden="1" x14ac:dyDescent="0.2">
      <c r="A104" s="442">
        <f t="shared" si="7"/>
        <v>41491</v>
      </c>
      <c r="B104" s="437"/>
      <c r="C104" s="443">
        <f t="shared" si="8"/>
        <v>0</v>
      </c>
      <c r="D104" s="443">
        <f t="shared" si="9"/>
        <v>0</v>
      </c>
      <c r="E104" s="444">
        <f t="shared" si="12"/>
        <v>0</v>
      </c>
      <c r="F104" s="424"/>
      <c r="G104" s="446">
        <f t="shared" si="13"/>
        <v>3.5999999999999999E-3</v>
      </c>
      <c r="H104" s="444">
        <f t="shared" si="10"/>
        <v>0</v>
      </c>
      <c r="I104" s="425"/>
      <c r="J104" s="426"/>
      <c r="K104" s="427"/>
      <c r="L104" s="427"/>
      <c r="M104" s="427"/>
      <c r="N104" s="427"/>
    </row>
    <row r="105" spans="1:14" ht="15" hidden="1" x14ac:dyDescent="0.2">
      <c r="A105" s="442">
        <f t="shared" si="7"/>
        <v>41492</v>
      </c>
      <c r="B105" s="437"/>
      <c r="C105" s="443">
        <f t="shared" si="8"/>
        <v>0</v>
      </c>
      <c r="D105" s="443">
        <f t="shared" si="9"/>
        <v>0</v>
      </c>
      <c r="E105" s="444">
        <f t="shared" si="12"/>
        <v>0</v>
      </c>
      <c r="F105" s="424"/>
      <c r="G105" s="446">
        <f t="shared" si="13"/>
        <v>3.5999999999999999E-3</v>
      </c>
      <c r="H105" s="444">
        <f t="shared" si="10"/>
        <v>0</v>
      </c>
      <c r="I105" s="425"/>
      <c r="J105" s="426"/>
      <c r="K105" s="427"/>
      <c r="L105" s="427"/>
      <c r="M105" s="427"/>
      <c r="N105" s="427"/>
    </row>
    <row r="106" spans="1:14" ht="15" hidden="1" x14ac:dyDescent="0.2">
      <c r="A106" s="442">
        <f t="shared" si="7"/>
        <v>41493</v>
      </c>
      <c r="B106" s="437"/>
      <c r="C106" s="443">
        <f t="shared" si="8"/>
        <v>0</v>
      </c>
      <c r="D106" s="443">
        <f t="shared" si="9"/>
        <v>0</v>
      </c>
      <c r="E106" s="444">
        <f t="shared" si="12"/>
        <v>0</v>
      </c>
      <c r="F106" s="424"/>
      <c r="G106" s="446">
        <f t="shared" si="13"/>
        <v>3.5999999999999999E-3</v>
      </c>
      <c r="H106" s="444">
        <f t="shared" si="10"/>
        <v>0</v>
      </c>
      <c r="I106" s="425"/>
      <c r="J106" s="426"/>
      <c r="K106" s="427"/>
      <c r="L106" s="427"/>
      <c r="M106" s="427"/>
      <c r="N106" s="427"/>
    </row>
    <row r="107" spans="1:14" ht="15" hidden="1" x14ac:dyDescent="0.2">
      <c r="A107" s="442">
        <f t="shared" si="7"/>
        <v>41494</v>
      </c>
      <c r="B107" s="437"/>
      <c r="C107" s="443">
        <f t="shared" si="8"/>
        <v>0</v>
      </c>
      <c r="D107" s="443">
        <f t="shared" si="9"/>
        <v>0</v>
      </c>
      <c r="E107" s="444">
        <f t="shared" si="12"/>
        <v>0</v>
      </c>
      <c r="F107" s="424"/>
      <c r="G107" s="446">
        <f t="shared" si="13"/>
        <v>3.5999999999999999E-3</v>
      </c>
      <c r="H107" s="444">
        <f t="shared" si="10"/>
        <v>0</v>
      </c>
      <c r="I107" s="425"/>
      <c r="J107" s="426"/>
      <c r="K107" s="427"/>
      <c r="L107" s="427"/>
      <c r="M107" s="427"/>
      <c r="N107" s="427"/>
    </row>
    <row r="108" spans="1:14" ht="15" hidden="1" x14ac:dyDescent="0.2">
      <c r="A108" s="442">
        <f t="shared" si="7"/>
        <v>41495</v>
      </c>
      <c r="B108" s="437"/>
      <c r="C108" s="443">
        <f t="shared" si="8"/>
        <v>0</v>
      </c>
      <c r="D108" s="443">
        <f t="shared" si="9"/>
        <v>0</v>
      </c>
      <c r="E108" s="444">
        <f t="shared" si="12"/>
        <v>0</v>
      </c>
      <c r="F108" s="424"/>
      <c r="G108" s="446">
        <f t="shared" si="13"/>
        <v>3.5999999999999999E-3</v>
      </c>
      <c r="H108" s="444">
        <f t="shared" si="10"/>
        <v>0</v>
      </c>
      <c r="I108" s="425"/>
      <c r="J108" s="426"/>
      <c r="K108" s="427"/>
      <c r="L108" s="427"/>
      <c r="M108" s="427"/>
      <c r="N108" s="427"/>
    </row>
    <row r="109" spans="1:14" ht="15" hidden="1" x14ac:dyDescent="0.2">
      <c r="A109" s="442">
        <f t="shared" si="7"/>
        <v>41496</v>
      </c>
      <c r="B109" s="437"/>
      <c r="C109" s="443">
        <f t="shared" si="8"/>
        <v>0</v>
      </c>
      <c r="D109" s="443">
        <f t="shared" si="9"/>
        <v>0</v>
      </c>
      <c r="E109" s="444">
        <f t="shared" si="12"/>
        <v>0</v>
      </c>
      <c r="F109" s="424"/>
      <c r="G109" s="446">
        <f t="shared" si="13"/>
        <v>3.5999999999999999E-3</v>
      </c>
      <c r="H109" s="444">
        <f t="shared" si="10"/>
        <v>0</v>
      </c>
      <c r="I109" s="425"/>
      <c r="J109" s="426"/>
      <c r="K109" s="427"/>
      <c r="L109" s="427"/>
      <c r="M109" s="427"/>
      <c r="N109" s="427"/>
    </row>
    <row r="110" spans="1:14" ht="15" hidden="1" x14ac:dyDescent="0.2">
      <c r="A110" s="442">
        <f t="shared" si="7"/>
        <v>41497</v>
      </c>
      <c r="B110" s="437"/>
      <c r="C110" s="443">
        <f t="shared" si="8"/>
        <v>0</v>
      </c>
      <c r="D110" s="443">
        <f t="shared" si="9"/>
        <v>0</v>
      </c>
      <c r="E110" s="444">
        <f t="shared" si="12"/>
        <v>0</v>
      </c>
      <c r="F110" s="424"/>
      <c r="G110" s="446">
        <f t="shared" si="13"/>
        <v>3.5999999999999999E-3</v>
      </c>
      <c r="H110" s="444">
        <f t="shared" si="10"/>
        <v>0</v>
      </c>
      <c r="I110" s="425"/>
      <c r="J110" s="426"/>
      <c r="K110" s="427"/>
      <c r="L110" s="427"/>
      <c r="M110" s="427"/>
      <c r="N110" s="427"/>
    </row>
    <row r="111" spans="1:14" ht="15" hidden="1" x14ac:dyDescent="0.2">
      <c r="A111" s="442">
        <f t="shared" si="7"/>
        <v>41498</v>
      </c>
      <c r="B111" s="437"/>
      <c r="C111" s="443">
        <f t="shared" si="8"/>
        <v>0</v>
      </c>
      <c r="D111" s="443">
        <f t="shared" si="9"/>
        <v>0</v>
      </c>
      <c r="E111" s="444">
        <f t="shared" si="12"/>
        <v>0</v>
      </c>
      <c r="F111" s="424"/>
      <c r="G111" s="446">
        <f t="shared" si="13"/>
        <v>3.5999999999999999E-3</v>
      </c>
      <c r="H111" s="444">
        <f t="shared" si="10"/>
        <v>0</v>
      </c>
      <c r="I111" s="425"/>
      <c r="J111" s="426"/>
      <c r="K111" s="427"/>
      <c r="L111" s="427"/>
      <c r="M111" s="427"/>
      <c r="N111" s="427"/>
    </row>
    <row r="112" spans="1:14" ht="15" hidden="1" x14ac:dyDescent="0.2">
      <c r="A112" s="442">
        <f t="shared" si="7"/>
        <v>41499</v>
      </c>
      <c r="B112" s="437"/>
      <c r="C112" s="443">
        <f t="shared" si="8"/>
        <v>0</v>
      </c>
      <c r="D112" s="443">
        <f t="shared" si="9"/>
        <v>0</v>
      </c>
      <c r="E112" s="444">
        <f t="shared" si="12"/>
        <v>0</v>
      </c>
      <c r="F112" s="424"/>
      <c r="G112" s="446">
        <f t="shared" si="13"/>
        <v>3.5999999999999999E-3</v>
      </c>
      <c r="H112" s="444">
        <f t="shared" si="10"/>
        <v>0</v>
      </c>
      <c r="I112" s="425"/>
      <c r="J112" s="426"/>
      <c r="K112" s="427"/>
      <c r="L112" s="427"/>
      <c r="M112" s="427"/>
      <c r="N112" s="427"/>
    </row>
    <row r="113" spans="1:14" ht="15" hidden="1" x14ac:dyDescent="0.2">
      <c r="A113" s="442">
        <f t="shared" si="7"/>
        <v>41500</v>
      </c>
      <c r="B113" s="437"/>
      <c r="C113" s="443">
        <f t="shared" si="8"/>
        <v>0</v>
      </c>
      <c r="D113" s="443">
        <f t="shared" si="9"/>
        <v>0</v>
      </c>
      <c r="E113" s="444">
        <f t="shared" si="12"/>
        <v>0</v>
      </c>
      <c r="F113" s="424"/>
      <c r="G113" s="446">
        <f t="shared" si="13"/>
        <v>3.5999999999999999E-3</v>
      </c>
      <c r="H113" s="444">
        <f t="shared" si="10"/>
        <v>0</v>
      </c>
      <c r="I113" s="425"/>
      <c r="J113" s="426"/>
      <c r="K113" s="427"/>
      <c r="L113" s="427"/>
      <c r="M113" s="427"/>
      <c r="N113" s="427"/>
    </row>
    <row r="114" spans="1:14" ht="15" hidden="1" x14ac:dyDescent="0.2">
      <c r="A114" s="442">
        <f t="shared" si="7"/>
        <v>41501</v>
      </c>
      <c r="B114" s="437"/>
      <c r="C114" s="443">
        <f t="shared" si="8"/>
        <v>0</v>
      </c>
      <c r="D114" s="443">
        <f t="shared" si="9"/>
        <v>0</v>
      </c>
      <c r="E114" s="444">
        <f t="shared" si="12"/>
        <v>0</v>
      </c>
      <c r="F114" s="424"/>
      <c r="G114" s="446">
        <f t="shared" si="13"/>
        <v>3.5999999999999999E-3</v>
      </c>
      <c r="H114" s="444">
        <f t="shared" si="10"/>
        <v>0</v>
      </c>
      <c r="I114" s="425"/>
      <c r="J114" s="426"/>
      <c r="K114" s="427"/>
      <c r="L114" s="427"/>
      <c r="M114" s="427"/>
      <c r="N114" s="427"/>
    </row>
    <row r="115" spans="1:14" ht="15" hidden="1" x14ac:dyDescent="0.2">
      <c r="A115" s="442">
        <f t="shared" si="7"/>
        <v>41502</v>
      </c>
      <c r="B115" s="437"/>
      <c r="C115" s="443">
        <f t="shared" si="8"/>
        <v>0</v>
      </c>
      <c r="D115" s="443">
        <f t="shared" si="9"/>
        <v>0</v>
      </c>
      <c r="E115" s="444">
        <f t="shared" si="12"/>
        <v>0</v>
      </c>
      <c r="F115" s="424"/>
      <c r="G115" s="446">
        <f t="shared" si="13"/>
        <v>3.5999999999999999E-3</v>
      </c>
      <c r="H115" s="444">
        <f t="shared" si="10"/>
        <v>0</v>
      </c>
      <c r="I115" s="425"/>
      <c r="J115" s="426"/>
      <c r="K115" s="427"/>
      <c r="L115" s="427"/>
      <c r="M115" s="427"/>
      <c r="N115" s="427"/>
    </row>
    <row r="116" spans="1:14" ht="15" hidden="1" x14ac:dyDescent="0.2">
      <c r="A116" s="442">
        <f t="shared" si="7"/>
        <v>41503</v>
      </c>
      <c r="B116" s="437"/>
      <c r="C116" s="443">
        <f t="shared" si="8"/>
        <v>0</v>
      </c>
      <c r="D116" s="443">
        <f t="shared" si="9"/>
        <v>0</v>
      </c>
      <c r="E116" s="444">
        <f t="shared" si="12"/>
        <v>0</v>
      </c>
      <c r="F116" s="424"/>
      <c r="G116" s="446">
        <f t="shared" si="13"/>
        <v>3.5999999999999999E-3</v>
      </c>
      <c r="H116" s="444">
        <f t="shared" si="10"/>
        <v>0</v>
      </c>
      <c r="I116" s="425"/>
      <c r="J116" s="426"/>
      <c r="K116" s="427"/>
      <c r="L116" s="427"/>
      <c r="M116" s="427"/>
      <c r="N116" s="427"/>
    </row>
    <row r="117" spans="1:14" ht="15" hidden="1" x14ac:dyDescent="0.2">
      <c r="A117" s="442">
        <f t="shared" si="7"/>
        <v>41504</v>
      </c>
      <c r="B117" s="437"/>
      <c r="C117" s="443">
        <f t="shared" si="8"/>
        <v>0</v>
      </c>
      <c r="D117" s="443">
        <f t="shared" si="9"/>
        <v>0</v>
      </c>
      <c r="E117" s="444">
        <f t="shared" si="12"/>
        <v>0</v>
      </c>
      <c r="F117" s="424"/>
      <c r="G117" s="446">
        <f t="shared" si="13"/>
        <v>3.5999999999999999E-3</v>
      </c>
      <c r="H117" s="444">
        <f t="shared" si="10"/>
        <v>0</v>
      </c>
      <c r="I117" s="425"/>
      <c r="J117" s="426"/>
      <c r="K117" s="427"/>
      <c r="L117" s="427"/>
      <c r="M117" s="427"/>
      <c r="N117" s="427"/>
    </row>
    <row r="118" spans="1:14" ht="15" hidden="1" x14ac:dyDescent="0.2">
      <c r="A118" s="442">
        <f t="shared" si="7"/>
        <v>41505</v>
      </c>
      <c r="B118" s="437"/>
      <c r="C118" s="443">
        <f t="shared" si="8"/>
        <v>0</v>
      </c>
      <c r="D118" s="443">
        <f t="shared" si="9"/>
        <v>0</v>
      </c>
      <c r="E118" s="444">
        <f t="shared" si="12"/>
        <v>0</v>
      </c>
      <c r="F118" s="424"/>
      <c r="G118" s="446">
        <f t="shared" si="13"/>
        <v>3.5999999999999999E-3</v>
      </c>
      <c r="H118" s="444">
        <f t="shared" si="10"/>
        <v>0</v>
      </c>
      <c r="I118" s="425"/>
      <c r="J118" s="426"/>
      <c r="K118" s="427"/>
      <c r="L118" s="427"/>
      <c r="M118" s="427"/>
      <c r="N118" s="427"/>
    </row>
    <row r="119" spans="1:14" ht="15" hidden="1" x14ac:dyDescent="0.2">
      <c r="A119" s="442">
        <f t="shared" si="7"/>
        <v>41506</v>
      </c>
      <c r="B119" s="437"/>
      <c r="C119" s="443">
        <f t="shared" si="8"/>
        <v>0</v>
      </c>
      <c r="D119" s="443">
        <f t="shared" si="9"/>
        <v>0</v>
      </c>
      <c r="E119" s="444">
        <f t="shared" si="12"/>
        <v>0</v>
      </c>
      <c r="F119" s="424"/>
      <c r="G119" s="446">
        <f t="shared" si="13"/>
        <v>3.5999999999999999E-3</v>
      </c>
      <c r="H119" s="444">
        <f t="shared" si="10"/>
        <v>0</v>
      </c>
      <c r="I119" s="425"/>
      <c r="J119" s="426"/>
      <c r="K119" s="427"/>
      <c r="L119" s="427"/>
      <c r="M119" s="427"/>
      <c r="N119" s="427"/>
    </row>
    <row r="120" spans="1:14" ht="15" hidden="1" x14ac:dyDescent="0.2">
      <c r="A120" s="442">
        <f t="shared" si="7"/>
        <v>41507</v>
      </c>
      <c r="B120" s="437"/>
      <c r="C120" s="443">
        <f t="shared" si="8"/>
        <v>0</v>
      </c>
      <c r="D120" s="443">
        <f t="shared" si="9"/>
        <v>0</v>
      </c>
      <c r="E120" s="444">
        <f t="shared" si="12"/>
        <v>0</v>
      </c>
      <c r="F120" s="424"/>
      <c r="G120" s="446">
        <f t="shared" si="13"/>
        <v>3.5999999999999999E-3</v>
      </c>
      <c r="H120" s="444">
        <f t="shared" si="10"/>
        <v>0</v>
      </c>
      <c r="I120" s="425"/>
      <c r="J120" s="426"/>
      <c r="K120" s="427"/>
      <c r="L120" s="427"/>
      <c r="M120" s="427"/>
      <c r="N120" s="427"/>
    </row>
    <row r="121" spans="1:14" ht="15" hidden="1" x14ac:dyDescent="0.2">
      <c r="A121" s="442">
        <f t="shared" si="7"/>
        <v>41508</v>
      </c>
      <c r="B121" s="437"/>
      <c r="C121" s="443">
        <f t="shared" si="8"/>
        <v>0</v>
      </c>
      <c r="D121" s="443">
        <f t="shared" si="9"/>
        <v>0</v>
      </c>
      <c r="E121" s="444">
        <f t="shared" si="12"/>
        <v>0</v>
      </c>
      <c r="F121" s="424"/>
      <c r="G121" s="446">
        <f t="shared" si="13"/>
        <v>3.5999999999999999E-3</v>
      </c>
      <c r="H121" s="444">
        <f t="shared" si="10"/>
        <v>0</v>
      </c>
      <c r="I121" s="425"/>
      <c r="J121" s="426"/>
      <c r="K121" s="427"/>
      <c r="L121" s="427"/>
      <c r="M121" s="427"/>
      <c r="N121" s="427"/>
    </row>
    <row r="122" spans="1:14" ht="15" hidden="1" x14ac:dyDescent="0.2">
      <c r="A122" s="442">
        <f t="shared" si="7"/>
        <v>41509</v>
      </c>
      <c r="B122" s="437"/>
      <c r="C122" s="443">
        <f t="shared" si="8"/>
        <v>0</v>
      </c>
      <c r="D122" s="443">
        <f t="shared" si="9"/>
        <v>0</v>
      </c>
      <c r="E122" s="444">
        <f t="shared" si="12"/>
        <v>0</v>
      </c>
      <c r="F122" s="424"/>
      <c r="G122" s="446">
        <f t="shared" si="13"/>
        <v>3.5999999999999999E-3</v>
      </c>
      <c r="H122" s="444">
        <f t="shared" si="10"/>
        <v>0</v>
      </c>
      <c r="I122" s="425"/>
      <c r="J122" s="426"/>
      <c r="K122" s="427"/>
      <c r="L122" s="427"/>
      <c r="M122" s="427"/>
      <c r="N122" s="427"/>
    </row>
    <row r="123" spans="1:14" ht="15" hidden="1" x14ac:dyDescent="0.2">
      <c r="A123" s="442">
        <f t="shared" si="7"/>
        <v>41510</v>
      </c>
      <c r="B123" s="437"/>
      <c r="C123" s="443">
        <f t="shared" si="8"/>
        <v>0</v>
      </c>
      <c r="D123" s="443">
        <f t="shared" si="9"/>
        <v>0</v>
      </c>
      <c r="E123" s="444">
        <f t="shared" si="12"/>
        <v>0</v>
      </c>
      <c r="F123" s="424"/>
      <c r="G123" s="446">
        <f t="shared" si="13"/>
        <v>3.5999999999999999E-3</v>
      </c>
      <c r="H123" s="444">
        <f t="shared" si="10"/>
        <v>0</v>
      </c>
      <c r="I123" s="425"/>
      <c r="J123" s="426"/>
      <c r="K123" s="427"/>
      <c r="L123" s="427"/>
      <c r="M123" s="427"/>
      <c r="N123" s="427"/>
    </row>
    <row r="124" spans="1:14" ht="15" hidden="1" x14ac:dyDescent="0.2">
      <c r="A124" s="442">
        <f t="shared" si="7"/>
        <v>41511</v>
      </c>
      <c r="B124" s="437"/>
      <c r="C124" s="443">
        <f t="shared" si="8"/>
        <v>0</v>
      </c>
      <c r="D124" s="443">
        <f t="shared" si="9"/>
        <v>0</v>
      </c>
      <c r="E124" s="444">
        <f t="shared" si="12"/>
        <v>0</v>
      </c>
      <c r="F124" s="424"/>
      <c r="G124" s="446">
        <f t="shared" si="13"/>
        <v>3.5999999999999999E-3</v>
      </c>
      <c r="H124" s="444">
        <f t="shared" si="10"/>
        <v>0</v>
      </c>
      <c r="I124" s="425"/>
      <c r="J124" s="426"/>
      <c r="K124" s="427"/>
      <c r="L124" s="427"/>
      <c r="M124" s="427"/>
      <c r="N124" s="427"/>
    </row>
    <row r="125" spans="1:14" ht="15" hidden="1" x14ac:dyDescent="0.2">
      <c r="A125" s="442">
        <f t="shared" si="7"/>
        <v>41512</v>
      </c>
      <c r="B125" s="437"/>
      <c r="C125" s="443">
        <f t="shared" si="8"/>
        <v>0</v>
      </c>
      <c r="D125" s="443">
        <f t="shared" si="9"/>
        <v>0</v>
      </c>
      <c r="E125" s="444">
        <f t="shared" si="12"/>
        <v>0</v>
      </c>
      <c r="F125" s="424"/>
      <c r="G125" s="446">
        <f t="shared" si="13"/>
        <v>3.5999999999999999E-3</v>
      </c>
      <c r="H125" s="444">
        <f t="shared" si="10"/>
        <v>0</v>
      </c>
      <c r="I125" s="425"/>
      <c r="J125" s="426"/>
      <c r="K125" s="427"/>
      <c r="L125" s="427"/>
      <c r="M125" s="427"/>
      <c r="N125" s="427"/>
    </row>
    <row r="126" spans="1:14" ht="15" hidden="1" x14ac:dyDescent="0.2">
      <c r="A126" s="442">
        <f t="shared" si="7"/>
        <v>41513</v>
      </c>
      <c r="B126" s="437"/>
      <c r="C126" s="443">
        <f t="shared" si="8"/>
        <v>0</v>
      </c>
      <c r="D126" s="443">
        <f t="shared" si="9"/>
        <v>0</v>
      </c>
      <c r="E126" s="444">
        <f t="shared" si="12"/>
        <v>0</v>
      </c>
      <c r="F126" s="424"/>
      <c r="G126" s="446">
        <f t="shared" si="13"/>
        <v>3.5999999999999999E-3</v>
      </c>
      <c r="H126" s="444">
        <f t="shared" si="10"/>
        <v>0</v>
      </c>
      <c r="I126" s="425"/>
      <c r="J126" s="426"/>
      <c r="K126" s="427"/>
      <c r="L126" s="427"/>
      <c r="M126" s="427"/>
      <c r="N126" s="427"/>
    </row>
    <row r="127" spans="1:14" ht="15" hidden="1" x14ac:dyDescent="0.2">
      <c r="A127" s="442">
        <f t="shared" si="7"/>
        <v>41514</v>
      </c>
      <c r="B127" s="437"/>
      <c r="C127" s="443">
        <f t="shared" si="8"/>
        <v>0</v>
      </c>
      <c r="D127" s="443">
        <f t="shared" si="9"/>
        <v>0</v>
      </c>
      <c r="E127" s="444">
        <f t="shared" si="12"/>
        <v>0</v>
      </c>
      <c r="F127" s="424"/>
      <c r="G127" s="446">
        <f t="shared" si="13"/>
        <v>3.5999999999999999E-3</v>
      </c>
      <c r="H127" s="444">
        <f t="shared" si="10"/>
        <v>0</v>
      </c>
      <c r="I127" s="425"/>
      <c r="J127" s="426"/>
      <c r="K127" s="427"/>
      <c r="L127" s="427"/>
      <c r="M127" s="427"/>
      <c r="N127" s="427"/>
    </row>
    <row r="128" spans="1:14" ht="15" hidden="1" x14ac:dyDescent="0.2">
      <c r="A128" s="442">
        <f t="shared" si="7"/>
        <v>41515</v>
      </c>
      <c r="B128" s="437"/>
      <c r="C128" s="443">
        <f t="shared" si="8"/>
        <v>0</v>
      </c>
      <c r="D128" s="443">
        <f t="shared" si="9"/>
        <v>0</v>
      </c>
      <c r="E128" s="444">
        <f t="shared" si="12"/>
        <v>0</v>
      </c>
      <c r="F128" s="424"/>
      <c r="G128" s="446">
        <f t="shared" si="13"/>
        <v>3.5999999999999999E-3</v>
      </c>
      <c r="H128" s="444">
        <f t="shared" si="10"/>
        <v>0</v>
      </c>
      <c r="I128" s="425"/>
      <c r="J128" s="426"/>
      <c r="K128" s="427"/>
      <c r="L128" s="427"/>
      <c r="M128" s="427"/>
      <c r="N128" s="427"/>
    </row>
    <row r="129" spans="1:14" ht="15" hidden="1" x14ac:dyDescent="0.2">
      <c r="A129" s="442">
        <f t="shared" ref="A129:A191" si="14">A128+1</f>
        <v>41516</v>
      </c>
      <c r="B129" s="437"/>
      <c r="C129" s="443">
        <f t="shared" ref="C129:C191" si="15">IF(B129&lt;0,B129*-1,0)</f>
        <v>0</v>
      </c>
      <c r="D129" s="443">
        <f t="shared" ref="D129:D191" si="16">IF(B129&gt;0,B129*1,0)</f>
        <v>0</v>
      </c>
      <c r="E129" s="444">
        <f t="shared" si="12"/>
        <v>0</v>
      </c>
      <c r="F129" s="424"/>
      <c r="G129" s="446">
        <f t="shared" si="13"/>
        <v>3.5999999999999999E-3</v>
      </c>
      <c r="H129" s="444">
        <f t="shared" si="10"/>
        <v>0</v>
      </c>
      <c r="I129" s="425"/>
      <c r="J129" s="426"/>
      <c r="K129" s="427"/>
      <c r="L129" s="427"/>
      <c r="M129" s="427"/>
      <c r="N129" s="427"/>
    </row>
    <row r="130" spans="1:14" ht="15" hidden="1" x14ac:dyDescent="0.2">
      <c r="A130" s="442">
        <f t="shared" si="14"/>
        <v>41517</v>
      </c>
      <c r="B130" s="437"/>
      <c r="C130" s="443">
        <f t="shared" si="15"/>
        <v>0</v>
      </c>
      <c r="D130" s="443">
        <f t="shared" si="16"/>
        <v>0</v>
      </c>
      <c r="E130" s="444">
        <f t="shared" si="12"/>
        <v>0</v>
      </c>
      <c r="F130" s="424"/>
      <c r="G130" s="446">
        <f t="shared" si="13"/>
        <v>3.5999999999999999E-3</v>
      </c>
      <c r="H130" s="444">
        <f t="shared" ref="H130:H191" si="17">ROUND(+E130*G130/360,5)</f>
        <v>0</v>
      </c>
      <c r="I130" s="425">
        <f>SUM(H100:H130)</f>
        <v>0</v>
      </c>
      <c r="J130" s="426"/>
      <c r="K130" s="427"/>
      <c r="L130" s="427"/>
      <c r="M130" s="427"/>
      <c r="N130" s="427"/>
    </row>
    <row r="131" spans="1:14" ht="15" hidden="1" x14ac:dyDescent="0.2">
      <c r="A131" s="442">
        <f t="shared" si="14"/>
        <v>41518</v>
      </c>
      <c r="B131" s="437"/>
      <c r="C131" s="443">
        <f t="shared" si="15"/>
        <v>0</v>
      </c>
      <c r="D131" s="443">
        <f t="shared" si="16"/>
        <v>0</v>
      </c>
      <c r="E131" s="444">
        <f t="shared" si="12"/>
        <v>0</v>
      </c>
      <c r="F131" s="424"/>
      <c r="G131" s="446">
        <v>3.2000000000000002E-3</v>
      </c>
      <c r="H131" s="444">
        <f t="shared" si="17"/>
        <v>0</v>
      </c>
      <c r="I131" s="425"/>
      <c r="J131" s="426"/>
      <c r="K131" s="427"/>
      <c r="L131" s="427"/>
      <c r="M131" s="427"/>
      <c r="N131" s="427"/>
    </row>
    <row r="132" spans="1:14" ht="15" hidden="1" x14ac:dyDescent="0.2">
      <c r="A132" s="442">
        <f t="shared" si="14"/>
        <v>41519</v>
      </c>
      <c r="B132" s="437"/>
      <c r="C132" s="443">
        <f t="shared" si="15"/>
        <v>0</v>
      </c>
      <c r="D132" s="443">
        <f t="shared" si="16"/>
        <v>0</v>
      </c>
      <c r="E132" s="444">
        <f t="shared" si="12"/>
        <v>0</v>
      </c>
      <c r="F132" s="424"/>
      <c r="G132" s="446">
        <f>G131</f>
        <v>3.2000000000000002E-3</v>
      </c>
      <c r="H132" s="444">
        <f t="shared" si="17"/>
        <v>0</v>
      </c>
      <c r="I132" s="425"/>
      <c r="J132" s="426"/>
      <c r="K132" s="427"/>
      <c r="L132" s="427"/>
      <c r="M132" s="427"/>
      <c r="N132" s="427"/>
    </row>
    <row r="133" spans="1:14" ht="15" hidden="1" x14ac:dyDescent="0.2">
      <c r="A133" s="442">
        <f t="shared" si="14"/>
        <v>41520</v>
      </c>
      <c r="B133" s="437"/>
      <c r="C133" s="443">
        <f t="shared" si="15"/>
        <v>0</v>
      </c>
      <c r="D133" s="443">
        <f t="shared" si="16"/>
        <v>0</v>
      </c>
      <c r="E133" s="444">
        <f t="shared" si="12"/>
        <v>0</v>
      </c>
      <c r="F133" s="424"/>
      <c r="G133" s="446">
        <f t="shared" ref="G133:G160" si="18">G132</f>
        <v>3.2000000000000002E-3</v>
      </c>
      <c r="H133" s="444">
        <f t="shared" si="17"/>
        <v>0</v>
      </c>
      <c r="I133" s="425"/>
      <c r="J133" s="426"/>
      <c r="K133" s="427"/>
      <c r="L133" s="427"/>
      <c r="M133" s="427"/>
      <c r="N133" s="427"/>
    </row>
    <row r="134" spans="1:14" ht="15" hidden="1" x14ac:dyDescent="0.2">
      <c r="A134" s="442">
        <f t="shared" si="14"/>
        <v>41521</v>
      </c>
      <c r="B134" s="437"/>
      <c r="C134" s="443">
        <f t="shared" si="15"/>
        <v>0</v>
      </c>
      <c r="D134" s="443">
        <f t="shared" si="16"/>
        <v>0</v>
      </c>
      <c r="E134" s="444">
        <f t="shared" si="12"/>
        <v>0</v>
      </c>
      <c r="F134" s="424"/>
      <c r="G134" s="446">
        <f t="shared" si="18"/>
        <v>3.2000000000000002E-3</v>
      </c>
      <c r="H134" s="444">
        <f t="shared" si="17"/>
        <v>0</v>
      </c>
      <c r="I134" s="425"/>
      <c r="J134" s="426"/>
      <c r="K134" s="427"/>
      <c r="L134" s="427"/>
      <c r="M134" s="427"/>
      <c r="N134" s="427"/>
    </row>
    <row r="135" spans="1:14" ht="15" hidden="1" x14ac:dyDescent="0.2">
      <c r="A135" s="442">
        <f t="shared" si="14"/>
        <v>41522</v>
      </c>
      <c r="B135" s="437"/>
      <c r="C135" s="443">
        <f t="shared" si="15"/>
        <v>0</v>
      </c>
      <c r="D135" s="443">
        <f t="shared" si="16"/>
        <v>0</v>
      </c>
      <c r="E135" s="444">
        <f t="shared" si="12"/>
        <v>0</v>
      </c>
      <c r="F135" s="424"/>
      <c r="G135" s="446">
        <f t="shared" si="18"/>
        <v>3.2000000000000002E-3</v>
      </c>
      <c r="H135" s="444">
        <f t="shared" si="17"/>
        <v>0</v>
      </c>
      <c r="I135" s="425"/>
      <c r="J135" s="426"/>
      <c r="K135" s="427"/>
      <c r="L135" s="427"/>
      <c r="M135" s="427"/>
      <c r="N135" s="427"/>
    </row>
    <row r="136" spans="1:14" ht="15" hidden="1" x14ac:dyDescent="0.2">
      <c r="A136" s="442">
        <f t="shared" si="14"/>
        <v>41523</v>
      </c>
      <c r="B136" s="437"/>
      <c r="C136" s="443">
        <f t="shared" si="15"/>
        <v>0</v>
      </c>
      <c r="D136" s="443">
        <f t="shared" si="16"/>
        <v>0</v>
      </c>
      <c r="E136" s="444">
        <f t="shared" si="12"/>
        <v>0</v>
      </c>
      <c r="F136" s="424"/>
      <c r="G136" s="446">
        <f t="shared" si="18"/>
        <v>3.2000000000000002E-3</v>
      </c>
      <c r="H136" s="444">
        <f t="shared" si="17"/>
        <v>0</v>
      </c>
      <c r="I136" s="425"/>
      <c r="J136" s="426"/>
      <c r="K136" s="427"/>
      <c r="L136" s="427"/>
      <c r="M136" s="427"/>
      <c r="N136" s="427"/>
    </row>
    <row r="137" spans="1:14" ht="15" hidden="1" x14ac:dyDescent="0.2">
      <c r="A137" s="442">
        <f t="shared" si="14"/>
        <v>41524</v>
      </c>
      <c r="B137" s="437"/>
      <c r="C137" s="443">
        <f t="shared" si="15"/>
        <v>0</v>
      </c>
      <c r="D137" s="443">
        <f t="shared" si="16"/>
        <v>0</v>
      </c>
      <c r="E137" s="444">
        <f t="shared" ref="E137:E191" si="19">E136-C137+D137</f>
        <v>0</v>
      </c>
      <c r="F137" s="424"/>
      <c r="G137" s="446">
        <f t="shared" si="18"/>
        <v>3.2000000000000002E-3</v>
      </c>
      <c r="H137" s="444">
        <f t="shared" si="17"/>
        <v>0</v>
      </c>
      <c r="I137" s="425"/>
      <c r="J137" s="426"/>
      <c r="K137" s="427"/>
      <c r="L137" s="427"/>
      <c r="M137" s="427"/>
      <c r="N137" s="427"/>
    </row>
    <row r="138" spans="1:14" ht="15" hidden="1" x14ac:dyDescent="0.2">
      <c r="A138" s="442">
        <f t="shared" si="14"/>
        <v>41525</v>
      </c>
      <c r="B138" s="437"/>
      <c r="C138" s="443">
        <f t="shared" si="15"/>
        <v>0</v>
      </c>
      <c r="D138" s="443">
        <f t="shared" si="16"/>
        <v>0</v>
      </c>
      <c r="E138" s="444">
        <f t="shared" si="19"/>
        <v>0</v>
      </c>
      <c r="F138" s="424"/>
      <c r="G138" s="446">
        <f t="shared" si="18"/>
        <v>3.2000000000000002E-3</v>
      </c>
      <c r="H138" s="444">
        <f t="shared" si="17"/>
        <v>0</v>
      </c>
      <c r="I138" s="425"/>
      <c r="J138" s="426"/>
      <c r="K138" s="427"/>
      <c r="L138" s="427"/>
      <c r="M138" s="427"/>
      <c r="N138" s="427"/>
    </row>
    <row r="139" spans="1:14" ht="15" hidden="1" x14ac:dyDescent="0.2">
      <c r="A139" s="442">
        <f t="shared" si="14"/>
        <v>41526</v>
      </c>
      <c r="B139" s="437"/>
      <c r="C139" s="443">
        <f t="shared" si="15"/>
        <v>0</v>
      </c>
      <c r="D139" s="443">
        <f t="shared" si="16"/>
        <v>0</v>
      </c>
      <c r="E139" s="444">
        <f t="shared" si="19"/>
        <v>0</v>
      </c>
      <c r="F139" s="424"/>
      <c r="G139" s="446">
        <f t="shared" si="18"/>
        <v>3.2000000000000002E-3</v>
      </c>
      <c r="H139" s="444">
        <f t="shared" si="17"/>
        <v>0</v>
      </c>
      <c r="I139" s="425"/>
      <c r="J139" s="426"/>
      <c r="K139" s="427"/>
      <c r="L139" s="427"/>
      <c r="M139" s="427"/>
      <c r="N139" s="427"/>
    </row>
    <row r="140" spans="1:14" ht="15" hidden="1" x14ac:dyDescent="0.2">
      <c r="A140" s="442">
        <f t="shared" si="14"/>
        <v>41527</v>
      </c>
      <c r="B140" s="437"/>
      <c r="C140" s="443">
        <f t="shared" si="15"/>
        <v>0</v>
      </c>
      <c r="D140" s="443">
        <f t="shared" si="16"/>
        <v>0</v>
      </c>
      <c r="E140" s="444">
        <f t="shared" si="19"/>
        <v>0</v>
      </c>
      <c r="F140" s="424"/>
      <c r="G140" s="446">
        <f t="shared" si="18"/>
        <v>3.2000000000000002E-3</v>
      </c>
      <c r="H140" s="444">
        <f t="shared" si="17"/>
        <v>0</v>
      </c>
      <c r="I140" s="425"/>
      <c r="J140" s="426"/>
      <c r="K140" s="427"/>
      <c r="L140" s="427"/>
      <c r="M140" s="427"/>
      <c r="N140" s="427"/>
    </row>
    <row r="141" spans="1:14" ht="15" hidden="1" x14ac:dyDescent="0.2">
      <c r="A141" s="442">
        <f t="shared" si="14"/>
        <v>41528</v>
      </c>
      <c r="B141" s="437"/>
      <c r="C141" s="443">
        <f t="shared" si="15"/>
        <v>0</v>
      </c>
      <c r="D141" s="443">
        <f t="shared" si="16"/>
        <v>0</v>
      </c>
      <c r="E141" s="444">
        <f t="shared" si="19"/>
        <v>0</v>
      </c>
      <c r="F141" s="424"/>
      <c r="G141" s="446">
        <f t="shared" si="18"/>
        <v>3.2000000000000002E-3</v>
      </c>
      <c r="H141" s="444">
        <f t="shared" si="17"/>
        <v>0</v>
      </c>
      <c r="I141" s="425"/>
      <c r="J141" s="426"/>
      <c r="K141" s="427"/>
      <c r="L141" s="427"/>
      <c r="M141" s="427"/>
      <c r="N141" s="427"/>
    </row>
    <row r="142" spans="1:14" ht="15" hidden="1" x14ac:dyDescent="0.2">
      <c r="A142" s="442">
        <f t="shared" si="14"/>
        <v>41529</v>
      </c>
      <c r="B142" s="437"/>
      <c r="C142" s="443">
        <f t="shared" si="15"/>
        <v>0</v>
      </c>
      <c r="D142" s="443">
        <f t="shared" si="16"/>
        <v>0</v>
      </c>
      <c r="E142" s="444">
        <f t="shared" si="19"/>
        <v>0</v>
      </c>
      <c r="F142" s="424"/>
      <c r="G142" s="446">
        <f t="shared" si="18"/>
        <v>3.2000000000000002E-3</v>
      </c>
      <c r="H142" s="444">
        <f t="shared" si="17"/>
        <v>0</v>
      </c>
      <c r="I142" s="425"/>
      <c r="J142" s="426"/>
      <c r="K142" s="427"/>
      <c r="L142" s="427"/>
      <c r="M142" s="427"/>
      <c r="N142" s="427"/>
    </row>
    <row r="143" spans="1:14" ht="15" hidden="1" x14ac:dyDescent="0.2">
      <c r="A143" s="442">
        <f t="shared" si="14"/>
        <v>41530</v>
      </c>
      <c r="B143" s="437"/>
      <c r="C143" s="443">
        <f t="shared" si="15"/>
        <v>0</v>
      </c>
      <c r="D143" s="443">
        <f t="shared" si="16"/>
        <v>0</v>
      </c>
      <c r="E143" s="444">
        <f t="shared" si="19"/>
        <v>0</v>
      </c>
      <c r="F143" s="424"/>
      <c r="G143" s="446">
        <f t="shared" si="18"/>
        <v>3.2000000000000002E-3</v>
      </c>
      <c r="H143" s="444">
        <f t="shared" si="17"/>
        <v>0</v>
      </c>
      <c r="I143" s="425"/>
      <c r="J143" s="426"/>
      <c r="K143" s="427"/>
      <c r="L143" s="427"/>
      <c r="M143" s="427"/>
      <c r="N143" s="427"/>
    </row>
    <row r="144" spans="1:14" ht="15" hidden="1" x14ac:dyDescent="0.2">
      <c r="A144" s="442">
        <f t="shared" si="14"/>
        <v>41531</v>
      </c>
      <c r="B144" s="437"/>
      <c r="C144" s="443">
        <f t="shared" si="15"/>
        <v>0</v>
      </c>
      <c r="D144" s="443">
        <f t="shared" si="16"/>
        <v>0</v>
      </c>
      <c r="E144" s="444">
        <f t="shared" si="19"/>
        <v>0</v>
      </c>
      <c r="F144" s="424"/>
      <c r="G144" s="446">
        <f t="shared" si="18"/>
        <v>3.2000000000000002E-3</v>
      </c>
      <c r="H144" s="444">
        <f t="shared" si="17"/>
        <v>0</v>
      </c>
      <c r="I144" s="425"/>
      <c r="J144" s="426"/>
      <c r="K144" s="427"/>
      <c r="L144" s="427"/>
      <c r="M144" s="427"/>
      <c r="N144" s="427"/>
    </row>
    <row r="145" spans="1:14" ht="15" hidden="1" x14ac:dyDescent="0.2">
      <c r="A145" s="442">
        <f t="shared" si="14"/>
        <v>41532</v>
      </c>
      <c r="B145" s="437"/>
      <c r="C145" s="443">
        <f t="shared" si="15"/>
        <v>0</v>
      </c>
      <c r="D145" s="443">
        <f t="shared" si="16"/>
        <v>0</v>
      </c>
      <c r="E145" s="444">
        <f t="shared" si="19"/>
        <v>0</v>
      </c>
      <c r="F145" s="424"/>
      <c r="G145" s="446">
        <f t="shared" si="18"/>
        <v>3.2000000000000002E-3</v>
      </c>
      <c r="H145" s="444">
        <f t="shared" si="17"/>
        <v>0</v>
      </c>
      <c r="I145" s="425"/>
      <c r="J145" s="426"/>
      <c r="K145" s="427"/>
      <c r="L145" s="427"/>
      <c r="M145" s="427"/>
      <c r="N145" s="427"/>
    </row>
    <row r="146" spans="1:14" ht="15" hidden="1" x14ac:dyDescent="0.2">
      <c r="A146" s="442">
        <f t="shared" si="14"/>
        <v>41533</v>
      </c>
      <c r="B146" s="437"/>
      <c r="C146" s="443">
        <f t="shared" si="15"/>
        <v>0</v>
      </c>
      <c r="D146" s="443">
        <f t="shared" si="16"/>
        <v>0</v>
      </c>
      <c r="E146" s="444">
        <f t="shared" si="19"/>
        <v>0</v>
      </c>
      <c r="F146" s="424"/>
      <c r="G146" s="446">
        <f t="shared" si="18"/>
        <v>3.2000000000000002E-3</v>
      </c>
      <c r="H146" s="444">
        <f t="shared" si="17"/>
        <v>0</v>
      </c>
      <c r="I146" s="425"/>
      <c r="J146" s="426"/>
      <c r="K146" s="427"/>
      <c r="L146" s="427"/>
      <c r="M146" s="427"/>
      <c r="N146" s="427"/>
    </row>
    <row r="147" spans="1:14" ht="15" hidden="1" x14ac:dyDescent="0.2">
      <c r="A147" s="442">
        <f t="shared" si="14"/>
        <v>41534</v>
      </c>
      <c r="B147" s="437"/>
      <c r="C147" s="443">
        <f t="shared" si="15"/>
        <v>0</v>
      </c>
      <c r="D147" s="443">
        <f t="shared" si="16"/>
        <v>0</v>
      </c>
      <c r="E147" s="444">
        <f t="shared" si="19"/>
        <v>0</v>
      </c>
      <c r="F147" s="424"/>
      <c r="G147" s="446">
        <f t="shared" si="18"/>
        <v>3.2000000000000002E-3</v>
      </c>
      <c r="H147" s="444">
        <f t="shared" si="17"/>
        <v>0</v>
      </c>
      <c r="I147" s="425"/>
      <c r="J147" s="426"/>
      <c r="K147" s="427"/>
      <c r="L147" s="427"/>
      <c r="M147" s="427"/>
      <c r="N147" s="427"/>
    </row>
    <row r="148" spans="1:14" ht="15" hidden="1" x14ac:dyDescent="0.2">
      <c r="A148" s="442">
        <f t="shared" si="14"/>
        <v>41535</v>
      </c>
      <c r="B148" s="437"/>
      <c r="C148" s="443">
        <f t="shared" si="15"/>
        <v>0</v>
      </c>
      <c r="D148" s="443">
        <f t="shared" si="16"/>
        <v>0</v>
      </c>
      <c r="E148" s="444">
        <f t="shared" si="19"/>
        <v>0</v>
      </c>
      <c r="F148" s="424"/>
      <c r="G148" s="446">
        <f t="shared" si="18"/>
        <v>3.2000000000000002E-3</v>
      </c>
      <c r="H148" s="444">
        <f t="shared" si="17"/>
        <v>0</v>
      </c>
      <c r="I148" s="425"/>
      <c r="J148" s="426"/>
      <c r="K148" s="427"/>
      <c r="L148" s="427"/>
      <c r="M148" s="427"/>
      <c r="N148" s="427"/>
    </row>
    <row r="149" spans="1:14" ht="15" hidden="1" x14ac:dyDescent="0.2">
      <c r="A149" s="442">
        <f t="shared" si="14"/>
        <v>41536</v>
      </c>
      <c r="B149" s="437"/>
      <c r="C149" s="443">
        <f t="shared" si="15"/>
        <v>0</v>
      </c>
      <c r="D149" s="443">
        <f t="shared" si="16"/>
        <v>0</v>
      </c>
      <c r="E149" s="444">
        <f t="shared" si="19"/>
        <v>0</v>
      </c>
      <c r="F149" s="424"/>
      <c r="G149" s="446">
        <f t="shared" si="18"/>
        <v>3.2000000000000002E-3</v>
      </c>
      <c r="H149" s="444">
        <f t="shared" si="17"/>
        <v>0</v>
      </c>
      <c r="I149" s="425"/>
      <c r="J149" s="426"/>
      <c r="K149" s="427"/>
      <c r="L149" s="427"/>
      <c r="M149" s="427"/>
      <c r="N149" s="427"/>
    </row>
    <row r="150" spans="1:14" ht="15" hidden="1" x14ac:dyDescent="0.2">
      <c r="A150" s="442">
        <f t="shared" si="14"/>
        <v>41537</v>
      </c>
      <c r="B150" s="437"/>
      <c r="C150" s="443">
        <f t="shared" si="15"/>
        <v>0</v>
      </c>
      <c r="D150" s="443">
        <f t="shared" si="16"/>
        <v>0</v>
      </c>
      <c r="E150" s="444">
        <f t="shared" si="19"/>
        <v>0</v>
      </c>
      <c r="F150" s="424"/>
      <c r="G150" s="446">
        <f t="shared" si="18"/>
        <v>3.2000000000000002E-3</v>
      </c>
      <c r="H150" s="444">
        <f t="shared" si="17"/>
        <v>0</v>
      </c>
      <c r="I150" s="425"/>
      <c r="J150" s="426"/>
      <c r="K150" s="427"/>
      <c r="L150" s="427"/>
      <c r="M150" s="427"/>
      <c r="N150" s="427"/>
    </row>
    <row r="151" spans="1:14" ht="15" hidden="1" x14ac:dyDescent="0.2">
      <c r="A151" s="442">
        <f t="shared" si="14"/>
        <v>41538</v>
      </c>
      <c r="B151" s="437"/>
      <c r="C151" s="443">
        <f t="shared" si="15"/>
        <v>0</v>
      </c>
      <c r="D151" s="443">
        <f t="shared" si="16"/>
        <v>0</v>
      </c>
      <c r="E151" s="444">
        <f t="shared" si="19"/>
        <v>0</v>
      </c>
      <c r="F151" s="424"/>
      <c r="G151" s="446">
        <f t="shared" si="18"/>
        <v>3.2000000000000002E-3</v>
      </c>
      <c r="H151" s="444">
        <f t="shared" si="17"/>
        <v>0</v>
      </c>
      <c r="I151" s="425"/>
      <c r="J151" s="426"/>
      <c r="K151" s="427"/>
      <c r="L151" s="427"/>
      <c r="M151" s="427"/>
      <c r="N151" s="427"/>
    </row>
    <row r="152" spans="1:14" ht="15" hidden="1" x14ac:dyDescent="0.2">
      <c r="A152" s="442">
        <f t="shared" si="14"/>
        <v>41539</v>
      </c>
      <c r="B152" s="437"/>
      <c r="C152" s="443">
        <f t="shared" si="15"/>
        <v>0</v>
      </c>
      <c r="D152" s="443">
        <f t="shared" si="16"/>
        <v>0</v>
      </c>
      <c r="E152" s="444">
        <f t="shared" si="19"/>
        <v>0</v>
      </c>
      <c r="F152" s="424"/>
      <c r="G152" s="446">
        <f t="shared" si="18"/>
        <v>3.2000000000000002E-3</v>
      </c>
      <c r="H152" s="444">
        <f t="shared" si="17"/>
        <v>0</v>
      </c>
      <c r="I152" s="425"/>
      <c r="J152" s="426"/>
      <c r="K152" s="427"/>
      <c r="L152" s="427"/>
      <c r="M152" s="427"/>
      <c r="N152" s="427"/>
    </row>
    <row r="153" spans="1:14" ht="15" hidden="1" x14ac:dyDescent="0.2">
      <c r="A153" s="442">
        <f t="shared" si="14"/>
        <v>41540</v>
      </c>
      <c r="B153" s="437"/>
      <c r="C153" s="443">
        <f t="shared" si="15"/>
        <v>0</v>
      </c>
      <c r="D153" s="443">
        <f t="shared" si="16"/>
        <v>0</v>
      </c>
      <c r="E153" s="444">
        <f t="shared" si="19"/>
        <v>0</v>
      </c>
      <c r="F153" s="424"/>
      <c r="G153" s="446">
        <f t="shared" si="18"/>
        <v>3.2000000000000002E-3</v>
      </c>
      <c r="H153" s="444">
        <f t="shared" si="17"/>
        <v>0</v>
      </c>
      <c r="I153" s="425"/>
      <c r="J153" s="426"/>
      <c r="K153" s="427"/>
      <c r="L153" s="427"/>
      <c r="M153" s="427"/>
      <c r="N153" s="427"/>
    </row>
    <row r="154" spans="1:14" ht="15" hidden="1" x14ac:dyDescent="0.2">
      <c r="A154" s="442">
        <f t="shared" si="14"/>
        <v>41541</v>
      </c>
      <c r="B154" s="437"/>
      <c r="C154" s="443">
        <f t="shared" si="15"/>
        <v>0</v>
      </c>
      <c r="D154" s="443">
        <f t="shared" si="16"/>
        <v>0</v>
      </c>
      <c r="E154" s="444">
        <f t="shared" si="19"/>
        <v>0</v>
      </c>
      <c r="F154" s="424"/>
      <c r="G154" s="446">
        <f t="shared" si="18"/>
        <v>3.2000000000000002E-3</v>
      </c>
      <c r="H154" s="444">
        <f t="shared" si="17"/>
        <v>0</v>
      </c>
      <c r="I154" s="425"/>
      <c r="J154" s="426"/>
      <c r="K154" s="427"/>
      <c r="L154" s="427"/>
      <c r="M154" s="427"/>
      <c r="N154" s="427"/>
    </row>
    <row r="155" spans="1:14" ht="15" hidden="1" x14ac:dyDescent="0.2">
      <c r="A155" s="442">
        <f t="shared" si="14"/>
        <v>41542</v>
      </c>
      <c r="B155" s="437"/>
      <c r="C155" s="443">
        <f t="shared" si="15"/>
        <v>0</v>
      </c>
      <c r="D155" s="443">
        <f t="shared" si="16"/>
        <v>0</v>
      </c>
      <c r="E155" s="444">
        <f t="shared" si="19"/>
        <v>0</v>
      </c>
      <c r="F155" s="424"/>
      <c r="G155" s="446">
        <f t="shared" si="18"/>
        <v>3.2000000000000002E-3</v>
      </c>
      <c r="H155" s="444">
        <f t="shared" si="17"/>
        <v>0</v>
      </c>
      <c r="I155" s="425"/>
      <c r="J155" s="426"/>
      <c r="K155" s="427"/>
      <c r="L155" s="427"/>
      <c r="M155" s="427"/>
      <c r="N155" s="427"/>
    </row>
    <row r="156" spans="1:14" ht="15" hidden="1" x14ac:dyDescent="0.2">
      <c r="A156" s="442">
        <f t="shared" si="14"/>
        <v>41543</v>
      </c>
      <c r="B156" s="437"/>
      <c r="C156" s="443">
        <f t="shared" si="15"/>
        <v>0</v>
      </c>
      <c r="D156" s="443">
        <f t="shared" si="16"/>
        <v>0</v>
      </c>
      <c r="E156" s="444">
        <f t="shared" si="19"/>
        <v>0</v>
      </c>
      <c r="F156" s="424"/>
      <c r="G156" s="446">
        <f t="shared" si="18"/>
        <v>3.2000000000000002E-3</v>
      </c>
      <c r="H156" s="444">
        <f t="shared" si="17"/>
        <v>0</v>
      </c>
      <c r="I156" s="425"/>
      <c r="J156" s="426"/>
      <c r="K156" s="427"/>
      <c r="L156" s="427"/>
      <c r="M156" s="427"/>
      <c r="N156" s="427"/>
    </row>
    <row r="157" spans="1:14" ht="15" hidden="1" x14ac:dyDescent="0.2">
      <c r="A157" s="442">
        <f t="shared" si="14"/>
        <v>41544</v>
      </c>
      <c r="B157" s="437"/>
      <c r="C157" s="443">
        <f t="shared" si="15"/>
        <v>0</v>
      </c>
      <c r="D157" s="443">
        <f t="shared" si="16"/>
        <v>0</v>
      </c>
      <c r="E157" s="444">
        <f t="shared" si="19"/>
        <v>0</v>
      </c>
      <c r="F157" s="424"/>
      <c r="G157" s="446">
        <f t="shared" si="18"/>
        <v>3.2000000000000002E-3</v>
      </c>
      <c r="H157" s="444">
        <f t="shared" si="17"/>
        <v>0</v>
      </c>
      <c r="I157" s="425"/>
      <c r="J157" s="426"/>
      <c r="K157" s="427"/>
      <c r="L157" s="427"/>
      <c r="M157" s="427"/>
      <c r="N157" s="427"/>
    </row>
    <row r="158" spans="1:14" ht="15" hidden="1" x14ac:dyDescent="0.2">
      <c r="A158" s="442">
        <f t="shared" si="14"/>
        <v>41545</v>
      </c>
      <c r="B158" s="437"/>
      <c r="C158" s="443">
        <f t="shared" si="15"/>
        <v>0</v>
      </c>
      <c r="D158" s="443">
        <f t="shared" si="16"/>
        <v>0</v>
      </c>
      <c r="E158" s="444">
        <f t="shared" si="19"/>
        <v>0</v>
      </c>
      <c r="F158" s="424"/>
      <c r="G158" s="446">
        <f t="shared" si="18"/>
        <v>3.2000000000000002E-3</v>
      </c>
      <c r="H158" s="444">
        <f t="shared" si="17"/>
        <v>0</v>
      </c>
      <c r="I158" s="425"/>
      <c r="J158" s="426"/>
      <c r="K158" s="427"/>
      <c r="L158" s="427"/>
      <c r="M158" s="427"/>
      <c r="N158" s="427"/>
    </row>
    <row r="159" spans="1:14" ht="15" hidden="1" x14ac:dyDescent="0.2">
      <c r="A159" s="442">
        <f t="shared" si="14"/>
        <v>41546</v>
      </c>
      <c r="B159" s="437"/>
      <c r="C159" s="443">
        <f t="shared" si="15"/>
        <v>0</v>
      </c>
      <c r="D159" s="443">
        <f t="shared" si="16"/>
        <v>0</v>
      </c>
      <c r="E159" s="444">
        <f t="shared" si="19"/>
        <v>0</v>
      </c>
      <c r="F159" s="424"/>
      <c r="G159" s="446">
        <f t="shared" si="18"/>
        <v>3.2000000000000002E-3</v>
      </c>
      <c r="H159" s="444">
        <f t="shared" si="17"/>
        <v>0</v>
      </c>
      <c r="I159" s="425"/>
      <c r="J159" s="426"/>
      <c r="K159" s="427"/>
      <c r="L159" s="427"/>
      <c r="M159" s="427"/>
      <c r="N159" s="427"/>
    </row>
    <row r="160" spans="1:14" ht="15" hidden="1" x14ac:dyDescent="0.2">
      <c r="A160" s="442">
        <f t="shared" si="14"/>
        <v>41547</v>
      </c>
      <c r="B160" s="437"/>
      <c r="C160" s="443">
        <f t="shared" si="15"/>
        <v>0</v>
      </c>
      <c r="D160" s="443">
        <f t="shared" si="16"/>
        <v>0</v>
      </c>
      <c r="E160" s="444">
        <f t="shared" si="19"/>
        <v>0</v>
      </c>
      <c r="F160" s="424"/>
      <c r="G160" s="446">
        <f t="shared" si="18"/>
        <v>3.2000000000000002E-3</v>
      </c>
      <c r="H160" s="444">
        <f t="shared" si="17"/>
        <v>0</v>
      </c>
      <c r="I160" s="425">
        <f>SUM(H131:H160)</f>
        <v>0</v>
      </c>
      <c r="J160" s="426">
        <v>0</v>
      </c>
      <c r="K160" s="426">
        <f>AVERAGE(H131:H160)</f>
        <v>0</v>
      </c>
      <c r="L160" s="426">
        <f>AVERAGE(H8:H160)</f>
        <v>0</v>
      </c>
      <c r="M160" s="426">
        <f>AVERAGE(E131:E160)</f>
        <v>0</v>
      </c>
      <c r="N160" s="426">
        <f>AVERAGE(E8:E160)</f>
        <v>0</v>
      </c>
    </row>
    <row r="161" spans="1:8" ht="15" x14ac:dyDescent="0.2">
      <c r="A161" s="442">
        <f t="shared" si="14"/>
        <v>41548</v>
      </c>
      <c r="C161" s="443">
        <f t="shared" si="15"/>
        <v>0</v>
      </c>
      <c r="D161" s="443">
        <f t="shared" si="16"/>
        <v>0</v>
      </c>
      <c r="E161" s="444">
        <f t="shared" si="19"/>
        <v>0</v>
      </c>
      <c r="G161" s="448">
        <v>3.0000000000000001E-3</v>
      </c>
      <c r="H161" s="444">
        <f t="shared" si="17"/>
        <v>0</v>
      </c>
    </row>
    <row r="162" spans="1:8" ht="15" x14ac:dyDescent="0.2">
      <c r="A162" s="442">
        <f t="shared" si="14"/>
        <v>41549</v>
      </c>
      <c r="C162" s="443">
        <f t="shared" si="15"/>
        <v>0</v>
      </c>
      <c r="D162" s="443">
        <f t="shared" si="16"/>
        <v>0</v>
      </c>
      <c r="E162" s="444">
        <f t="shared" si="19"/>
        <v>0</v>
      </c>
      <c r="G162" s="448">
        <f>G161</f>
        <v>3.0000000000000001E-3</v>
      </c>
      <c r="H162" s="444">
        <f t="shared" si="17"/>
        <v>0</v>
      </c>
    </row>
    <row r="163" spans="1:8" ht="15" x14ac:dyDescent="0.2">
      <c r="A163" s="442">
        <f t="shared" si="14"/>
        <v>41550</v>
      </c>
      <c r="C163" s="443">
        <f t="shared" si="15"/>
        <v>0</v>
      </c>
      <c r="D163" s="443">
        <f t="shared" si="16"/>
        <v>0</v>
      </c>
      <c r="E163" s="444">
        <f t="shared" si="19"/>
        <v>0</v>
      </c>
      <c r="G163" s="448">
        <f t="shared" ref="G163:G191" si="20">G162</f>
        <v>3.0000000000000001E-3</v>
      </c>
      <c r="H163" s="444">
        <f t="shared" si="17"/>
        <v>0</v>
      </c>
    </row>
    <row r="164" spans="1:8" ht="15" x14ac:dyDescent="0.2">
      <c r="A164" s="442">
        <f t="shared" si="14"/>
        <v>41551</v>
      </c>
      <c r="C164" s="443">
        <f t="shared" si="15"/>
        <v>0</v>
      </c>
      <c r="D164" s="443">
        <f t="shared" si="16"/>
        <v>0</v>
      </c>
      <c r="E164" s="444">
        <f t="shared" si="19"/>
        <v>0</v>
      </c>
      <c r="G164" s="448">
        <f t="shared" si="20"/>
        <v>3.0000000000000001E-3</v>
      </c>
      <c r="H164" s="444">
        <f t="shared" si="17"/>
        <v>0</v>
      </c>
    </row>
    <row r="165" spans="1:8" ht="15" x14ac:dyDescent="0.2">
      <c r="A165" s="442">
        <f t="shared" si="14"/>
        <v>41552</v>
      </c>
      <c r="C165" s="443">
        <f t="shared" si="15"/>
        <v>0</v>
      </c>
      <c r="D165" s="443">
        <f t="shared" si="16"/>
        <v>0</v>
      </c>
      <c r="E165" s="444">
        <f t="shared" si="19"/>
        <v>0</v>
      </c>
      <c r="G165" s="448">
        <f t="shared" si="20"/>
        <v>3.0000000000000001E-3</v>
      </c>
      <c r="H165" s="444">
        <f t="shared" si="17"/>
        <v>0</v>
      </c>
    </row>
    <row r="166" spans="1:8" ht="15" x14ac:dyDescent="0.2">
      <c r="A166" s="442">
        <f t="shared" si="14"/>
        <v>41553</v>
      </c>
      <c r="C166" s="443">
        <f t="shared" si="15"/>
        <v>0</v>
      </c>
      <c r="D166" s="443">
        <f t="shared" si="16"/>
        <v>0</v>
      </c>
      <c r="E166" s="444">
        <f t="shared" si="19"/>
        <v>0</v>
      </c>
      <c r="G166" s="448">
        <f t="shared" si="20"/>
        <v>3.0000000000000001E-3</v>
      </c>
      <c r="H166" s="444">
        <f t="shared" si="17"/>
        <v>0</v>
      </c>
    </row>
    <row r="167" spans="1:8" ht="15" x14ac:dyDescent="0.2">
      <c r="A167" s="442">
        <f t="shared" si="14"/>
        <v>41554</v>
      </c>
      <c r="C167" s="443">
        <f t="shared" si="15"/>
        <v>0</v>
      </c>
      <c r="D167" s="443">
        <f t="shared" si="16"/>
        <v>0</v>
      </c>
      <c r="E167" s="444">
        <f t="shared" si="19"/>
        <v>0</v>
      </c>
      <c r="G167" s="448">
        <f t="shared" si="20"/>
        <v>3.0000000000000001E-3</v>
      </c>
      <c r="H167" s="444">
        <f t="shared" si="17"/>
        <v>0</v>
      </c>
    </row>
    <row r="168" spans="1:8" ht="15" x14ac:dyDescent="0.2">
      <c r="A168" s="442">
        <f t="shared" si="14"/>
        <v>41555</v>
      </c>
      <c r="C168" s="443">
        <f t="shared" si="15"/>
        <v>0</v>
      </c>
      <c r="D168" s="443">
        <f t="shared" si="16"/>
        <v>0</v>
      </c>
      <c r="E168" s="444">
        <f t="shared" si="19"/>
        <v>0</v>
      </c>
      <c r="G168" s="448">
        <f t="shared" si="20"/>
        <v>3.0000000000000001E-3</v>
      </c>
      <c r="H168" s="444">
        <f t="shared" si="17"/>
        <v>0</v>
      </c>
    </row>
    <row r="169" spans="1:8" ht="15" x14ac:dyDescent="0.2">
      <c r="A169" s="442">
        <f t="shared" si="14"/>
        <v>41556</v>
      </c>
      <c r="C169" s="443">
        <f t="shared" si="15"/>
        <v>0</v>
      </c>
      <c r="D169" s="443">
        <f t="shared" si="16"/>
        <v>0</v>
      </c>
      <c r="E169" s="444">
        <f t="shared" si="19"/>
        <v>0</v>
      </c>
      <c r="G169" s="448">
        <f t="shared" si="20"/>
        <v>3.0000000000000001E-3</v>
      </c>
      <c r="H169" s="444">
        <f t="shared" si="17"/>
        <v>0</v>
      </c>
    </row>
    <row r="170" spans="1:8" ht="15" x14ac:dyDescent="0.2">
      <c r="A170" s="442">
        <f t="shared" si="14"/>
        <v>41557</v>
      </c>
      <c r="C170" s="443">
        <f t="shared" si="15"/>
        <v>0</v>
      </c>
      <c r="D170" s="443">
        <f t="shared" si="16"/>
        <v>0</v>
      </c>
      <c r="E170" s="444">
        <f t="shared" si="19"/>
        <v>0</v>
      </c>
      <c r="G170" s="448">
        <f t="shared" si="20"/>
        <v>3.0000000000000001E-3</v>
      </c>
      <c r="H170" s="444">
        <f t="shared" si="17"/>
        <v>0</v>
      </c>
    </row>
    <row r="171" spans="1:8" ht="15" x14ac:dyDescent="0.2">
      <c r="A171" s="442">
        <f t="shared" si="14"/>
        <v>41558</v>
      </c>
      <c r="C171" s="443">
        <f t="shared" si="15"/>
        <v>0</v>
      </c>
      <c r="D171" s="443">
        <f t="shared" si="16"/>
        <v>0</v>
      </c>
      <c r="E171" s="444">
        <f t="shared" si="19"/>
        <v>0</v>
      </c>
      <c r="G171" s="448">
        <f t="shared" si="20"/>
        <v>3.0000000000000001E-3</v>
      </c>
      <c r="H171" s="444">
        <f t="shared" si="17"/>
        <v>0</v>
      </c>
    </row>
    <row r="172" spans="1:8" ht="15" x14ac:dyDescent="0.2">
      <c r="A172" s="442">
        <f t="shared" si="14"/>
        <v>41559</v>
      </c>
      <c r="C172" s="443">
        <f t="shared" si="15"/>
        <v>0</v>
      </c>
      <c r="D172" s="443">
        <f t="shared" si="16"/>
        <v>0</v>
      </c>
      <c r="E172" s="444">
        <f t="shared" si="19"/>
        <v>0</v>
      </c>
      <c r="G172" s="448">
        <f t="shared" si="20"/>
        <v>3.0000000000000001E-3</v>
      </c>
      <c r="H172" s="444">
        <f t="shared" si="17"/>
        <v>0</v>
      </c>
    </row>
    <row r="173" spans="1:8" ht="15" x14ac:dyDescent="0.2">
      <c r="A173" s="442">
        <f t="shared" si="14"/>
        <v>41560</v>
      </c>
      <c r="C173" s="443">
        <f t="shared" si="15"/>
        <v>0</v>
      </c>
      <c r="D173" s="443">
        <f t="shared" si="16"/>
        <v>0</v>
      </c>
      <c r="E173" s="444">
        <f t="shared" si="19"/>
        <v>0</v>
      </c>
      <c r="G173" s="448">
        <f t="shared" si="20"/>
        <v>3.0000000000000001E-3</v>
      </c>
      <c r="H173" s="444">
        <f t="shared" si="17"/>
        <v>0</v>
      </c>
    </row>
    <row r="174" spans="1:8" ht="15" x14ac:dyDescent="0.2">
      <c r="A174" s="442">
        <f t="shared" si="14"/>
        <v>41561</v>
      </c>
      <c r="C174" s="443">
        <f t="shared" si="15"/>
        <v>0</v>
      </c>
      <c r="D174" s="443">
        <f t="shared" si="16"/>
        <v>0</v>
      </c>
      <c r="E174" s="444">
        <f t="shared" si="19"/>
        <v>0</v>
      </c>
      <c r="G174" s="448">
        <f t="shared" si="20"/>
        <v>3.0000000000000001E-3</v>
      </c>
      <c r="H174" s="444">
        <f t="shared" si="17"/>
        <v>0</v>
      </c>
    </row>
    <row r="175" spans="1:8" ht="15" x14ac:dyDescent="0.2">
      <c r="A175" s="442">
        <f t="shared" si="14"/>
        <v>41562</v>
      </c>
      <c r="C175" s="443">
        <f t="shared" si="15"/>
        <v>0</v>
      </c>
      <c r="D175" s="443">
        <f t="shared" si="16"/>
        <v>0</v>
      </c>
      <c r="E175" s="444">
        <f t="shared" si="19"/>
        <v>0</v>
      </c>
      <c r="G175" s="448">
        <f t="shared" si="20"/>
        <v>3.0000000000000001E-3</v>
      </c>
      <c r="H175" s="444">
        <f t="shared" si="17"/>
        <v>0</v>
      </c>
    </row>
    <row r="176" spans="1:8" ht="15" x14ac:dyDescent="0.2">
      <c r="A176" s="442">
        <f t="shared" si="14"/>
        <v>41563</v>
      </c>
      <c r="C176" s="443">
        <f t="shared" si="15"/>
        <v>0</v>
      </c>
      <c r="D176" s="443">
        <f t="shared" si="16"/>
        <v>0</v>
      </c>
      <c r="E176" s="444">
        <f t="shared" si="19"/>
        <v>0</v>
      </c>
      <c r="G176" s="448">
        <f t="shared" si="20"/>
        <v>3.0000000000000001E-3</v>
      </c>
      <c r="H176" s="444">
        <f t="shared" si="17"/>
        <v>0</v>
      </c>
    </row>
    <row r="177" spans="1:14" ht="15" x14ac:dyDescent="0.2">
      <c r="A177" s="442">
        <f t="shared" si="14"/>
        <v>41564</v>
      </c>
      <c r="C177" s="443">
        <f t="shared" si="15"/>
        <v>0</v>
      </c>
      <c r="D177" s="443">
        <f t="shared" si="16"/>
        <v>0</v>
      </c>
      <c r="E177" s="444">
        <f t="shared" si="19"/>
        <v>0</v>
      </c>
      <c r="G177" s="448">
        <f t="shared" si="20"/>
        <v>3.0000000000000001E-3</v>
      </c>
      <c r="H177" s="444">
        <f t="shared" si="17"/>
        <v>0</v>
      </c>
    </row>
    <row r="178" spans="1:14" ht="15" x14ac:dyDescent="0.2">
      <c r="A178" s="442">
        <f t="shared" si="14"/>
        <v>41565</v>
      </c>
      <c r="C178" s="443">
        <f t="shared" si="15"/>
        <v>0</v>
      </c>
      <c r="D178" s="443">
        <f t="shared" si="16"/>
        <v>0</v>
      </c>
      <c r="E178" s="444">
        <f t="shared" si="19"/>
        <v>0</v>
      </c>
      <c r="G178" s="448">
        <f t="shared" si="20"/>
        <v>3.0000000000000001E-3</v>
      </c>
      <c r="H178" s="444">
        <f t="shared" si="17"/>
        <v>0</v>
      </c>
    </row>
    <row r="179" spans="1:14" ht="15" x14ac:dyDescent="0.2">
      <c r="A179" s="442">
        <f t="shared" si="14"/>
        <v>41566</v>
      </c>
      <c r="C179" s="443">
        <f t="shared" si="15"/>
        <v>0</v>
      </c>
      <c r="D179" s="443">
        <f t="shared" si="16"/>
        <v>0</v>
      </c>
      <c r="E179" s="444">
        <f t="shared" si="19"/>
        <v>0</v>
      </c>
      <c r="G179" s="448">
        <f t="shared" si="20"/>
        <v>3.0000000000000001E-3</v>
      </c>
      <c r="H179" s="444">
        <f t="shared" si="17"/>
        <v>0</v>
      </c>
    </row>
    <row r="180" spans="1:14" ht="15" x14ac:dyDescent="0.2">
      <c r="A180" s="442">
        <f t="shared" si="14"/>
        <v>41567</v>
      </c>
      <c r="C180" s="443">
        <f t="shared" si="15"/>
        <v>0</v>
      </c>
      <c r="D180" s="443">
        <f t="shared" si="16"/>
        <v>0</v>
      </c>
      <c r="E180" s="444">
        <f t="shared" si="19"/>
        <v>0</v>
      </c>
      <c r="G180" s="448">
        <f t="shared" si="20"/>
        <v>3.0000000000000001E-3</v>
      </c>
      <c r="H180" s="444">
        <f t="shared" si="17"/>
        <v>0</v>
      </c>
    </row>
    <row r="181" spans="1:14" ht="15" x14ac:dyDescent="0.2">
      <c r="A181" s="442">
        <f t="shared" si="14"/>
        <v>41568</v>
      </c>
      <c r="C181" s="443">
        <f t="shared" si="15"/>
        <v>0</v>
      </c>
      <c r="D181" s="443">
        <f t="shared" si="16"/>
        <v>0</v>
      </c>
      <c r="E181" s="444">
        <f t="shared" si="19"/>
        <v>0</v>
      </c>
      <c r="G181" s="448">
        <f t="shared" si="20"/>
        <v>3.0000000000000001E-3</v>
      </c>
      <c r="H181" s="444">
        <f t="shared" si="17"/>
        <v>0</v>
      </c>
    </row>
    <row r="182" spans="1:14" ht="15" x14ac:dyDescent="0.2">
      <c r="A182" s="442">
        <f t="shared" si="14"/>
        <v>41569</v>
      </c>
      <c r="C182" s="443">
        <f t="shared" si="15"/>
        <v>0</v>
      </c>
      <c r="D182" s="443">
        <f t="shared" si="16"/>
        <v>0</v>
      </c>
      <c r="E182" s="444">
        <f t="shared" si="19"/>
        <v>0</v>
      </c>
      <c r="G182" s="448">
        <f t="shared" si="20"/>
        <v>3.0000000000000001E-3</v>
      </c>
      <c r="H182" s="444">
        <f t="shared" si="17"/>
        <v>0</v>
      </c>
    </row>
    <row r="183" spans="1:14" ht="15" x14ac:dyDescent="0.2">
      <c r="A183" s="442">
        <f t="shared" si="14"/>
        <v>41570</v>
      </c>
      <c r="C183" s="443">
        <f t="shared" si="15"/>
        <v>0</v>
      </c>
      <c r="D183" s="443">
        <f t="shared" si="16"/>
        <v>0</v>
      </c>
      <c r="E183" s="444">
        <f t="shared" si="19"/>
        <v>0</v>
      </c>
      <c r="G183" s="448">
        <f t="shared" si="20"/>
        <v>3.0000000000000001E-3</v>
      </c>
      <c r="H183" s="444">
        <f t="shared" si="17"/>
        <v>0</v>
      </c>
    </row>
    <row r="184" spans="1:14" ht="15" x14ac:dyDescent="0.2">
      <c r="A184" s="442">
        <f t="shared" si="14"/>
        <v>41571</v>
      </c>
      <c r="C184" s="443">
        <f t="shared" si="15"/>
        <v>0</v>
      </c>
      <c r="D184" s="443">
        <f t="shared" si="16"/>
        <v>0</v>
      </c>
      <c r="E184" s="444">
        <f t="shared" si="19"/>
        <v>0</v>
      </c>
      <c r="G184" s="448">
        <f t="shared" si="20"/>
        <v>3.0000000000000001E-3</v>
      </c>
      <c r="H184" s="444">
        <f t="shared" si="17"/>
        <v>0</v>
      </c>
    </row>
    <row r="185" spans="1:14" ht="15" x14ac:dyDescent="0.2">
      <c r="A185" s="442">
        <f t="shared" si="14"/>
        <v>41572</v>
      </c>
      <c r="C185" s="443">
        <f t="shared" si="15"/>
        <v>0</v>
      </c>
      <c r="D185" s="443">
        <f t="shared" si="16"/>
        <v>0</v>
      </c>
      <c r="E185" s="444">
        <f t="shared" si="19"/>
        <v>0</v>
      </c>
      <c r="G185" s="448">
        <f t="shared" si="20"/>
        <v>3.0000000000000001E-3</v>
      </c>
      <c r="H185" s="444">
        <f t="shared" si="17"/>
        <v>0</v>
      </c>
    </row>
    <row r="186" spans="1:14" ht="15" x14ac:dyDescent="0.2">
      <c r="A186" s="442">
        <f t="shared" si="14"/>
        <v>41573</v>
      </c>
      <c r="C186" s="443">
        <f t="shared" si="15"/>
        <v>0</v>
      </c>
      <c r="D186" s="443">
        <f t="shared" si="16"/>
        <v>0</v>
      </c>
      <c r="E186" s="444">
        <f t="shared" si="19"/>
        <v>0</v>
      </c>
      <c r="G186" s="448">
        <f t="shared" si="20"/>
        <v>3.0000000000000001E-3</v>
      </c>
      <c r="H186" s="444">
        <f t="shared" si="17"/>
        <v>0</v>
      </c>
    </row>
    <row r="187" spans="1:14" ht="15" x14ac:dyDescent="0.2">
      <c r="A187" s="442">
        <f t="shared" si="14"/>
        <v>41574</v>
      </c>
      <c r="C187" s="443">
        <f t="shared" si="15"/>
        <v>0</v>
      </c>
      <c r="D187" s="443">
        <f t="shared" si="16"/>
        <v>0</v>
      </c>
      <c r="E187" s="444">
        <f t="shared" si="19"/>
        <v>0</v>
      </c>
      <c r="G187" s="448">
        <f t="shared" si="20"/>
        <v>3.0000000000000001E-3</v>
      </c>
      <c r="H187" s="444">
        <f t="shared" si="17"/>
        <v>0</v>
      </c>
    </row>
    <row r="188" spans="1:14" ht="15" x14ac:dyDescent="0.2">
      <c r="A188" s="442">
        <f t="shared" si="14"/>
        <v>41575</v>
      </c>
      <c r="C188" s="443">
        <f t="shared" si="15"/>
        <v>0</v>
      </c>
      <c r="D188" s="443">
        <f t="shared" si="16"/>
        <v>0</v>
      </c>
      <c r="E188" s="444">
        <f t="shared" si="19"/>
        <v>0</v>
      </c>
      <c r="G188" s="448">
        <f t="shared" si="20"/>
        <v>3.0000000000000001E-3</v>
      </c>
      <c r="H188" s="444">
        <f t="shared" si="17"/>
        <v>0</v>
      </c>
    </row>
    <row r="189" spans="1:14" ht="15" x14ac:dyDescent="0.2">
      <c r="A189" s="442">
        <f t="shared" si="14"/>
        <v>41576</v>
      </c>
      <c r="C189" s="443">
        <f t="shared" si="15"/>
        <v>0</v>
      </c>
      <c r="D189" s="443">
        <f t="shared" si="16"/>
        <v>0</v>
      </c>
      <c r="E189" s="444">
        <f t="shared" si="19"/>
        <v>0</v>
      </c>
      <c r="G189" s="448">
        <f t="shared" si="20"/>
        <v>3.0000000000000001E-3</v>
      </c>
      <c r="H189" s="444">
        <f t="shared" si="17"/>
        <v>0</v>
      </c>
    </row>
    <row r="190" spans="1:14" ht="15" x14ac:dyDescent="0.2">
      <c r="A190" s="442">
        <f t="shared" si="14"/>
        <v>41577</v>
      </c>
      <c r="C190" s="443">
        <f t="shared" si="15"/>
        <v>0</v>
      </c>
      <c r="D190" s="443">
        <f t="shared" si="16"/>
        <v>0</v>
      </c>
      <c r="E190" s="444">
        <f t="shared" si="19"/>
        <v>0</v>
      </c>
      <c r="G190" s="448">
        <f t="shared" si="20"/>
        <v>3.0000000000000001E-3</v>
      </c>
      <c r="H190" s="444">
        <f t="shared" si="17"/>
        <v>0</v>
      </c>
    </row>
    <row r="191" spans="1:14" ht="15" x14ac:dyDescent="0.2">
      <c r="A191" s="442">
        <f t="shared" si="14"/>
        <v>41578</v>
      </c>
      <c r="C191" s="443">
        <f t="shared" si="15"/>
        <v>0</v>
      </c>
      <c r="D191" s="443">
        <f t="shared" si="16"/>
        <v>0</v>
      </c>
      <c r="E191" s="444">
        <f t="shared" si="19"/>
        <v>0</v>
      </c>
      <c r="G191" s="448">
        <f t="shared" si="20"/>
        <v>3.0000000000000001E-3</v>
      </c>
      <c r="H191" s="444">
        <f t="shared" si="17"/>
        <v>0</v>
      </c>
      <c r="I191" s="450">
        <f>SUM(H161:H191)</f>
        <v>0</v>
      </c>
      <c r="J191" s="426">
        <v>0</v>
      </c>
      <c r="K191" s="426">
        <f>AVERAGE(H161:H191)</f>
        <v>0</v>
      </c>
      <c r="L191" s="426">
        <f>AVERAGE(H8:H191)</f>
        <v>0</v>
      </c>
      <c r="M191" s="426">
        <f>AVERAGE(E161:E191)</f>
        <v>0</v>
      </c>
      <c r="N191" s="426">
        <f>AVERAGE(E8:E191)</f>
        <v>0</v>
      </c>
    </row>
  </sheetData>
  <mergeCells count="1">
    <mergeCell ref="C4:D4"/>
  </mergeCells>
  <pageMargins left="1" right="0.25" top="0.5" bottom="0.75" header="0.5" footer="0.25"/>
  <pageSetup scale="7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4"/>
  <dimension ref="A1"/>
  <sheetViews>
    <sheetView workbookViewId="0">
      <selection activeCell="M17" sqref="M17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shapeId="1263620" r:id="rId4">
          <objectPr defaultSize="0" r:id="rId5">
            <anchor moveWithCells="1">
              <from>
                <xdr:col>0</xdr:col>
                <xdr:colOff>352425</xdr:colOff>
                <xdr:row>2</xdr:row>
                <xdr:rowOff>28575</xdr:rowOff>
              </from>
              <to>
                <xdr:col>10</xdr:col>
                <xdr:colOff>95250</xdr:colOff>
                <xdr:row>48</xdr:row>
                <xdr:rowOff>123825</xdr:rowOff>
              </to>
            </anchor>
          </objectPr>
        </oleObject>
      </mc:Choice>
      <mc:Fallback>
        <oleObject progId="AcroExch.Document.11" shapeId="1263620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0">
    <pageSetUpPr fitToPage="1"/>
  </sheetPr>
  <dimension ref="A3:AL83"/>
  <sheetViews>
    <sheetView topLeftCell="K1" zoomScaleNormal="100" workbookViewId="0">
      <selection activeCell="M22" sqref="M22"/>
    </sheetView>
  </sheetViews>
  <sheetFormatPr defaultRowHeight="12.75" x14ac:dyDescent="0.2"/>
  <cols>
    <col min="1" max="1" width="22.85546875" customWidth="1"/>
    <col min="2" max="2" width="15.28515625" customWidth="1"/>
    <col min="3" max="3" width="6.28515625" customWidth="1"/>
    <col min="5" max="5" width="4.28515625" customWidth="1"/>
    <col min="6" max="6" width="11.28515625" customWidth="1"/>
    <col min="7" max="7" width="3.28515625" customWidth="1"/>
    <col min="8" max="8" width="9.7109375" customWidth="1"/>
    <col min="9" max="11" width="9.140625" customWidth="1"/>
    <col min="12" max="12" width="22.5703125" bestFit="1" customWidth="1"/>
    <col min="13" max="13" width="32.28515625" customWidth="1"/>
    <col min="14" max="14" width="21.28515625" customWidth="1"/>
    <col min="15" max="15" width="18.7109375" customWidth="1"/>
    <col min="17" max="17" width="26.7109375" customWidth="1"/>
    <col min="18" max="18" width="13.140625" customWidth="1"/>
    <col min="20" max="20" width="24.140625" customWidth="1"/>
    <col min="21" max="22" width="18.42578125" customWidth="1"/>
    <col min="23" max="23" width="23.85546875" customWidth="1"/>
    <col min="24" max="24" width="23.28515625" customWidth="1"/>
    <col min="25" max="25" width="22.7109375" customWidth="1"/>
    <col min="26" max="26" width="22.85546875" customWidth="1"/>
    <col min="27" max="27" width="22.5703125" customWidth="1"/>
    <col min="28" max="28" width="23.42578125" customWidth="1"/>
    <col min="29" max="31" width="22.140625" customWidth="1"/>
    <col min="32" max="32" width="22.7109375" customWidth="1"/>
    <col min="33" max="33" width="22.85546875" customWidth="1"/>
    <col min="34" max="34" width="22.5703125" customWidth="1"/>
    <col min="35" max="35" width="23.42578125" customWidth="1"/>
    <col min="36" max="38" width="22.140625" customWidth="1"/>
    <col min="257" max="257" width="22.85546875" customWidth="1"/>
    <col min="258" max="258" width="15.28515625" customWidth="1"/>
    <col min="259" max="259" width="6.28515625" customWidth="1"/>
    <col min="261" max="261" width="4.28515625" customWidth="1"/>
    <col min="262" max="262" width="11.28515625" customWidth="1"/>
    <col min="263" max="263" width="3.28515625" customWidth="1"/>
    <col min="264" max="264" width="9.7109375" customWidth="1"/>
    <col min="265" max="267" width="9.140625" customWidth="1"/>
    <col min="268" max="268" width="22.5703125" bestFit="1" customWidth="1"/>
    <col min="269" max="269" width="32.28515625" customWidth="1"/>
    <col min="270" max="270" width="21.28515625" customWidth="1"/>
    <col min="271" max="271" width="18.7109375" customWidth="1"/>
    <col min="273" max="273" width="26.7109375" customWidth="1"/>
    <col min="274" max="274" width="13.140625" customWidth="1"/>
    <col min="276" max="276" width="24.140625" customWidth="1"/>
    <col min="277" max="278" width="18.42578125" customWidth="1"/>
    <col min="279" max="279" width="23.85546875" customWidth="1"/>
    <col min="280" max="280" width="23.28515625" customWidth="1"/>
    <col min="281" max="281" width="22.7109375" customWidth="1"/>
    <col min="282" max="282" width="22.85546875" customWidth="1"/>
    <col min="283" max="283" width="22.5703125" customWidth="1"/>
    <col min="284" max="284" width="23.42578125" customWidth="1"/>
    <col min="285" max="287" width="22.140625" customWidth="1"/>
    <col min="288" max="288" width="22.7109375" customWidth="1"/>
    <col min="289" max="289" width="22.85546875" customWidth="1"/>
    <col min="290" max="290" width="22.5703125" customWidth="1"/>
    <col min="291" max="291" width="23.42578125" customWidth="1"/>
    <col min="292" max="294" width="22.140625" customWidth="1"/>
    <col min="513" max="513" width="22.85546875" customWidth="1"/>
    <col min="514" max="514" width="15.28515625" customWidth="1"/>
    <col min="515" max="515" width="6.28515625" customWidth="1"/>
    <col min="517" max="517" width="4.28515625" customWidth="1"/>
    <col min="518" max="518" width="11.28515625" customWidth="1"/>
    <col min="519" max="519" width="3.28515625" customWidth="1"/>
    <col min="520" max="520" width="9.7109375" customWidth="1"/>
    <col min="521" max="523" width="9.140625" customWidth="1"/>
    <col min="524" max="524" width="22.5703125" bestFit="1" customWidth="1"/>
    <col min="525" max="525" width="32.28515625" customWidth="1"/>
    <col min="526" max="526" width="21.28515625" customWidth="1"/>
    <col min="527" max="527" width="18.7109375" customWidth="1"/>
    <col min="529" max="529" width="26.7109375" customWidth="1"/>
    <col min="530" max="530" width="13.140625" customWidth="1"/>
    <col min="532" max="532" width="24.140625" customWidth="1"/>
    <col min="533" max="534" width="18.42578125" customWidth="1"/>
    <col min="535" max="535" width="23.85546875" customWidth="1"/>
    <col min="536" max="536" width="23.28515625" customWidth="1"/>
    <col min="537" max="537" width="22.7109375" customWidth="1"/>
    <col min="538" max="538" width="22.85546875" customWidth="1"/>
    <col min="539" max="539" width="22.5703125" customWidth="1"/>
    <col min="540" max="540" width="23.42578125" customWidth="1"/>
    <col min="541" max="543" width="22.140625" customWidth="1"/>
    <col min="544" max="544" width="22.7109375" customWidth="1"/>
    <col min="545" max="545" width="22.85546875" customWidth="1"/>
    <col min="546" max="546" width="22.5703125" customWidth="1"/>
    <col min="547" max="547" width="23.42578125" customWidth="1"/>
    <col min="548" max="550" width="22.140625" customWidth="1"/>
    <col min="769" max="769" width="22.85546875" customWidth="1"/>
    <col min="770" max="770" width="15.28515625" customWidth="1"/>
    <col min="771" max="771" width="6.28515625" customWidth="1"/>
    <col min="773" max="773" width="4.28515625" customWidth="1"/>
    <col min="774" max="774" width="11.28515625" customWidth="1"/>
    <col min="775" max="775" width="3.28515625" customWidth="1"/>
    <col min="776" max="776" width="9.7109375" customWidth="1"/>
    <col min="777" max="779" width="9.140625" customWidth="1"/>
    <col min="780" max="780" width="22.5703125" bestFit="1" customWidth="1"/>
    <col min="781" max="781" width="32.28515625" customWidth="1"/>
    <col min="782" max="782" width="21.28515625" customWidth="1"/>
    <col min="783" max="783" width="18.7109375" customWidth="1"/>
    <col min="785" max="785" width="26.7109375" customWidth="1"/>
    <col min="786" max="786" width="13.140625" customWidth="1"/>
    <col min="788" max="788" width="24.140625" customWidth="1"/>
    <col min="789" max="790" width="18.42578125" customWidth="1"/>
    <col min="791" max="791" width="23.85546875" customWidth="1"/>
    <col min="792" max="792" width="23.28515625" customWidth="1"/>
    <col min="793" max="793" width="22.7109375" customWidth="1"/>
    <col min="794" max="794" width="22.85546875" customWidth="1"/>
    <col min="795" max="795" width="22.5703125" customWidth="1"/>
    <col min="796" max="796" width="23.42578125" customWidth="1"/>
    <col min="797" max="799" width="22.140625" customWidth="1"/>
    <col min="800" max="800" width="22.7109375" customWidth="1"/>
    <col min="801" max="801" width="22.85546875" customWidth="1"/>
    <col min="802" max="802" width="22.5703125" customWidth="1"/>
    <col min="803" max="803" width="23.42578125" customWidth="1"/>
    <col min="804" max="806" width="22.140625" customWidth="1"/>
    <col min="1025" max="1025" width="22.85546875" customWidth="1"/>
    <col min="1026" max="1026" width="15.28515625" customWidth="1"/>
    <col min="1027" max="1027" width="6.28515625" customWidth="1"/>
    <col min="1029" max="1029" width="4.28515625" customWidth="1"/>
    <col min="1030" max="1030" width="11.28515625" customWidth="1"/>
    <col min="1031" max="1031" width="3.28515625" customWidth="1"/>
    <col min="1032" max="1032" width="9.7109375" customWidth="1"/>
    <col min="1033" max="1035" width="9.140625" customWidth="1"/>
    <col min="1036" max="1036" width="22.5703125" bestFit="1" customWidth="1"/>
    <col min="1037" max="1037" width="32.28515625" customWidth="1"/>
    <col min="1038" max="1038" width="21.28515625" customWidth="1"/>
    <col min="1039" max="1039" width="18.7109375" customWidth="1"/>
    <col min="1041" max="1041" width="26.7109375" customWidth="1"/>
    <col min="1042" max="1042" width="13.140625" customWidth="1"/>
    <col min="1044" max="1044" width="24.140625" customWidth="1"/>
    <col min="1045" max="1046" width="18.42578125" customWidth="1"/>
    <col min="1047" max="1047" width="23.85546875" customWidth="1"/>
    <col min="1048" max="1048" width="23.28515625" customWidth="1"/>
    <col min="1049" max="1049" width="22.7109375" customWidth="1"/>
    <col min="1050" max="1050" width="22.85546875" customWidth="1"/>
    <col min="1051" max="1051" width="22.5703125" customWidth="1"/>
    <col min="1052" max="1052" width="23.42578125" customWidth="1"/>
    <col min="1053" max="1055" width="22.140625" customWidth="1"/>
    <col min="1056" max="1056" width="22.7109375" customWidth="1"/>
    <col min="1057" max="1057" width="22.85546875" customWidth="1"/>
    <col min="1058" max="1058" width="22.5703125" customWidth="1"/>
    <col min="1059" max="1059" width="23.42578125" customWidth="1"/>
    <col min="1060" max="1062" width="22.140625" customWidth="1"/>
    <col min="1281" max="1281" width="22.85546875" customWidth="1"/>
    <col min="1282" max="1282" width="15.28515625" customWidth="1"/>
    <col min="1283" max="1283" width="6.28515625" customWidth="1"/>
    <col min="1285" max="1285" width="4.28515625" customWidth="1"/>
    <col min="1286" max="1286" width="11.28515625" customWidth="1"/>
    <col min="1287" max="1287" width="3.28515625" customWidth="1"/>
    <col min="1288" max="1288" width="9.7109375" customWidth="1"/>
    <col min="1289" max="1291" width="9.140625" customWidth="1"/>
    <col min="1292" max="1292" width="22.5703125" bestFit="1" customWidth="1"/>
    <col min="1293" max="1293" width="32.28515625" customWidth="1"/>
    <col min="1294" max="1294" width="21.28515625" customWidth="1"/>
    <col min="1295" max="1295" width="18.7109375" customWidth="1"/>
    <col min="1297" max="1297" width="26.7109375" customWidth="1"/>
    <col min="1298" max="1298" width="13.140625" customWidth="1"/>
    <col min="1300" max="1300" width="24.140625" customWidth="1"/>
    <col min="1301" max="1302" width="18.42578125" customWidth="1"/>
    <col min="1303" max="1303" width="23.85546875" customWidth="1"/>
    <col min="1304" max="1304" width="23.28515625" customWidth="1"/>
    <col min="1305" max="1305" width="22.7109375" customWidth="1"/>
    <col min="1306" max="1306" width="22.85546875" customWidth="1"/>
    <col min="1307" max="1307" width="22.5703125" customWidth="1"/>
    <col min="1308" max="1308" width="23.42578125" customWidth="1"/>
    <col min="1309" max="1311" width="22.140625" customWidth="1"/>
    <col min="1312" max="1312" width="22.7109375" customWidth="1"/>
    <col min="1313" max="1313" width="22.85546875" customWidth="1"/>
    <col min="1314" max="1314" width="22.5703125" customWidth="1"/>
    <col min="1315" max="1315" width="23.42578125" customWidth="1"/>
    <col min="1316" max="1318" width="22.140625" customWidth="1"/>
    <col min="1537" max="1537" width="22.85546875" customWidth="1"/>
    <col min="1538" max="1538" width="15.28515625" customWidth="1"/>
    <col min="1539" max="1539" width="6.28515625" customWidth="1"/>
    <col min="1541" max="1541" width="4.28515625" customWidth="1"/>
    <col min="1542" max="1542" width="11.28515625" customWidth="1"/>
    <col min="1543" max="1543" width="3.28515625" customWidth="1"/>
    <col min="1544" max="1544" width="9.7109375" customWidth="1"/>
    <col min="1545" max="1547" width="9.140625" customWidth="1"/>
    <col min="1548" max="1548" width="22.5703125" bestFit="1" customWidth="1"/>
    <col min="1549" max="1549" width="32.28515625" customWidth="1"/>
    <col min="1550" max="1550" width="21.28515625" customWidth="1"/>
    <col min="1551" max="1551" width="18.7109375" customWidth="1"/>
    <col min="1553" max="1553" width="26.7109375" customWidth="1"/>
    <col min="1554" max="1554" width="13.140625" customWidth="1"/>
    <col min="1556" max="1556" width="24.140625" customWidth="1"/>
    <col min="1557" max="1558" width="18.42578125" customWidth="1"/>
    <col min="1559" max="1559" width="23.85546875" customWidth="1"/>
    <col min="1560" max="1560" width="23.28515625" customWidth="1"/>
    <col min="1561" max="1561" width="22.7109375" customWidth="1"/>
    <col min="1562" max="1562" width="22.85546875" customWidth="1"/>
    <col min="1563" max="1563" width="22.5703125" customWidth="1"/>
    <col min="1564" max="1564" width="23.42578125" customWidth="1"/>
    <col min="1565" max="1567" width="22.140625" customWidth="1"/>
    <col min="1568" max="1568" width="22.7109375" customWidth="1"/>
    <col min="1569" max="1569" width="22.85546875" customWidth="1"/>
    <col min="1570" max="1570" width="22.5703125" customWidth="1"/>
    <col min="1571" max="1571" width="23.42578125" customWidth="1"/>
    <col min="1572" max="1574" width="22.140625" customWidth="1"/>
    <col min="1793" max="1793" width="22.85546875" customWidth="1"/>
    <col min="1794" max="1794" width="15.28515625" customWidth="1"/>
    <col min="1795" max="1795" width="6.28515625" customWidth="1"/>
    <col min="1797" max="1797" width="4.28515625" customWidth="1"/>
    <col min="1798" max="1798" width="11.28515625" customWidth="1"/>
    <col min="1799" max="1799" width="3.28515625" customWidth="1"/>
    <col min="1800" max="1800" width="9.7109375" customWidth="1"/>
    <col min="1801" max="1803" width="9.140625" customWidth="1"/>
    <col min="1804" max="1804" width="22.5703125" bestFit="1" customWidth="1"/>
    <col min="1805" max="1805" width="32.28515625" customWidth="1"/>
    <col min="1806" max="1806" width="21.28515625" customWidth="1"/>
    <col min="1807" max="1807" width="18.7109375" customWidth="1"/>
    <col min="1809" max="1809" width="26.7109375" customWidth="1"/>
    <col min="1810" max="1810" width="13.140625" customWidth="1"/>
    <col min="1812" max="1812" width="24.140625" customWidth="1"/>
    <col min="1813" max="1814" width="18.42578125" customWidth="1"/>
    <col min="1815" max="1815" width="23.85546875" customWidth="1"/>
    <col min="1816" max="1816" width="23.28515625" customWidth="1"/>
    <col min="1817" max="1817" width="22.7109375" customWidth="1"/>
    <col min="1818" max="1818" width="22.85546875" customWidth="1"/>
    <col min="1819" max="1819" width="22.5703125" customWidth="1"/>
    <col min="1820" max="1820" width="23.42578125" customWidth="1"/>
    <col min="1821" max="1823" width="22.140625" customWidth="1"/>
    <col min="1824" max="1824" width="22.7109375" customWidth="1"/>
    <col min="1825" max="1825" width="22.85546875" customWidth="1"/>
    <col min="1826" max="1826" width="22.5703125" customWidth="1"/>
    <col min="1827" max="1827" width="23.42578125" customWidth="1"/>
    <col min="1828" max="1830" width="22.140625" customWidth="1"/>
    <col min="2049" max="2049" width="22.85546875" customWidth="1"/>
    <col min="2050" max="2050" width="15.28515625" customWidth="1"/>
    <col min="2051" max="2051" width="6.28515625" customWidth="1"/>
    <col min="2053" max="2053" width="4.28515625" customWidth="1"/>
    <col min="2054" max="2054" width="11.28515625" customWidth="1"/>
    <col min="2055" max="2055" width="3.28515625" customWidth="1"/>
    <col min="2056" max="2056" width="9.7109375" customWidth="1"/>
    <col min="2057" max="2059" width="9.140625" customWidth="1"/>
    <col min="2060" max="2060" width="22.5703125" bestFit="1" customWidth="1"/>
    <col min="2061" max="2061" width="32.28515625" customWidth="1"/>
    <col min="2062" max="2062" width="21.28515625" customWidth="1"/>
    <col min="2063" max="2063" width="18.7109375" customWidth="1"/>
    <col min="2065" max="2065" width="26.7109375" customWidth="1"/>
    <col min="2066" max="2066" width="13.140625" customWidth="1"/>
    <col min="2068" max="2068" width="24.140625" customWidth="1"/>
    <col min="2069" max="2070" width="18.42578125" customWidth="1"/>
    <col min="2071" max="2071" width="23.85546875" customWidth="1"/>
    <col min="2072" max="2072" width="23.28515625" customWidth="1"/>
    <col min="2073" max="2073" width="22.7109375" customWidth="1"/>
    <col min="2074" max="2074" width="22.85546875" customWidth="1"/>
    <col min="2075" max="2075" width="22.5703125" customWidth="1"/>
    <col min="2076" max="2076" width="23.42578125" customWidth="1"/>
    <col min="2077" max="2079" width="22.140625" customWidth="1"/>
    <col min="2080" max="2080" width="22.7109375" customWidth="1"/>
    <col min="2081" max="2081" width="22.85546875" customWidth="1"/>
    <col min="2082" max="2082" width="22.5703125" customWidth="1"/>
    <col min="2083" max="2083" width="23.42578125" customWidth="1"/>
    <col min="2084" max="2086" width="22.140625" customWidth="1"/>
    <col min="2305" max="2305" width="22.85546875" customWidth="1"/>
    <col min="2306" max="2306" width="15.28515625" customWidth="1"/>
    <col min="2307" max="2307" width="6.28515625" customWidth="1"/>
    <col min="2309" max="2309" width="4.28515625" customWidth="1"/>
    <col min="2310" max="2310" width="11.28515625" customWidth="1"/>
    <col min="2311" max="2311" width="3.28515625" customWidth="1"/>
    <col min="2312" max="2312" width="9.7109375" customWidth="1"/>
    <col min="2313" max="2315" width="9.140625" customWidth="1"/>
    <col min="2316" max="2316" width="22.5703125" bestFit="1" customWidth="1"/>
    <col min="2317" max="2317" width="32.28515625" customWidth="1"/>
    <col min="2318" max="2318" width="21.28515625" customWidth="1"/>
    <col min="2319" max="2319" width="18.7109375" customWidth="1"/>
    <col min="2321" max="2321" width="26.7109375" customWidth="1"/>
    <col min="2322" max="2322" width="13.140625" customWidth="1"/>
    <col min="2324" max="2324" width="24.140625" customWidth="1"/>
    <col min="2325" max="2326" width="18.42578125" customWidth="1"/>
    <col min="2327" max="2327" width="23.85546875" customWidth="1"/>
    <col min="2328" max="2328" width="23.28515625" customWidth="1"/>
    <col min="2329" max="2329" width="22.7109375" customWidth="1"/>
    <col min="2330" max="2330" width="22.85546875" customWidth="1"/>
    <col min="2331" max="2331" width="22.5703125" customWidth="1"/>
    <col min="2332" max="2332" width="23.42578125" customWidth="1"/>
    <col min="2333" max="2335" width="22.140625" customWidth="1"/>
    <col min="2336" max="2336" width="22.7109375" customWidth="1"/>
    <col min="2337" max="2337" width="22.85546875" customWidth="1"/>
    <col min="2338" max="2338" width="22.5703125" customWidth="1"/>
    <col min="2339" max="2339" width="23.42578125" customWidth="1"/>
    <col min="2340" max="2342" width="22.140625" customWidth="1"/>
    <col min="2561" max="2561" width="22.85546875" customWidth="1"/>
    <col min="2562" max="2562" width="15.28515625" customWidth="1"/>
    <col min="2563" max="2563" width="6.28515625" customWidth="1"/>
    <col min="2565" max="2565" width="4.28515625" customWidth="1"/>
    <col min="2566" max="2566" width="11.28515625" customWidth="1"/>
    <col min="2567" max="2567" width="3.28515625" customWidth="1"/>
    <col min="2568" max="2568" width="9.7109375" customWidth="1"/>
    <col min="2569" max="2571" width="9.140625" customWidth="1"/>
    <col min="2572" max="2572" width="22.5703125" bestFit="1" customWidth="1"/>
    <col min="2573" max="2573" width="32.28515625" customWidth="1"/>
    <col min="2574" max="2574" width="21.28515625" customWidth="1"/>
    <col min="2575" max="2575" width="18.7109375" customWidth="1"/>
    <col min="2577" max="2577" width="26.7109375" customWidth="1"/>
    <col min="2578" max="2578" width="13.140625" customWidth="1"/>
    <col min="2580" max="2580" width="24.140625" customWidth="1"/>
    <col min="2581" max="2582" width="18.42578125" customWidth="1"/>
    <col min="2583" max="2583" width="23.85546875" customWidth="1"/>
    <col min="2584" max="2584" width="23.28515625" customWidth="1"/>
    <col min="2585" max="2585" width="22.7109375" customWidth="1"/>
    <col min="2586" max="2586" width="22.85546875" customWidth="1"/>
    <col min="2587" max="2587" width="22.5703125" customWidth="1"/>
    <col min="2588" max="2588" width="23.42578125" customWidth="1"/>
    <col min="2589" max="2591" width="22.140625" customWidth="1"/>
    <col min="2592" max="2592" width="22.7109375" customWidth="1"/>
    <col min="2593" max="2593" width="22.85546875" customWidth="1"/>
    <col min="2594" max="2594" width="22.5703125" customWidth="1"/>
    <col min="2595" max="2595" width="23.42578125" customWidth="1"/>
    <col min="2596" max="2598" width="22.140625" customWidth="1"/>
    <col min="2817" max="2817" width="22.85546875" customWidth="1"/>
    <col min="2818" max="2818" width="15.28515625" customWidth="1"/>
    <col min="2819" max="2819" width="6.28515625" customWidth="1"/>
    <col min="2821" max="2821" width="4.28515625" customWidth="1"/>
    <col min="2822" max="2822" width="11.28515625" customWidth="1"/>
    <col min="2823" max="2823" width="3.28515625" customWidth="1"/>
    <col min="2824" max="2824" width="9.7109375" customWidth="1"/>
    <col min="2825" max="2827" width="9.140625" customWidth="1"/>
    <col min="2828" max="2828" width="22.5703125" bestFit="1" customWidth="1"/>
    <col min="2829" max="2829" width="32.28515625" customWidth="1"/>
    <col min="2830" max="2830" width="21.28515625" customWidth="1"/>
    <col min="2831" max="2831" width="18.7109375" customWidth="1"/>
    <col min="2833" max="2833" width="26.7109375" customWidth="1"/>
    <col min="2834" max="2834" width="13.140625" customWidth="1"/>
    <col min="2836" max="2836" width="24.140625" customWidth="1"/>
    <col min="2837" max="2838" width="18.42578125" customWidth="1"/>
    <col min="2839" max="2839" width="23.85546875" customWidth="1"/>
    <col min="2840" max="2840" width="23.28515625" customWidth="1"/>
    <col min="2841" max="2841" width="22.7109375" customWidth="1"/>
    <col min="2842" max="2842" width="22.85546875" customWidth="1"/>
    <col min="2843" max="2843" width="22.5703125" customWidth="1"/>
    <col min="2844" max="2844" width="23.42578125" customWidth="1"/>
    <col min="2845" max="2847" width="22.140625" customWidth="1"/>
    <col min="2848" max="2848" width="22.7109375" customWidth="1"/>
    <col min="2849" max="2849" width="22.85546875" customWidth="1"/>
    <col min="2850" max="2850" width="22.5703125" customWidth="1"/>
    <col min="2851" max="2851" width="23.42578125" customWidth="1"/>
    <col min="2852" max="2854" width="22.140625" customWidth="1"/>
    <col min="3073" max="3073" width="22.85546875" customWidth="1"/>
    <col min="3074" max="3074" width="15.28515625" customWidth="1"/>
    <col min="3075" max="3075" width="6.28515625" customWidth="1"/>
    <col min="3077" max="3077" width="4.28515625" customWidth="1"/>
    <col min="3078" max="3078" width="11.28515625" customWidth="1"/>
    <col min="3079" max="3079" width="3.28515625" customWidth="1"/>
    <col min="3080" max="3080" width="9.7109375" customWidth="1"/>
    <col min="3081" max="3083" width="9.140625" customWidth="1"/>
    <col min="3084" max="3084" width="22.5703125" bestFit="1" customWidth="1"/>
    <col min="3085" max="3085" width="32.28515625" customWidth="1"/>
    <col min="3086" max="3086" width="21.28515625" customWidth="1"/>
    <col min="3087" max="3087" width="18.7109375" customWidth="1"/>
    <col min="3089" max="3089" width="26.7109375" customWidth="1"/>
    <col min="3090" max="3090" width="13.140625" customWidth="1"/>
    <col min="3092" max="3092" width="24.140625" customWidth="1"/>
    <col min="3093" max="3094" width="18.42578125" customWidth="1"/>
    <col min="3095" max="3095" width="23.85546875" customWidth="1"/>
    <col min="3096" max="3096" width="23.28515625" customWidth="1"/>
    <col min="3097" max="3097" width="22.7109375" customWidth="1"/>
    <col min="3098" max="3098" width="22.85546875" customWidth="1"/>
    <col min="3099" max="3099" width="22.5703125" customWidth="1"/>
    <col min="3100" max="3100" width="23.42578125" customWidth="1"/>
    <col min="3101" max="3103" width="22.140625" customWidth="1"/>
    <col min="3104" max="3104" width="22.7109375" customWidth="1"/>
    <col min="3105" max="3105" width="22.85546875" customWidth="1"/>
    <col min="3106" max="3106" width="22.5703125" customWidth="1"/>
    <col min="3107" max="3107" width="23.42578125" customWidth="1"/>
    <col min="3108" max="3110" width="22.140625" customWidth="1"/>
    <col min="3329" max="3329" width="22.85546875" customWidth="1"/>
    <col min="3330" max="3330" width="15.28515625" customWidth="1"/>
    <col min="3331" max="3331" width="6.28515625" customWidth="1"/>
    <col min="3333" max="3333" width="4.28515625" customWidth="1"/>
    <col min="3334" max="3334" width="11.28515625" customWidth="1"/>
    <col min="3335" max="3335" width="3.28515625" customWidth="1"/>
    <col min="3336" max="3336" width="9.7109375" customWidth="1"/>
    <col min="3337" max="3339" width="9.140625" customWidth="1"/>
    <col min="3340" max="3340" width="22.5703125" bestFit="1" customWidth="1"/>
    <col min="3341" max="3341" width="32.28515625" customWidth="1"/>
    <col min="3342" max="3342" width="21.28515625" customWidth="1"/>
    <col min="3343" max="3343" width="18.7109375" customWidth="1"/>
    <col min="3345" max="3345" width="26.7109375" customWidth="1"/>
    <col min="3346" max="3346" width="13.140625" customWidth="1"/>
    <col min="3348" max="3348" width="24.140625" customWidth="1"/>
    <col min="3349" max="3350" width="18.42578125" customWidth="1"/>
    <col min="3351" max="3351" width="23.85546875" customWidth="1"/>
    <col min="3352" max="3352" width="23.28515625" customWidth="1"/>
    <col min="3353" max="3353" width="22.7109375" customWidth="1"/>
    <col min="3354" max="3354" width="22.85546875" customWidth="1"/>
    <col min="3355" max="3355" width="22.5703125" customWidth="1"/>
    <col min="3356" max="3356" width="23.42578125" customWidth="1"/>
    <col min="3357" max="3359" width="22.140625" customWidth="1"/>
    <col min="3360" max="3360" width="22.7109375" customWidth="1"/>
    <col min="3361" max="3361" width="22.85546875" customWidth="1"/>
    <col min="3362" max="3362" width="22.5703125" customWidth="1"/>
    <col min="3363" max="3363" width="23.42578125" customWidth="1"/>
    <col min="3364" max="3366" width="22.140625" customWidth="1"/>
    <col min="3585" max="3585" width="22.85546875" customWidth="1"/>
    <col min="3586" max="3586" width="15.28515625" customWidth="1"/>
    <col min="3587" max="3587" width="6.28515625" customWidth="1"/>
    <col min="3589" max="3589" width="4.28515625" customWidth="1"/>
    <col min="3590" max="3590" width="11.28515625" customWidth="1"/>
    <col min="3591" max="3591" width="3.28515625" customWidth="1"/>
    <col min="3592" max="3592" width="9.7109375" customWidth="1"/>
    <col min="3593" max="3595" width="9.140625" customWidth="1"/>
    <col min="3596" max="3596" width="22.5703125" bestFit="1" customWidth="1"/>
    <col min="3597" max="3597" width="32.28515625" customWidth="1"/>
    <col min="3598" max="3598" width="21.28515625" customWidth="1"/>
    <col min="3599" max="3599" width="18.7109375" customWidth="1"/>
    <col min="3601" max="3601" width="26.7109375" customWidth="1"/>
    <col min="3602" max="3602" width="13.140625" customWidth="1"/>
    <col min="3604" max="3604" width="24.140625" customWidth="1"/>
    <col min="3605" max="3606" width="18.42578125" customWidth="1"/>
    <col min="3607" max="3607" width="23.85546875" customWidth="1"/>
    <col min="3608" max="3608" width="23.28515625" customWidth="1"/>
    <col min="3609" max="3609" width="22.7109375" customWidth="1"/>
    <col min="3610" max="3610" width="22.85546875" customWidth="1"/>
    <col min="3611" max="3611" width="22.5703125" customWidth="1"/>
    <col min="3612" max="3612" width="23.42578125" customWidth="1"/>
    <col min="3613" max="3615" width="22.140625" customWidth="1"/>
    <col min="3616" max="3616" width="22.7109375" customWidth="1"/>
    <col min="3617" max="3617" width="22.85546875" customWidth="1"/>
    <col min="3618" max="3618" width="22.5703125" customWidth="1"/>
    <col min="3619" max="3619" width="23.42578125" customWidth="1"/>
    <col min="3620" max="3622" width="22.140625" customWidth="1"/>
    <col min="3841" max="3841" width="22.85546875" customWidth="1"/>
    <col min="3842" max="3842" width="15.28515625" customWidth="1"/>
    <col min="3843" max="3843" width="6.28515625" customWidth="1"/>
    <col min="3845" max="3845" width="4.28515625" customWidth="1"/>
    <col min="3846" max="3846" width="11.28515625" customWidth="1"/>
    <col min="3847" max="3847" width="3.28515625" customWidth="1"/>
    <col min="3848" max="3848" width="9.7109375" customWidth="1"/>
    <col min="3849" max="3851" width="9.140625" customWidth="1"/>
    <col min="3852" max="3852" width="22.5703125" bestFit="1" customWidth="1"/>
    <col min="3853" max="3853" width="32.28515625" customWidth="1"/>
    <col min="3854" max="3854" width="21.28515625" customWidth="1"/>
    <col min="3855" max="3855" width="18.7109375" customWidth="1"/>
    <col min="3857" max="3857" width="26.7109375" customWidth="1"/>
    <col min="3858" max="3858" width="13.140625" customWidth="1"/>
    <col min="3860" max="3860" width="24.140625" customWidth="1"/>
    <col min="3861" max="3862" width="18.42578125" customWidth="1"/>
    <col min="3863" max="3863" width="23.85546875" customWidth="1"/>
    <col min="3864" max="3864" width="23.28515625" customWidth="1"/>
    <col min="3865" max="3865" width="22.7109375" customWidth="1"/>
    <col min="3866" max="3866" width="22.85546875" customWidth="1"/>
    <col min="3867" max="3867" width="22.5703125" customWidth="1"/>
    <col min="3868" max="3868" width="23.42578125" customWidth="1"/>
    <col min="3869" max="3871" width="22.140625" customWidth="1"/>
    <col min="3872" max="3872" width="22.7109375" customWidth="1"/>
    <col min="3873" max="3873" width="22.85546875" customWidth="1"/>
    <col min="3874" max="3874" width="22.5703125" customWidth="1"/>
    <col min="3875" max="3875" width="23.42578125" customWidth="1"/>
    <col min="3876" max="3878" width="22.140625" customWidth="1"/>
    <col min="4097" max="4097" width="22.85546875" customWidth="1"/>
    <col min="4098" max="4098" width="15.28515625" customWidth="1"/>
    <col min="4099" max="4099" width="6.28515625" customWidth="1"/>
    <col min="4101" max="4101" width="4.28515625" customWidth="1"/>
    <col min="4102" max="4102" width="11.28515625" customWidth="1"/>
    <col min="4103" max="4103" width="3.28515625" customWidth="1"/>
    <col min="4104" max="4104" width="9.7109375" customWidth="1"/>
    <col min="4105" max="4107" width="9.140625" customWidth="1"/>
    <col min="4108" max="4108" width="22.5703125" bestFit="1" customWidth="1"/>
    <col min="4109" max="4109" width="32.28515625" customWidth="1"/>
    <col min="4110" max="4110" width="21.28515625" customWidth="1"/>
    <col min="4111" max="4111" width="18.7109375" customWidth="1"/>
    <col min="4113" max="4113" width="26.7109375" customWidth="1"/>
    <col min="4114" max="4114" width="13.140625" customWidth="1"/>
    <col min="4116" max="4116" width="24.140625" customWidth="1"/>
    <col min="4117" max="4118" width="18.42578125" customWidth="1"/>
    <col min="4119" max="4119" width="23.85546875" customWidth="1"/>
    <col min="4120" max="4120" width="23.28515625" customWidth="1"/>
    <col min="4121" max="4121" width="22.7109375" customWidth="1"/>
    <col min="4122" max="4122" width="22.85546875" customWidth="1"/>
    <col min="4123" max="4123" width="22.5703125" customWidth="1"/>
    <col min="4124" max="4124" width="23.42578125" customWidth="1"/>
    <col min="4125" max="4127" width="22.140625" customWidth="1"/>
    <col min="4128" max="4128" width="22.7109375" customWidth="1"/>
    <col min="4129" max="4129" width="22.85546875" customWidth="1"/>
    <col min="4130" max="4130" width="22.5703125" customWidth="1"/>
    <col min="4131" max="4131" width="23.42578125" customWidth="1"/>
    <col min="4132" max="4134" width="22.140625" customWidth="1"/>
    <col min="4353" max="4353" width="22.85546875" customWidth="1"/>
    <col min="4354" max="4354" width="15.28515625" customWidth="1"/>
    <col min="4355" max="4355" width="6.28515625" customWidth="1"/>
    <col min="4357" max="4357" width="4.28515625" customWidth="1"/>
    <col min="4358" max="4358" width="11.28515625" customWidth="1"/>
    <col min="4359" max="4359" width="3.28515625" customWidth="1"/>
    <col min="4360" max="4360" width="9.7109375" customWidth="1"/>
    <col min="4361" max="4363" width="9.140625" customWidth="1"/>
    <col min="4364" max="4364" width="22.5703125" bestFit="1" customWidth="1"/>
    <col min="4365" max="4365" width="32.28515625" customWidth="1"/>
    <col min="4366" max="4366" width="21.28515625" customWidth="1"/>
    <col min="4367" max="4367" width="18.7109375" customWidth="1"/>
    <col min="4369" max="4369" width="26.7109375" customWidth="1"/>
    <col min="4370" max="4370" width="13.140625" customWidth="1"/>
    <col min="4372" max="4372" width="24.140625" customWidth="1"/>
    <col min="4373" max="4374" width="18.42578125" customWidth="1"/>
    <col min="4375" max="4375" width="23.85546875" customWidth="1"/>
    <col min="4376" max="4376" width="23.28515625" customWidth="1"/>
    <col min="4377" max="4377" width="22.7109375" customWidth="1"/>
    <col min="4378" max="4378" width="22.85546875" customWidth="1"/>
    <col min="4379" max="4379" width="22.5703125" customWidth="1"/>
    <col min="4380" max="4380" width="23.42578125" customWidth="1"/>
    <col min="4381" max="4383" width="22.140625" customWidth="1"/>
    <col min="4384" max="4384" width="22.7109375" customWidth="1"/>
    <col min="4385" max="4385" width="22.85546875" customWidth="1"/>
    <col min="4386" max="4386" width="22.5703125" customWidth="1"/>
    <col min="4387" max="4387" width="23.42578125" customWidth="1"/>
    <col min="4388" max="4390" width="22.140625" customWidth="1"/>
    <col min="4609" max="4609" width="22.85546875" customWidth="1"/>
    <col min="4610" max="4610" width="15.28515625" customWidth="1"/>
    <col min="4611" max="4611" width="6.28515625" customWidth="1"/>
    <col min="4613" max="4613" width="4.28515625" customWidth="1"/>
    <col min="4614" max="4614" width="11.28515625" customWidth="1"/>
    <col min="4615" max="4615" width="3.28515625" customWidth="1"/>
    <col min="4616" max="4616" width="9.7109375" customWidth="1"/>
    <col min="4617" max="4619" width="9.140625" customWidth="1"/>
    <col min="4620" max="4620" width="22.5703125" bestFit="1" customWidth="1"/>
    <col min="4621" max="4621" width="32.28515625" customWidth="1"/>
    <col min="4622" max="4622" width="21.28515625" customWidth="1"/>
    <col min="4623" max="4623" width="18.7109375" customWidth="1"/>
    <col min="4625" max="4625" width="26.7109375" customWidth="1"/>
    <col min="4626" max="4626" width="13.140625" customWidth="1"/>
    <col min="4628" max="4628" width="24.140625" customWidth="1"/>
    <col min="4629" max="4630" width="18.42578125" customWidth="1"/>
    <col min="4631" max="4631" width="23.85546875" customWidth="1"/>
    <col min="4632" max="4632" width="23.28515625" customWidth="1"/>
    <col min="4633" max="4633" width="22.7109375" customWidth="1"/>
    <col min="4634" max="4634" width="22.85546875" customWidth="1"/>
    <col min="4635" max="4635" width="22.5703125" customWidth="1"/>
    <col min="4636" max="4636" width="23.42578125" customWidth="1"/>
    <col min="4637" max="4639" width="22.140625" customWidth="1"/>
    <col min="4640" max="4640" width="22.7109375" customWidth="1"/>
    <col min="4641" max="4641" width="22.85546875" customWidth="1"/>
    <col min="4642" max="4642" width="22.5703125" customWidth="1"/>
    <col min="4643" max="4643" width="23.42578125" customWidth="1"/>
    <col min="4644" max="4646" width="22.140625" customWidth="1"/>
    <col min="4865" max="4865" width="22.85546875" customWidth="1"/>
    <col min="4866" max="4866" width="15.28515625" customWidth="1"/>
    <col min="4867" max="4867" width="6.28515625" customWidth="1"/>
    <col min="4869" max="4869" width="4.28515625" customWidth="1"/>
    <col min="4870" max="4870" width="11.28515625" customWidth="1"/>
    <col min="4871" max="4871" width="3.28515625" customWidth="1"/>
    <col min="4872" max="4872" width="9.7109375" customWidth="1"/>
    <col min="4873" max="4875" width="9.140625" customWidth="1"/>
    <col min="4876" max="4876" width="22.5703125" bestFit="1" customWidth="1"/>
    <col min="4877" max="4877" width="32.28515625" customWidth="1"/>
    <col min="4878" max="4878" width="21.28515625" customWidth="1"/>
    <col min="4879" max="4879" width="18.7109375" customWidth="1"/>
    <col min="4881" max="4881" width="26.7109375" customWidth="1"/>
    <col min="4882" max="4882" width="13.140625" customWidth="1"/>
    <col min="4884" max="4884" width="24.140625" customWidth="1"/>
    <col min="4885" max="4886" width="18.42578125" customWidth="1"/>
    <col min="4887" max="4887" width="23.85546875" customWidth="1"/>
    <col min="4888" max="4888" width="23.28515625" customWidth="1"/>
    <col min="4889" max="4889" width="22.7109375" customWidth="1"/>
    <col min="4890" max="4890" width="22.85546875" customWidth="1"/>
    <col min="4891" max="4891" width="22.5703125" customWidth="1"/>
    <col min="4892" max="4892" width="23.42578125" customWidth="1"/>
    <col min="4893" max="4895" width="22.140625" customWidth="1"/>
    <col min="4896" max="4896" width="22.7109375" customWidth="1"/>
    <col min="4897" max="4897" width="22.85546875" customWidth="1"/>
    <col min="4898" max="4898" width="22.5703125" customWidth="1"/>
    <col min="4899" max="4899" width="23.42578125" customWidth="1"/>
    <col min="4900" max="4902" width="22.140625" customWidth="1"/>
    <col min="5121" max="5121" width="22.85546875" customWidth="1"/>
    <col min="5122" max="5122" width="15.28515625" customWidth="1"/>
    <col min="5123" max="5123" width="6.28515625" customWidth="1"/>
    <col min="5125" max="5125" width="4.28515625" customWidth="1"/>
    <col min="5126" max="5126" width="11.28515625" customWidth="1"/>
    <col min="5127" max="5127" width="3.28515625" customWidth="1"/>
    <col min="5128" max="5128" width="9.7109375" customWidth="1"/>
    <col min="5129" max="5131" width="9.140625" customWidth="1"/>
    <col min="5132" max="5132" width="22.5703125" bestFit="1" customWidth="1"/>
    <col min="5133" max="5133" width="32.28515625" customWidth="1"/>
    <col min="5134" max="5134" width="21.28515625" customWidth="1"/>
    <col min="5135" max="5135" width="18.7109375" customWidth="1"/>
    <col min="5137" max="5137" width="26.7109375" customWidth="1"/>
    <col min="5138" max="5138" width="13.140625" customWidth="1"/>
    <col min="5140" max="5140" width="24.140625" customWidth="1"/>
    <col min="5141" max="5142" width="18.42578125" customWidth="1"/>
    <col min="5143" max="5143" width="23.85546875" customWidth="1"/>
    <col min="5144" max="5144" width="23.28515625" customWidth="1"/>
    <col min="5145" max="5145" width="22.7109375" customWidth="1"/>
    <col min="5146" max="5146" width="22.85546875" customWidth="1"/>
    <col min="5147" max="5147" width="22.5703125" customWidth="1"/>
    <col min="5148" max="5148" width="23.42578125" customWidth="1"/>
    <col min="5149" max="5151" width="22.140625" customWidth="1"/>
    <col min="5152" max="5152" width="22.7109375" customWidth="1"/>
    <col min="5153" max="5153" width="22.85546875" customWidth="1"/>
    <col min="5154" max="5154" width="22.5703125" customWidth="1"/>
    <col min="5155" max="5155" width="23.42578125" customWidth="1"/>
    <col min="5156" max="5158" width="22.140625" customWidth="1"/>
    <col min="5377" max="5377" width="22.85546875" customWidth="1"/>
    <col min="5378" max="5378" width="15.28515625" customWidth="1"/>
    <col min="5379" max="5379" width="6.28515625" customWidth="1"/>
    <col min="5381" max="5381" width="4.28515625" customWidth="1"/>
    <col min="5382" max="5382" width="11.28515625" customWidth="1"/>
    <col min="5383" max="5383" width="3.28515625" customWidth="1"/>
    <col min="5384" max="5384" width="9.7109375" customWidth="1"/>
    <col min="5385" max="5387" width="9.140625" customWidth="1"/>
    <col min="5388" max="5388" width="22.5703125" bestFit="1" customWidth="1"/>
    <col min="5389" max="5389" width="32.28515625" customWidth="1"/>
    <col min="5390" max="5390" width="21.28515625" customWidth="1"/>
    <col min="5391" max="5391" width="18.7109375" customWidth="1"/>
    <col min="5393" max="5393" width="26.7109375" customWidth="1"/>
    <col min="5394" max="5394" width="13.140625" customWidth="1"/>
    <col min="5396" max="5396" width="24.140625" customWidth="1"/>
    <col min="5397" max="5398" width="18.42578125" customWidth="1"/>
    <col min="5399" max="5399" width="23.85546875" customWidth="1"/>
    <col min="5400" max="5400" width="23.28515625" customWidth="1"/>
    <col min="5401" max="5401" width="22.7109375" customWidth="1"/>
    <col min="5402" max="5402" width="22.85546875" customWidth="1"/>
    <col min="5403" max="5403" width="22.5703125" customWidth="1"/>
    <col min="5404" max="5404" width="23.42578125" customWidth="1"/>
    <col min="5405" max="5407" width="22.140625" customWidth="1"/>
    <col min="5408" max="5408" width="22.7109375" customWidth="1"/>
    <col min="5409" max="5409" width="22.85546875" customWidth="1"/>
    <col min="5410" max="5410" width="22.5703125" customWidth="1"/>
    <col min="5411" max="5411" width="23.42578125" customWidth="1"/>
    <col min="5412" max="5414" width="22.140625" customWidth="1"/>
    <col min="5633" max="5633" width="22.85546875" customWidth="1"/>
    <col min="5634" max="5634" width="15.28515625" customWidth="1"/>
    <col min="5635" max="5635" width="6.28515625" customWidth="1"/>
    <col min="5637" max="5637" width="4.28515625" customWidth="1"/>
    <col min="5638" max="5638" width="11.28515625" customWidth="1"/>
    <col min="5639" max="5639" width="3.28515625" customWidth="1"/>
    <col min="5640" max="5640" width="9.7109375" customWidth="1"/>
    <col min="5641" max="5643" width="9.140625" customWidth="1"/>
    <col min="5644" max="5644" width="22.5703125" bestFit="1" customWidth="1"/>
    <col min="5645" max="5645" width="32.28515625" customWidth="1"/>
    <col min="5646" max="5646" width="21.28515625" customWidth="1"/>
    <col min="5647" max="5647" width="18.7109375" customWidth="1"/>
    <col min="5649" max="5649" width="26.7109375" customWidth="1"/>
    <col min="5650" max="5650" width="13.140625" customWidth="1"/>
    <col min="5652" max="5652" width="24.140625" customWidth="1"/>
    <col min="5653" max="5654" width="18.42578125" customWidth="1"/>
    <col min="5655" max="5655" width="23.85546875" customWidth="1"/>
    <col min="5656" max="5656" width="23.28515625" customWidth="1"/>
    <col min="5657" max="5657" width="22.7109375" customWidth="1"/>
    <col min="5658" max="5658" width="22.85546875" customWidth="1"/>
    <col min="5659" max="5659" width="22.5703125" customWidth="1"/>
    <col min="5660" max="5660" width="23.42578125" customWidth="1"/>
    <col min="5661" max="5663" width="22.140625" customWidth="1"/>
    <col min="5664" max="5664" width="22.7109375" customWidth="1"/>
    <col min="5665" max="5665" width="22.85546875" customWidth="1"/>
    <col min="5666" max="5666" width="22.5703125" customWidth="1"/>
    <col min="5667" max="5667" width="23.42578125" customWidth="1"/>
    <col min="5668" max="5670" width="22.140625" customWidth="1"/>
    <col min="5889" max="5889" width="22.85546875" customWidth="1"/>
    <col min="5890" max="5890" width="15.28515625" customWidth="1"/>
    <col min="5891" max="5891" width="6.28515625" customWidth="1"/>
    <col min="5893" max="5893" width="4.28515625" customWidth="1"/>
    <col min="5894" max="5894" width="11.28515625" customWidth="1"/>
    <col min="5895" max="5895" width="3.28515625" customWidth="1"/>
    <col min="5896" max="5896" width="9.7109375" customWidth="1"/>
    <col min="5897" max="5899" width="9.140625" customWidth="1"/>
    <col min="5900" max="5900" width="22.5703125" bestFit="1" customWidth="1"/>
    <col min="5901" max="5901" width="32.28515625" customWidth="1"/>
    <col min="5902" max="5902" width="21.28515625" customWidth="1"/>
    <col min="5903" max="5903" width="18.7109375" customWidth="1"/>
    <col min="5905" max="5905" width="26.7109375" customWidth="1"/>
    <col min="5906" max="5906" width="13.140625" customWidth="1"/>
    <col min="5908" max="5908" width="24.140625" customWidth="1"/>
    <col min="5909" max="5910" width="18.42578125" customWidth="1"/>
    <col min="5911" max="5911" width="23.85546875" customWidth="1"/>
    <col min="5912" max="5912" width="23.28515625" customWidth="1"/>
    <col min="5913" max="5913" width="22.7109375" customWidth="1"/>
    <col min="5914" max="5914" width="22.85546875" customWidth="1"/>
    <col min="5915" max="5915" width="22.5703125" customWidth="1"/>
    <col min="5916" max="5916" width="23.42578125" customWidth="1"/>
    <col min="5917" max="5919" width="22.140625" customWidth="1"/>
    <col min="5920" max="5920" width="22.7109375" customWidth="1"/>
    <col min="5921" max="5921" width="22.85546875" customWidth="1"/>
    <col min="5922" max="5922" width="22.5703125" customWidth="1"/>
    <col min="5923" max="5923" width="23.42578125" customWidth="1"/>
    <col min="5924" max="5926" width="22.140625" customWidth="1"/>
    <col min="6145" max="6145" width="22.85546875" customWidth="1"/>
    <col min="6146" max="6146" width="15.28515625" customWidth="1"/>
    <col min="6147" max="6147" width="6.28515625" customWidth="1"/>
    <col min="6149" max="6149" width="4.28515625" customWidth="1"/>
    <col min="6150" max="6150" width="11.28515625" customWidth="1"/>
    <col min="6151" max="6151" width="3.28515625" customWidth="1"/>
    <col min="6152" max="6152" width="9.7109375" customWidth="1"/>
    <col min="6153" max="6155" width="9.140625" customWidth="1"/>
    <col min="6156" max="6156" width="22.5703125" bestFit="1" customWidth="1"/>
    <col min="6157" max="6157" width="32.28515625" customWidth="1"/>
    <col min="6158" max="6158" width="21.28515625" customWidth="1"/>
    <col min="6159" max="6159" width="18.7109375" customWidth="1"/>
    <col min="6161" max="6161" width="26.7109375" customWidth="1"/>
    <col min="6162" max="6162" width="13.140625" customWidth="1"/>
    <col min="6164" max="6164" width="24.140625" customWidth="1"/>
    <col min="6165" max="6166" width="18.42578125" customWidth="1"/>
    <col min="6167" max="6167" width="23.85546875" customWidth="1"/>
    <col min="6168" max="6168" width="23.28515625" customWidth="1"/>
    <col min="6169" max="6169" width="22.7109375" customWidth="1"/>
    <col min="6170" max="6170" width="22.85546875" customWidth="1"/>
    <col min="6171" max="6171" width="22.5703125" customWidth="1"/>
    <col min="6172" max="6172" width="23.42578125" customWidth="1"/>
    <col min="6173" max="6175" width="22.140625" customWidth="1"/>
    <col min="6176" max="6176" width="22.7109375" customWidth="1"/>
    <col min="6177" max="6177" width="22.85546875" customWidth="1"/>
    <col min="6178" max="6178" width="22.5703125" customWidth="1"/>
    <col min="6179" max="6179" width="23.42578125" customWidth="1"/>
    <col min="6180" max="6182" width="22.140625" customWidth="1"/>
    <col min="6401" max="6401" width="22.85546875" customWidth="1"/>
    <col min="6402" max="6402" width="15.28515625" customWidth="1"/>
    <col min="6403" max="6403" width="6.28515625" customWidth="1"/>
    <col min="6405" max="6405" width="4.28515625" customWidth="1"/>
    <col min="6406" max="6406" width="11.28515625" customWidth="1"/>
    <col min="6407" max="6407" width="3.28515625" customWidth="1"/>
    <col min="6408" max="6408" width="9.7109375" customWidth="1"/>
    <col min="6409" max="6411" width="9.140625" customWidth="1"/>
    <col min="6412" max="6412" width="22.5703125" bestFit="1" customWidth="1"/>
    <col min="6413" max="6413" width="32.28515625" customWidth="1"/>
    <col min="6414" max="6414" width="21.28515625" customWidth="1"/>
    <col min="6415" max="6415" width="18.7109375" customWidth="1"/>
    <col min="6417" max="6417" width="26.7109375" customWidth="1"/>
    <col min="6418" max="6418" width="13.140625" customWidth="1"/>
    <col min="6420" max="6420" width="24.140625" customWidth="1"/>
    <col min="6421" max="6422" width="18.42578125" customWidth="1"/>
    <col min="6423" max="6423" width="23.85546875" customWidth="1"/>
    <col min="6424" max="6424" width="23.28515625" customWidth="1"/>
    <col min="6425" max="6425" width="22.7109375" customWidth="1"/>
    <col min="6426" max="6426" width="22.85546875" customWidth="1"/>
    <col min="6427" max="6427" width="22.5703125" customWidth="1"/>
    <col min="6428" max="6428" width="23.42578125" customWidth="1"/>
    <col min="6429" max="6431" width="22.140625" customWidth="1"/>
    <col min="6432" max="6432" width="22.7109375" customWidth="1"/>
    <col min="6433" max="6433" width="22.85546875" customWidth="1"/>
    <col min="6434" max="6434" width="22.5703125" customWidth="1"/>
    <col min="6435" max="6435" width="23.42578125" customWidth="1"/>
    <col min="6436" max="6438" width="22.140625" customWidth="1"/>
    <col min="6657" max="6657" width="22.85546875" customWidth="1"/>
    <col min="6658" max="6658" width="15.28515625" customWidth="1"/>
    <col min="6659" max="6659" width="6.28515625" customWidth="1"/>
    <col min="6661" max="6661" width="4.28515625" customWidth="1"/>
    <col min="6662" max="6662" width="11.28515625" customWidth="1"/>
    <col min="6663" max="6663" width="3.28515625" customWidth="1"/>
    <col min="6664" max="6664" width="9.7109375" customWidth="1"/>
    <col min="6665" max="6667" width="9.140625" customWidth="1"/>
    <col min="6668" max="6668" width="22.5703125" bestFit="1" customWidth="1"/>
    <col min="6669" max="6669" width="32.28515625" customWidth="1"/>
    <col min="6670" max="6670" width="21.28515625" customWidth="1"/>
    <col min="6671" max="6671" width="18.7109375" customWidth="1"/>
    <col min="6673" max="6673" width="26.7109375" customWidth="1"/>
    <col min="6674" max="6674" width="13.140625" customWidth="1"/>
    <col min="6676" max="6676" width="24.140625" customWidth="1"/>
    <col min="6677" max="6678" width="18.42578125" customWidth="1"/>
    <col min="6679" max="6679" width="23.85546875" customWidth="1"/>
    <col min="6680" max="6680" width="23.28515625" customWidth="1"/>
    <col min="6681" max="6681" width="22.7109375" customWidth="1"/>
    <col min="6682" max="6682" width="22.85546875" customWidth="1"/>
    <col min="6683" max="6683" width="22.5703125" customWidth="1"/>
    <col min="6684" max="6684" width="23.42578125" customWidth="1"/>
    <col min="6685" max="6687" width="22.140625" customWidth="1"/>
    <col min="6688" max="6688" width="22.7109375" customWidth="1"/>
    <col min="6689" max="6689" width="22.85546875" customWidth="1"/>
    <col min="6690" max="6690" width="22.5703125" customWidth="1"/>
    <col min="6691" max="6691" width="23.42578125" customWidth="1"/>
    <col min="6692" max="6694" width="22.140625" customWidth="1"/>
    <col min="6913" max="6913" width="22.85546875" customWidth="1"/>
    <col min="6914" max="6914" width="15.28515625" customWidth="1"/>
    <col min="6915" max="6915" width="6.28515625" customWidth="1"/>
    <col min="6917" max="6917" width="4.28515625" customWidth="1"/>
    <col min="6918" max="6918" width="11.28515625" customWidth="1"/>
    <col min="6919" max="6919" width="3.28515625" customWidth="1"/>
    <col min="6920" max="6920" width="9.7109375" customWidth="1"/>
    <col min="6921" max="6923" width="9.140625" customWidth="1"/>
    <col min="6924" max="6924" width="22.5703125" bestFit="1" customWidth="1"/>
    <col min="6925" max="6925" width="32.28515625" customWidth="1"/>
    <col min="6926" max="6926" width="21.28515625" customWidth="1"/>
    <col min="6927" max="6927" width="18.7109375" customWidth="1"/>
    <col min="6929" max="6929" width="26.7109375" customWidth="1"/>
    <col min="6930" max="6930" width="13.140625" customWidth="1"/>
    <col min="6932" max="6932" width="24.140625" customWidth="1"/>
    <col min="6933" max="6934" width="18.42578125" customWidth="1"/>
    <col min="6935" max="6935" width="23.85546875" customWidth="1"/>
    <col min="6936" max="6936" width="23.28515625" customWidth="1"/>
    <col min="6937" max="6937" width="22.7109375" customWidth="1"/>
    <col min="6938" max="6938" width="22.85546875" customWidth="1"/>
    <col min="6939" max="6939" width="22.5703125" customWidth="1"/>
    <col min="6940" max="6940" width="23.42578125" customWidth="1"/>
    <col min="6941" max="6943" width="22.140625" customWidth="1"/>
    <col min="6944" max="6944" width="22.7109375" customWidth="1"/>
    <col min="6945" max="6945" width="22.85546875" customWidth="1"/>
    <col min="6946" max="6946" width="22.5703125" customWidth="1"/>
    <col min="6947" max="6947" width="23.42578125" customWidth="1"/>
    <col min="6948" max="6950" width="22.140625" customWidth="1"/>
    <col min="7169" max="7169" width="22.85546875" customWidth="1"/>
    <col min="7170" max="7170" width="15.28515625" customWidth="1"/>
    <col min="7171" max="7171" width="6.28515625" customWidth="1"/>
    <col min="7173" max="7173" width="4.28515625" customWidth="1"/>
    <col min="7174" max="7174" width="11.28515625" customWidth="1"/>
    <col min="7175" max="7175" width="3.28515625" customWidth="1"/>
    <col min="7176" max="7176" width="9.7109375" customWidth="1"/>
    <col min="7177" max="7179" width="9.140625" customWidth="1"/>
    <col min="7180" max="7180" width="22.5703125" bestFit="1" customWidth="1"/>
    <col min="7181" max="7181" width="32.28515625" customWidth="1"/>
    <col min="7182" max="7182" width="21.28515625" customWidth="1"/>
    <col min="7183" max="7183" width="18.7109375" customWidth="1"/>
    <col min="7185" max="7185" width="26.7109375" customWidth="1"/>
    <col min="7186" max="7186" width="13.140625" customWidth="1"/>
    <col min="7188" max="7188" width="24.140625" customWidth="1"/>
    <col min="7189" max="7190" width="18.42578125" customWidth="1"/>
    <col min="7191" max="7191" width="23.85546875" customWidth="1"/>
    <col min="7192" max="7192" width="23.28515625" customWidth="1"/>
    <col min="7193" max="7193" width="22.7109375" customWidth="1"/>
    <col min="7194" max="7194" width="22.85546875" customWidth="1"/>
    <col min="7195" max="7195" width="22.5703125" customWidth="1"/>
    <col min="7196" max="7196" width="23.42578125" customWidth="1"/>
    <col min="7197" max="7199" width="22.140625" customWidth="1"/>
    <col min="7200" max="7200" width="22.7109375" customWidth="1"/>
    <col min="7201" max="7201" width="22.85546875" customWidth="1"/>
    <col min="7202" max="7202" width="22.5703125" customWidth="1"/>
    <col min="7203" max="7203" width="23.42578125" customWidth="1"/>
    <col min="7204" max="7206" width="22.140625" customWidth="1"/>
    <col min="7425" max="7425" width="22.85546875" customWidth="1"/>
    <col min="7426" max="7426" width="15.28515625" customWidth="1"/>
    <col min="7427" max="7427" width="6.28515625" customWidth="1"/>
    <col min="7429" max="7429" width="4.28515625" customWidth="1"/>
    <col min="7430" max="7430" width="11.28515625" customWidth="1"/>
    <col min="7431" max="7431" width="3.28515625" customWidth="1"/>
    <col min="7432" max="7432" width="9.7109375" customWidth="1"/>
    <col min="7433" max="7435" width="9.140625" customWidth="1"/>
    <col min="7436" max="7436" width="22.5703125" bestFit="1" customWidth="1"/>
    <col min="7437" max="7437" width="32.28515625" customWidth="1"/>
    <col min="7438" max="7438" width="21.28515625" customWidth="1"/>
    <col min="7439" max="7439" width="18.7109375" customWidth="1"/>
    <col min="7441" max="7441" width="26.7109375" customWidth="1"/>
    <col min="7442" max="7442" width="13.140625" customWidth="1"/>
    <col min="7444" max="7444" width="24.140625" customWidth="1"/>
    <col min="7445" max="7446" width="18.42578125" customWidth="1"/>
    <col min="7447" max="7447" width="23.85546875" customWidth="1"/>
    <col min="7448" max="7448" width="23.28515625" customWidth="1"/>
    <col min="7449" max="7449" width="22.7109375" customWidth="1"/>
    <col min="7450" max="7450" width="22.85546875" customWidth="1"/>
    <col min="7451" max="7451" width="22.5703125" customWidth="1"/>
    <col min="7452" max="7452" width="23.42578125" customWidth="1"/>
    <col min="7453" max="7455" width="22.140625" customWidth="1"/>
    <col min="7456" max="7456" width="22.7109375" customWidth="1"/>
    <col min="7457" max="7457" width="22.85546875" customWidth="1"/>
    <col min="7458" max="7458" width="22.5703125" customWidth="1"/>
    <col min="7459" max="7459" width="23.42578125" customWidth="1"/>
    <col min="7460" max="7462" width="22.140625" customWidth="1"/>
    <col min="7681" max="7681" width="22.85546875" customWidth="1"/>
    <col min="7682" max="7682" width="15.28515625" customWidth="1"/>
    <col min="7683" max="7683" width="6.28515625" customWidth="1"/>
    <col min="7685" max="7685" width="4.28515625" customWidth="1"/>
    <col min="7686" max="7686" width="11.28515625" customWidth="1"/>
    <col min="7687" max="7687" width="3.28515625" customWidth="1"/>
    <col min="7688" max="7688" width="9.7109375" customWidth="1"/>
    <col min="7689" max="7691" width="9.140625" customWidth="1"/>
    <col min="7692" max="7692" width="22.5703125" bestFit="1" customWidth="1"/>
    <col min="7693" max="7693" width="32.28515625" customWidth="1"/>
    <col min="7694" max="7694" width="21.28515625" customWidth="1"/>
    <col min="7695" max="7695" width="18.7109375" customWidth="1"/>
    <col min="7697" max="7697" width="26.7109375" customWidth="1"/>
    <col min="7698" max="7698" width="13.140625" customWidth="1"/>
    <col min="7700" max="7700" width="24.140625" customWidth="1"/>
    <col min="7701" max="7702" width="18.42578125" customWidth="1"/>
    <col min="7703" max="7703" width="23.85546875" customWidth="1"/>
    <col min="7704" max="7704" width="23.28515625" customWidth="1"/>
    <col min="7705" max="7705" width="22.7109375" customWidth="1"/>
    <col min="7706" max="7706" width="22.85546875" customWidth="1"/>
    <col min="7707" max="7707" width="22.5703125" customWidth="1"/>
    <col min="7708" max="7708" width="23.42578125" customWidth="1"/>
    <col min="7709" max="7711" width="22.140625" customWidth="1"/>
    <col min="7712" max="7712" width="22.7109375" customWidth="1"/>
    <col min="7713" max="7713" width="22.85546875" customWidth="1"/>
    <col min="7714" max="7714" width="22.5703125" customWidth="1"/>
    <col min="7715" max="7715" width="23.42578125" customWidth="1"/>
    <col min="7716" max="7718" width="22.140625" customWidth="1"/>
    <col min="7937" max="7937" width="22.85546875" customWidth="1"/>
    <col min="7938" max="7938" width="15.28515625" customWidth="1"/>
    <col min="7939" max="7939" width="6.28515625" customWidth="1"/>
    <col min="7941" max="7941" width="4.28515625" customWidth="1"/>
    <col min="7942" max="7942" width="11.28515625" customWidth="1"/>
    <col min="7943" max="7943" width="3.28515625" customWidth="1"/>
    <col min="7944" max="7944" width="9.7109375" customWidth="1"/>
    <col min="7945" max="7947" width="9.140625" customWidth="1"/>
    <col min="7948" max="7948" width="22.5703125" bestFit="1" customWidth="1"/>
    <col min="7949" max="7949" width="32.28515625" customWidth="1"/>
    <col min="7950" max="7950" width="21.28515625" customWidth="1"/>
    <col min="7951" max="7951" width="18.7109375" customWidth="1"/>
    <col min="7953" max="7953" width="26.7109375" customWidth="1"/>
    <col min="7954" max="7954" width="13.140625" customWidth="1"/>
    <col min="7956" max="7956" width="24.140625" customWidth="1"/>
    <col min="7957" max="7958" width="18.42578125" customWidth="1"/>
    <col min="7959" max="7959" width="23.85546875" customWidth="1"/>
    <col min="7960" max="7960" width="23.28515625" customWidth="1"/>
    <col min="7961" max="7961" width="22.7109375" customWidth="1"/>
    <col min="7962" max="7962" width="22.85546875" customWidth="1"/>
    <col min="7963" max="7963" width="22.5703125" customWidth="1"/>
    <col min="7964" max="7964" width="23.42578125" customWidth="1"/>
    <col min="7965" max="7967" width="22.140625" customWidth="1"/>
    <col min="7968" max="7968" width="22.7109375" customWidth="1"/>
    <col min="7969" max="7969" width="22.85546875" customWidth="1"/>
    <col min="7970" max="7970" width="22.5703125" customWidth="1"/>
    <col min="7971" max="7971" width="23.42578125" customWidth="1"/>
    <col min="7972" max="7974" width="22.140625" customWidth="1"/>
    <col min="8193" max="8193" width="22.85546875" customWidth="1"/>
    <col min="8194" max="8194" width="15.28515625" customWidth="1"/>
    <col min="8195" max="8195" width="6.28515625" customWidth="1"/>
    <col min="8197" max="8197" width="4.28515625" customWidth="1"/>
    <col min="8198" max="8198" width="11.28515625" customWidth="1"/>
    <col min="8199" max="8199" width="3.28515625" customWidth="1"/>
    <col min="8200" max="8200" width="9.7109375" customWidth="1"/>
    <col min="8201" max="8203" width="9.140625" customWidth="1"/>
    <col min="8204" max="8204" width="22.5703125" bestFit="1" customWidth="1"/>
    <col min="8205" max="8205" width="32.28515625" customWidth="1"/>
    <col min="8206" max="8206" width="21.28515625" customWidth="1"/>
    <col min="8207" max="8207" width="18.7109375" customWidth="1"/>
    <col min="8209" max="8209" width="26.7109375" customWidth="1"/>
    <col min="8210" max="8210" width="13.140625" customWidth="1"/>
    <col min="8212" max="8212" width="24.140625" customWidth="1"/>
    <col min="8213" max="8214" width="18.42578125" customWidth="1"/>
    <col min="8215" max="8215" width="23.85546875" customWidth="1"/>
    <col min="8216" max="8216" width="23.28515625" customWidth="1"/>
    <col min="8217" max="8217" width="22.7109375" customWidth="1"/>
    <col min="8218" max="8218" width="22.85546875" customWidth="1"/>
    <col min="8219" max="8219" width="22.5703125" customWidth="1"/>
    <col min="8220" max="8220" width="23.42578125" customWidth="1"/>
    <col min="8221" max="8223" width="22.140625" customWidth="1"/>
    <col min="8224" max="8224" width="22.7109375" customWidth="1"/>
    <col min="8225" max="8225" width="22.85546875" customWidth="1"/>
    <col min="8226" max="8226" width="22.5703125" customWidth="1"/>
    <col min="8227" max="8227" width="23.42578125" customWidth="1"/>
    <col min="8228" max="8230" width="22.140625" customWidth="1"/>
    <col min="8449" max="8449" width="22.85546875" customWidth="1"/>
    <col min="8450" max="8450" width="15.28515625" customWidth="1"/>
    <col min="8451" max="8451" width="6.28515625" customWidth="1"/>
    <col min="8453" max="8453" width="4.28515625" customWidth="1"/>
    <col min="8454" max="8454" width="11.28515625" customWidth="1"/>
    <col min="8455" max="8455" width="3.28515625" customWidth="1"/>
    <col min="8456" max="8456" width="9.7109375" customWidth="1"/>
    <col min="8457" max="8459" width="9.140625" customWidth="1"/>
    <col min="8460" max="8460" width="22.5703125" bestFit="1" customWidth="1"/>
    <col min="8461" max="8461" width="32.28515625" customWidth="1"/>
    <col min="8462" max="8462" width="21.28515625" customWidth="1"/>
    <col min="8463" max="8463" width="18.7109375" customWidth="1"/>
    <col min="8465" max="8465" width="26.7109375" customWidth="1"/>
    <col min="8466" max="8466" width="13.140625" customWidth="1"/>
    <col min="8468" max="8468" width="24.140625" customWidth="1"/>
    <col min="8469" max="8470" width="18.42578125" customWidth="1"/>
    <col min="8471" max="8471" width="23.85546875" customWidth="1"/>
    <col min="8472" max="8472" width="23.28515625" customWidth="1"/>
    <col min="8473" max="8473" width="22.7109375" customWidth="1"/>
    <col min="8474" max="8474" width="22.85546875" customWidth="1"/>
    <col min="8475" max="8475" width="22.5703125" customWidth="1"/>
    <col min="8476" max="8476" width="23.42578125" customWidth="1"/>
    <col min="8477" max="8479" width="22.140625" customWidth="1"/>
    <col min="8480" max="8480" width="22.7109375" customWidth="1"/>
    <col min="8481" max="8481" width="22.85546875" customWidth="1"/>
    <col min="8482" max="8482" width="22.5703125" customWidth="1"/>
    <col min="8483" max="8483" width="23.42578125" customWidth="1"/>
    <col min="8484" max="8486" width="22.140625" customWidth="1"/>
    <col min="8705" max="8705" width="22.85546875" customWidth="1"/>
    <col min="8706" max="8706" width="15.28515625" customWidth="1"/>
    <col min="8707" max="8707" width="6.28515625" customWidth="1"/>
    <col min="8709" max="8709" width="4.28515625" customWidth="1"/>
    <col min="8710" max="8710" width="11.28515625" customWidth="1"/>
    <col min="8711" max="8711" width="3.28515625" customWidth="1"/>
    <col min="8712" max="8712" width="9.7109375" customWidth="1"/>
    <col min="8713" max="8715" width="9.140625" customWidth="1"/>
    <col min="8716" max="8716" width="22.5703125" bestFit="1" customWidth="1"/>
    <col min="8717" max="8717" width="32.28515625" customWidth="1"/>
    <col min="8718" max="8718" width="21.28515625" customWidth="1"/>
    <col min="8719" max="8719" width="18.7109375" customWidth="1"/>
    <col min="8721" max="8721" width="26.7109375" customWidth="1"/>
    <col min="8722" max="8722" width="13.140625" customWidth="1"/>
    <col min="8724" max="8724" width="24.140625" customWidth="1"/>
    <col min="8725" max="8726" width="18.42578125" customWidth="1"/>
    <col min="8727" max="8727" width="23.85546875" customWidth="1"/>
    <col min="8728" max="8728" width="23.28515625" customWidth="1"/>
    <col min="8729" max="8729" width="22.7109375" customWidth="1"/>
    <col min="8730" max="8730" width="22.85546875" customWidth="1"/>
    <col min="8731" max="8731" width="22.5703125" customWidth="1"/>
    <col min="8732" max="8732" width="23.42578125" customWidth="1"/>
    <col min="8733" max="8735" width="22.140625" customWidth="1"/>
    <col min="8736" max="8736" width="22.7109375" customWidth="1"/>
    <col min="8737" max="8737" width="22.85546875" customWidth="1"/>
    <col min="8738" max="8738" width="22.5703125" customWidth="1"/>
    <col min="8739" max="8739" width="23.42578125" customWidth="1"/>
    <col min="8740" max="8742" width="22.140625" customWidth="1"/>
    <col min="8961" max="8961" width="22.85546875" customWidth="1"/>
    <col min="8962" max="8962" width="15.28515625" customWidth="1"/>
    <col min="8963" max="8963" width="6.28515625" customWidth="1"/>
    <col min="8965" max="8965" width="4.28515625" customWidth="1"/>
    <col min="8966" max="8966" width="11.28515625" customWidth="1"/>
    <col min="8967" max="8967" width="3.28515625" customWidth="1"/>
    <col min="8968" max="8968" width="9.7109375" customWidth="1"/>
    <col min="8969" max="8971" width="9.140625" customWidth="1"/>
    <col min="8972" max="8972" width="22.5703125" bestFit="1" customWidth="1"/>
    <col min="8973" max="8973" width="32.28515625" customWidth="1"/>
    <col min="8974" max="8974" width="21.28515625" customWidth="1"/>
    <col min="8975" max="8975" width="18.7109375" customWidth="1"/>
    <col min="8977" max="8977" width="26.7109375" customWidth="1"/>
    <col min="8978" max="8978" width="13.140625" customWidth="1"/>
    <col min="8980" max="8980" width="24.140625" customWidth="1"/>
    <col min="8981" max="8982" width="18.42578125" customWidth="1"/>
    <col min="8983" max="8983" width="23.85546875" customWidth="1"/>
    <col min="8984" max="8984" width="23.28515625" customWidth="1"/>
    <col min="8985" max="8985" width="22.7109375" customWidth="1"/>
    <col min="8986" max="8986" width="22.85546875" customWidth="1"/>
    <col min="8987" max="8987" width="22.5703125" customWidth="1"/>
    <col min="8988" max="8988" width="23.42578125" customWidth="1"/>
    <col min="8989" max="8991" width="22.140625" customWidth="1"/>
    <col min="8992" max="8992" width="22.7109375" customWidth="1"/>
    <col min="8993" max="8993" width="22.85546875" customWidth="1"/>
    <col min="8994" max="8994" width="22.5703125" customWidth="1"/>
    <col min="8995" max="8995" width="23.42578125" customWidth="1"/>
    <col min="8996" max="8998" width="22.140625" customWidth="1"/>
    <col min="9217" max="9217" width="22.85546875" customWidth="1"/>
    <col min="9218" max="9218" width="15.28515625" customWidth="1"/>
    <col min="9219" max="9219" width="6.28515625" customWidth="1"/>
    <col min="9221" max="9221" width="4.28515625" customWidth="1"/>
    <col min="9222" max="9222" width="11.28515625" customWidth="1"/>
    <col min="9223" max="9223" width="3.28515625" customWidth="1"/>
    <col min="9224" max="9224" width="9.7109375" customWidth="1"/>
    <col min="9225" max="9227" width="9.140625" customWidth="1"/>
    <col min="9228" max="9228" width="22.5703125" bestFit="1" customWidth="1"/>
    <col min="9229" max="9229" width="32.28515625" customWidth="1"/>
    <col min="9230" max="9230" width="21.28515625" customWidth="1"/>
    <col min="9231" max="9231" width="18.7109375" customWidth="1"/>
    <col min="9233" max="9233" width="26.7109375" customWidth="1"/>
    <col min="9234" max="9234" width="13.140625" customWidth="1"/>
    <col min="9236" max="9236" width="24.140625" customWidth="1"/>
    <col min="9237" max="9238" width="18.42578125" customWidth="1"/>
    <col min="9239" max="9239" width="23.85546875" customWidth="1"/>
    <col min="9240" max="9240" width="23.28515625" customWidth="1"/>
    <col min="9241" max="9241" width="22.7109375" customWidth="1"/>
    <col min="9242" max="9242" width="22.85546875" customWidth="1"/>
    <col min="9243" max="9243" width="22.5703125" customWidth="1"/>
    <col min="9244" max="9244" width="23.42578125" customWidth="1"/>
    <col min="9245" max="9247" width="22.140625" customWidth="1"/>
    <col min="9248" max="9248" width="22.7109375" customWidth="1"/>
    <col min="9249" max="9249" width="22.85546875" customWidth="1"/>
    <col min="9250" max="9250" width="22.5703125" customWidth="1"/>
    <col min="9251" max="9251" width="23.42578125" customWidth="1"/>
    <col min="9252" max="9254" width="22.140625" customWidth="1"/>
    <col min="9473" max="9473" width="22.85546875" customWidth="1"/>
    <col min="9474" max="9474" width="15.28515625" customWidth="1"/>
    <col min="9475" max="9475" width="6.28515625" customWidth="1"/>
    <col min="9477" max="9477" width="4.28515625" customWidth="1"/>
    <col min="9478" max="9478" width="11.28515625" customWidth="1"/>
    <col min="9479" max="9479" width="3.28515625" customWidth="1"/>
    <col min="9480" max="9480" width="9.7109375" customWidth="1"/>
    <col min="9481" max="9483" width="9.140625" customWidth="1"/>
    <col min="9484" max="9484" width="22.5703125" bestFit="1" customWidth="1"/>
    <col min="9485" max="9485" width="32.28515625" customWidth="1"/>
    <col min="9486" max="9486" width="21.28515625" customWidth="1"/>
    <col min="9487" max="9487" width="18.7109375" customWidth="1"/>
    <col min="9489" max="9489" width="26.7109375" customWidth="1"/>
    <col min="9490" max="9490" width="13.140625" customWidth="1"/>
    <col min="9492" max="9492" width="24.140625" customWidth="1"/>
    <col min="9493" max="9494" width="18.42578125" customWidth="1"/>
    <col min="9495" max="9495" width="23.85546875" customWidth="1"/>
    <col min="9496" max="9496" width="23.28515625" customWidth="1"/>
    <col min="9497" max="9497" width="22.7109375" customWidth="1"/>
    <col min="9498" max="9498" width="22.85546875" customWidth="1"/>
    <col min="9499" max="9499" width="22.5703125" customWidth="1"/>
    <col min="9500" max="9500" width="23.42578125" customWidth="1"/>
    <col min="9501" max="9503" width="22.140625" customWidth="1"/>
    <col min="9504" max="9504" width="22.7109375" customWidth="1"/>
    <col min="9505" max="9505" width="22.85546875" customWidth="1"/>
    <col min="9506" max="9506" width="22.5703125" customWidth="1"/>
    <col min="9507" max="9507" width="23.42578125" customWidth="1"/>
    <col min="9508" max="9510" width="22.140625" customWidth="1"/>
    <col min="9729" max="9729" width="22.85546875" customWidth="1"/>
    <col min="9730" max="9730" width="15.28515625" customWidth="1"/>
    <col min="9731" max="9731" width="6.28515625" customWidth="1"/>
    <col min="9733" max="9733" width="4.28515625" customWidth="1"/>
    <col min="9734" max="9734" width="11.28515625" customWidth="1"/>
    <col min="9735" max="9735" width="3.28515625" customWidth="1"/>
    <col min="9736" max="9736" width="9.7109375" customWidth="1"/>
    <col min="9737" max="9739" width="9.140625" customWidth="1"/>
    <col min="9740" max="9740" width="22.5703125" bestFit="1" customWidth="1"/>
    <col min="9741" max="9741" width="32.28515625" customWidth="1"/>
    <col min="9742" max="9742" width="21.28515625" customWidth="1"/>
    <col min="9743" max="9743" width="18.7109375" customWidth="1"/>
    <col min="9745" max="9745" width="26.7109375" customWidth="1"/>
    <col min="9746" max="9746" width="13.140625" customWidth="1"/>
    <col min="9748" max="9748" width="24.140625" customWidth="1"/>
    <col min="9749" max="9750" width="18.42578125" customWidth="1"/>
    <col min="9751" max="9751" width="23.85546875" customWidth="1"/>
    <col min="9752" max="9752" width="23.28515625" customWidth="1"/>
    <col min="9753" max="9753" width="22.7109375" customWidth="1"/>
    <col min="9754" max="9754" width="22.85546875" customWidth="1"/>
    <col min="9755" max="9755" width="22.5703125" customWidth="1"/>
    <col min="9756" max="9756" width="23.42578125" customWidth="1"/>
    <col min="9757" max="9759" width="22.140625" customWidth="1"/>
    <col min="9760" max="9760" width="22.7109375" customWidth="1"/>
    <col min="9761" max="9761" width="22.85546875" customWidth="1"/>
    <col min="9762" max="9762" width="22.5703125" customWidth="1"/>
    <col min="9763" max="9763" width="23.42578125" customWidth="1"/>
    <col min="9764" max="9766" width="22.140625" customWidth="1"/>
    <col min="9985" max="9985" width="22.85546875" customWidth="1"/>
    <col min="9986" max="9986" width="15.28515625" customWidth="1"/>
    <col min="9987" max="9987" width="6.28515625" customWidth="1"/>
    <col min="9989" max="9989" width="4.28515625" customWidth="1"/>
    <col min="9990" max="9990" width="11.28515625" customWidth="1"/>
    <col min="9991" max="9991" width="3.28515625" customWidth="1"/>
    <col min="9992" max="9992" width="9.7109375" customWidth="1"/>
    <col min="9993" max="9995" width="9.140625" customWidth="1"/>
    <col min="9996" max="9996" width="22.5703125" bestFit="1" customWidth="1"/>
    <col min="9997" max="9997" width="32.28515625" customWidth="1"/>
    <col min="9998" max="9998" width="21.28515625" customWidth="1"/>
    <col min="9999" max="9999" width="18.7109375" customWidth="1"/>
    <col min="10001" max="10001" width="26.7109375" customWidth="1"/>
    <col min="10002" max="10002" width="13.140625" customWidth="1"/>
    <col min="10004" max="10004" width="24.140625" customWidth="1"/>
    <col min="10005" max="10006" width="18.42578125" customWidth="1"/>
    <col min="10007" max="10007" width="23.85546875" customWidth="1"/>
    <col min="10008" max="10008" width="23.28515625" customWidth="1"/>
    <col min="10009" max="10009" width="22.7109375" customWidth="1"/>
    <col min="10010" max="10010" width="22.85546875" customWidth="1"/>
    <col min="10011" max="10011" width="22.5703125" customWidth="1"/>
    <col min="10012" max="10012" width="23.42578125" customWidth="1"/>
    <col min="10013" max="10015" width="22.140625" customWidth="1"/>
    <col min="10016" max="10016" width="22.7109375" customWidth="1"/>
    <col min="10017" max="10017" width="22.85546875" customWidth="1"/>
    <col min="10018" max="10018" width="22.5703125" customWidth="1"/>
    <col min="10019" max="10019" width="23.42578125" customWidth="1"/>
    <col min="10020" max="10022" width="22.140625" customWidth="1"/>
    <col min="10241" max="10241" width="22.85546875" customWidth="1"/>
    <col min="10242" max="10242" width="15.28515625" customWidth="1"/>
    <col min="10243" max="10243" width="6.28515625" customWidth="1"/>
    <col min="10245" max="10245" width="4.28515625" customWidth="1"/>
    <col min="10246" max="10246" width="11.28515625" customWidth="1"/>
    <col min="10247" max="10247" width="3.28515625" customWidth="1"/>
    <col min="10248" max="10248" width="9.7109375" customWidth="1"/>
    <col min="10249" max="10251" width="9.140625" customWidth="1"/>
    <col min="10252" max="10252" width="22.5703125" bestFit="1" customWidth="1"/>
    <col min="10253" max="10253" width="32.28515625" customWidth="1"/>
    <col min="10254" max="10254" width="21.28515625" customWidth="1"/>
    <col min="10255" max="10255" width="18.7109375" customWidth="1"/>
    <col min="10257" max="10257" width="26.7109375" customWidth="1"/>
    <col min="10258" max="10258" width="13.140625" customWidth="1"/>
    <col min="10260" max="10260" width="24.140625" customWidth="1"/>
    <col min="10261" max="10262" width="18.42578125" customWidth="1"/>
    <col min="10263" max="10263" width="23.85546875" customWidth="1"/>
    <col min="10264" max="10264" width="23.28515625" customWidth="1"/>
    <col min="10265" max="10265" width="22.7109375" customWidth="1"/>
    <col min="10266" max="10266" width="22.85546875" customWidth="1"/>
    <col min="10267" max="10267" width="22.5703125" customWidth="1"/>
    <col min="10268" max="10268" width="23.42578125" customWidth="1"/>
    <col min="10269" max="10271" width="22.140625" customWidth="1"/>
    <col min="10272" max="10272" width="22.7109375" customWidth="1"/>
    <col min="10273" max="10273" width="22.85546875" customWidth="1"/>
    <col min="10274" max="10274" width="22.5703125" customWidth="1"/>
    <col min="10275" max="10275" width="23.42578125" customWidth="1"/>
    <col min="10276" max="10278" width="22.140625" customWidth="1"/>
    <col min="10497" max="10497" width="22.85546875" customWidth="1"/>
    <col min="10498" max="10498" width="15.28515625" customWidth="1"/>
    <col min="10499" max="10499" width="6.28515625" customWidth="1"/>
    <col min="10501" max="10501" width="4.28515625" customWidth="1"/>
    <col min="10502" max="10502" width="11.28515625" customWidth="1"/>
    <col min="10503" max="10503" width="3.28515625" customWidth="1"/>
    <col min="10504" max="10504" width="9.7109375" customWidth="1"/>
    <col min="10505" max="10507" width="9.140625" customWidth="1"/>
    <col min="10508" max="10508" width="22.5703125" bestFit="1" customWidth="1"/>
    <col min="10509" max="10509" width="32.28515625" customWidth="1"/>
    <col min="10510" max="10510" width="21.28515625" customWidth="1"/>
    <col min="10511" max="10511" width="18.7109375" customWidth="1"/>
    <col min="10513" max="10513" width="26.7109375" customWidth="1"/>
    <col min="10514" max="10514" width="13.140625" customWidth="1"/>
    <col min="10516" max="10516" width="24.140625" customWidth="1"/>
    <col min="10517" max="10518" width="18.42578125" customWidth="1"/>
    <col min="10519" max="10519" width="23.85546875" customWidth="1"/>
    <col min="10520" max="10520" width="23.28515625" customWidth="1"/>
    <col min="10521" max="10521" width="22.7109375" customWidth="1"/>
    <col min="10522" max="10522" width="22.85546875" customWidth="1"/>
    <col min="10523" max="10523" width="22.5703125" customWidth="1"/>
    <col min="10524" max="10524" width="23.42578125" customWidth="1"/>
    <col min="10525" max="10527" width="22.140625" customWidth="1"/>
    <col min="10528" max="10528" width="22.7109375" customWidth="1"/>
    <col min="10529" max="10529" width="22.85546875" customWidth="1"/>
    <col min="10530" max="10530" width="22.5703125" customWidth="1"/>
    <col min="10531" max="10531" width="23.42578125" customWidth="1"/>
    <col min="10532" max="10534" width="22.140625" customWidth="1"/>
    <col min="10753" max="10753" width="22.85546875" customWidth="1"/>
    <col min="10754" max="10754" width="15.28515625" customWidth="1"/>
    <col min="10755" max="10755" width="6.28515625" customWidth="1"/>
    <col min="10757" max="10757" width="4.28515625" customWidth="1"/>
    <col min="10758" max="10758" width="11.28515625" customWidth="1"/>
    <col min="10759" max="10759" width="3.28515625" customWidth="1"/>
    <col min="10760" max="10760" width="9.7109375" customWidth="1"/>
    <col min="10761" max="10763" width="9.140625" customWidth="1"/>
    <col min="10764" max="10764" width="22.5703125" bestFit="1" customWidth="1"/>
    <col min="10765" max="10765" width="32.28515625" customWidth="1"/>
    <col min="10766" max="10766" width="21.28515625" customWidth="1"/>
    <col min="10767" max="10767" width="18.7109375" customWidth="1"/>
    <col min="10769" max="10769" width="26.7109375" customWidth="1"/>
    <col min="10770" max="10770" width="13.140625" customWidth="1"/>
    <col min="10772" max="10772" width="24.140625" customWidth="1"/>
    <col min="10773" max="10774" width="18.42578125" customWidth="1"/>
    <col min="10775" max="10775" width="23.85546875" customWidth="1"/>
    <col min="10776" max="10776" width="23.28515625" customWidth="1"/>
    <col min="10777" max="10777" width="22.7109375" customWidth="1"/>
    <col min="10778" max="10778" width="22.85546875" customWidth="1"/>
    <col min="10779" max="10779" width="22.5703125" customWidth="1"/>
    <col min="10780" max="10780" width="23.42578125" customWidth="1"/>
    <col min="10781" max="10783" width="22.140625" customWidth="1"/>
    <col min="10784" max="10784" width="22.7109375" customWidth="1"/>
    <col min="10785" max="10785" width="22.85546875" customWidth="1"/>
    <col min="10786" max="10786" width="22.5703125" customWidth="1"/>
    <col min="10787" max="10787" width="23.42578125" customWidth="1"/>
    <col min="10788" max="10790" width="22.140625" customWidth="1"/>
    <col min="11009" max="11009" width="22.85546875" customWidth="1"/>
    <col min="11010" max="11010" width="15.28515625" customWidth="1"/>
    <col min="11011" max="11011" width="6.28515625" customWidth="1"/>
    <col min="11013" max="11013" width="4.28515625" customWidth="1"/>
    <col min="11014" max="11014" width="11.28515625" customWidth="1"/>
    <col min="11015" max="11015" width="3.28515625" customWidth="1"/>
    <col min="11016" max="11016" width="9.7109375" customWidth="1"/>
    <col min="11017" max="11019" width="9.140625" customWidth="1"/>
    <col min="11020" max="11020" width="22.5703125" bestFit="1" customWidth="1"/>
    <col min="11021" max="11021" width="32.28515625" customWidth="1"/>
    <col min="11022" max="11022" width="21.28515625" customWidth="1"/>
    <col min="11023" max="11023" width="18.7109375" customWidth="1"/>
    <col min="11025" max="11025" width="26.7109375" customWidth="1"/>
    <col min="11026" max="11026" width="13.140625" customWidth="1"/>
    <col min="11028" max="11028" width="24.140625" customWidth="1"/>
    <col min="11029" max="11030" width="18.42578125" customWidth="1"/>
    <col min="11031" max="11031" width="23.85546875" customWidth="1"/>
    <col min="11032" max="11032" width="23.28515625" customWidth="1"/>
    <col min="11033" max="11033" width="22.7109375" customWidth="1"/>
    <col min="11034" max="11034" width="22.85546875" customWidth="1"/>
    <col min="11035" max="11035" width="22.5703125" customWidth="1"/>
    <col min="11036" max="11036" width="23.42578125" customWidth="1"/>
    <col min="11037" max="11039" width="22.140625" customWidth="1"/>
    <col min="11040" max="11040" width="22.7109375" customWidth="1"/>
    <col min="11041" max="11041" width="22.85546875" customWidth="1"/>
    <col min="11042" max="11042" width="22.5703125" customWidth="1"/>
    <col min="11043" max="11043" width="23.42578125" customWidth="1"/>
    <col min="11044" max="11046" width="22.140625" customWidth="1"/>
    <col min="11265" max="11265" width="22.85546875" customWidth="1"/>
    <col min="11266" max="11266" width="15.28515625" customWidth="1"/>
    <col min="11267" max="11267" width="6.28515625" customWidth="1"/>
    <col min="11269" max="11269" width="4.28515625" customWidth="1"/>
    <col min="11270" max="11270" width="11.28515625" customWidth="1"/>
    <col min="11271" max="11271" width="3.28515625" customWidth="1"/>
    <col min="11272" max="11272" width="9.7109375" customWidth="1"/>
    <col min="11273" max="11275" width="9.140625" customWidth="1"/>
    <col min="11276" max="11276" width="22.5703125" bestFit="1" customWidth="1"/>
    <col min="11277" max="11277" width="32.28515625" customWidth="1"/>
    <col min="11278" max="11278" width="21.28515625" customWidth="1"/>
    <col min="11279" max="11279" width="18.7109375" customWidth="1"/>
    <col min="11281" max="11281" width="26.7109375" customWidth="1"/>
    <col min="11282" max="11282" width="13.140625" customWidth="1"/>
    <col min="11284" max="11284" width="24.140625" customWidth="1"/>
    <col min="11285" max="11286" width="18.42578125" customWidth="1"/>
    <col min="11287" max="11287" width="23.85546875" customWidth="1"/>
    <col min="11288" max="11288" width="23.28515625" customWidth="1"/>
    <col min="11289" max="11289" width="22.7109375" customWidth="1"/>
    <col min="11290" max="11290" width="22.85546875" customWidth="1"/>
    <col min="11291" max="11291" width="22.5703125" customWidth="1"/>
    <col min="11292" max="11292" width="23.42578125" customWidth="1"/>
    <col min="11293" max="11295" width="22.140625" customWidth="1"/>
    <col min="11296" max="11296" width="22.7109375" customWidth="1"/>
    <col min="11297" max="11297" width="22.85546875" customWidth="1"/>
    <col min="11298" max="11298" width="22.5703125" customWidth="1"/>
    <col min="11299" max="11299" width="23.42578125" customWidth="1"/>
    <col min="11300" max="11302" width="22.140625" customWidth="1"/>
    <col min="11521" max="11521" width="22.85546875" customWidth="1"/>
    <col min="11522" max="11522" width="15.28515625" customWidth="1"/>
    <col min="11523" max="11523" width="6.28515625" customWidth="1"/>
    <col min="11525" max="11525" width="4.28515625" customWidth="1"/>
    <col min="11526" max="11526" width="11.28515625" customWidth="1"/>
    <col min="11527" max="11527" width="3.28515625" customWidth="1"/>
    <col min="11528" max="11528" width="9.7109375" customWidth="1"/>
    <col min="11529" max="11531" width="9.140625" customWidth="1"/>
    <col min="11532" max="11532" width="22.5703125" bestFit="1" customWidth="1"/>
    <col min="11533" max="11533" width="32.28515625" customWidth="1"/>
    <col min="11534" max="11534" width="21.28515625" customWidth="1"/>
    <col min="11535" max="11535" width="18.7109375" customWidth="1"/>
    <col min="11537" max="11537" width="26.7109375" customWidth="1"/>
    <col min="11538" max="11538" width="13.140625" customWidth="1"/>
    <col min="11540" max="11540" width="24.140625" customWidth="1"/>
    <col min="11541" max="11542" width="18.42578125" customWidth="1"/>
    <col min="11543" max="11543" width="23.85546875" customWidth="1"/>
    <col min="11544" max="11544" width="23.28515625" customWidth="1"/>
    <col min="11545" max="11545" width="22.7109375" customWidth="1"/>
    <col min="11546" max="11546" width="22.85546875" customWidth="1"/>
    <col min="11547" max="11547" width="22.5703125" customWidth="1"/>
    <col min="11548" max="11548" width="23.42578125" customWidth="1"/>
    <col min="11549" max="11551" width="22.140625" customWidth="1"/>
    <col min="11552" max="11552" width="22.7109375" customWidth="1"/>
    <col min="11553" max="11553" width="22.85546875" customWidth="1"/>
    <col min="11554" max="11554" width="22.5703125" customWidth="1"/>
    <col min="11555" max="11555" width="23.42578125" customWidth="1"/>
    <col min="11556" max="11558" width="22.140625" customWidth="1"/>
    <col min="11777" max="11777" width="22.85546875" customWidth="1"/>
    <col min="11778" max="11778" width="15.28515625" customWidth="1"/>
    <col min="11779" max="11779" width="6.28515625" customWidth="1"/>
    <col min="11781" max="11781" width="4.28515625" customWidth="1"/>
    <col min="11782" max="11782" width="11.28515625" customWidth="1"/>
    <col min="11783" max="11783" width="3.28515625" customWidth="1"/>
    <col min="11784" max="11784" width="9.7109375" customWidth="1"/>
    <col min="11785" max="11787" width="9.140625" customWidth="1"/>
    <col min="11788" max="11788" width="22.5703125" bestFit="1" customWidth="1"/>
    <col min="11789" max="11789" width="32.28515625" customWidth="1"/>
    <col min="11790" max="11790" width="21.28515625" customWidth="1"/>
    <col min="11791" max="11791" width="18.7109375" customWidth="1"/>
    <col min="11793" max="11793" width="26.7109375" customWidth="1"/>
    <col min="11794" max="11794" width="13.140625" customWidth="1"/>
    <col min="11796" max="11796" width="24.140625" customWidth="1"/>
    <col min="11797" max="11798" width="18.42578125" customWidth="1"/>
    <col min="11799" max="11799" width="23.85546875" customWidth="1"/>
    <col min="11800" max="11800" width="23.28515625" customWidth="1"/>
    <col min="11801" max="11801" width="22.7109375" customWidth="1"/>
    <col min="11802" max="11802" width="22.85546875" customWidth="1"/>
    <col min="11803" max="11803" width="22.5703125" customWidth="1"/>
    <col min="11804" max="11804" width="23.42578125" customWidth="1"/>
    <col min="11805" max="11807" width="22.140625" customWidth="1"/>
    <col min="11808" max="11808" width="22.7109375" customWidth="1"/>
    <col min="11809" max="11809" width="22.85546875" customWidth="1"/>
    <col min="11810" max="11810" width="22.5703125" customWidth="1"/>
    <col min="11811" max="11811" width="23.42578125" customWidth="1"/>
    <col min="11812" max="11814" width="22.140625" customWidth="1"/>
    <col min="12033" max="12033" width="22.85546875" customWidth="1"/>
    <col min="12034" max="12034" width="15.28515625" customWidth="1"/>
    <col min="12035" max="12035" width="6.28515625" customWidth="1"/>
    <col min="12037" max="12037" width="4.28515625" customWidth="1"/>
    <col min="12038" max="12038" width="11.28515625" customWidth="1"/>
    <col min="12039" max="12039" width="3.28515625" customWidth="1"/>
    <col min="12040" max="12040" width="9.7109375" customWidth="1"/>
    <col min="12041" max="12043" width="9.140625" customWidth="1"/>
    <col min="12044" max="12044" width="22.5703125" bestFit="1" customWidth="1"/>
    <col min="12045" max="12045" width="32.28515625" customWidth="1"/>
    <col min="12046" max="12046" width="21.28515625" customWidth="1"/>
    <col min="12047" max="12047" width="18.7109375" customWidth="1"/>
    <col min="12049" max="12049" width="26.7109375" customWidth="1"/>
    <col min="12050" max="12050" width="13.140625" customWidth="1"/>
    <col min="12052" max="12052" width="24.140625" customWidth="1"/>
    <col min="12053" max="12054" width="18.42578125" customWidth="1"/>
    <col min="12055" max="12055" width="23.85546875" customWidth="1"/>
    <col min="12056" max="12056" width="23.28515625" customWidth="1"/>
    <col min="12057" max="12057" width="22.7109375" customWidth="1"/>
    <col min="12058" max="12058" width="22.85546875" customWidth="1"/>
    <col min="12059" max="12059" width="22.5703125" customWidth="1"/>
    <col min="12060" max="12060" width="23.42578125" customWidth="1"/>
    <col min="12061" max="12063" width="22.140625" customWidth="1"/>
    <col min="12064" max="12064" width="22.7109375" customWidth="1"/>
    <col min="12065" max="12065" width="22.85546875" customWidth="1"/>
    <col min="12066" max="12066" width="22.5703125" customWidth="1"/>
    <col min="12067" max="12067" width="23.42578125" customWidth="1"/>
    <col min="12068" max="12070" width="22.140625" customWidth="1"/>
    <col min="12289" max="12289" width="22.85546875" customWidth="1"/>
    <col min="12290" max="12290" width="15.28515625" customWidth="1"/>
    <col min="12291" max="12291" width="6.28515625" customWidth="1"/>
    <col min="12293" max="12293" width="4.28515625" customWidth="1"/>
    <col min="12294" max="12294" width="11.28515625" customWidth="1"/>
    <col min="12295" max="12295" width="3.28515625" customWidth="1"/>
    <col min="12296" max="12296" width="9.7109375" customWidth="1"/>
    <col min="12297" max="12299" width="9.140625" customWidth="1"/>
    <col min="12300" max="12300" width="22.5703125" bestFit="1" customWidth="1"/>
    <col min="12301" max="12301" width="32.28515625" customWidth="1"/>
    <col min="12302" max="12302" width="21.28515625" customWidth="1"/>
    <col min="12303" max="12303" width="18.7109375" customWidth="1"/>
    <col min="12305" max="12305" width="26.7109375" customWidth="1"/>
    <col min="12306" max="12306" width="13.140625" customWidth="1"/>
    <col min="12308" max="12308" width="24.140625" customWidth="1"/>
    <col min="12309" max="12310" width="18.42578125" customWidth="1"/>
    <col min="12311" max="12311" width="23.85546875" customWidth="1"/>
    <col min="12312" max="12312" width="23.28515625" customWidth="1"/>
    <col min="12313" max="12313" width="22.7109375" customWidth="1"/>
    <col min="12314" max="12314" width="22.85546875" customWidth="1"/>
    <col min="12315" max="12315" width="22.5703125" customWidth="1"/>
    <col min="12316" max="12316" width="23.42578125" customWidth="1"/>
    <col min="12317" max="12319" width="22.140625" customWidth="1"/>
    <col min="12320" max="12320" width="22.7109375" customWidth="1"/>
    <col min="12321" max="12321" width="22.85546875" customWidth="1"/>
    <col min="12322" max="12322" width="22.5703125" customWidth="1"/>
    <col min="12323" max="12323" width="23.42578125" customWidth="1"/>
    <col min="12324" max="12326" width="22.140625" customWidth="1"/>
    <col min="12545" max="12545" width="22.85546875" customWidth="1"/>
    <col min="12546" max="12546" width="15.28515625" customWidth="1"/>
    <col min="12547" max="12547" width="6.28515625" customWidth="1"/>
    <col min="12549" max="12549" width="4.28515625" customWidth="1"/>
    <col min="12550" max="12550" width="11.28515625" customWidth="1"/>
    <col min="12551" max="12551" width="3.28515625" customWidth="1"/>
    <col min="12552" max="12552" width="9.7109375" customWidth="1"/>
    <col min="12553" max="12555" width="9.140625" customWidth="1"/>
    <col min="12556" max="12556" width="22.5703125" bestFit="1" customWidth="1"/>
    <col min="12557" max="12557" width="32.28515625" customWidth="1"/>
    <col min="12558" max="12558" width="21.28515625" customWidth="1"/>
    <col min="12559" max="12559" width="18.7109375" customWidth="1"/>
    <col min="12561" max="12561" width="26.7109375" customWidth="1"/>
    <col min="12562" max="12562" width="13.140625" customWidth="1"/>
    <col min="12564" max="12564" width="24.140625" customWidth="1"/>
    <col min="12565" max="12566" width="18.42578125" customWidth="1"/>
    <col min="12567" max="12567" width="23.85546875" customWidth="1"/>
    <col min="12568" max="12568" width="23.28515625" customWidth="1"/>
    <col min="12569" max="12569" width="22.7109375" customWidth="1"/>
    <col min="12570" max="12570" width="22.85546875" customWidth="1"/>
    <col min="12571" max="12571" width="22.5703125" customWidth="1"/>
    <col min="12572" max="12572" width="23.42578125" customWidth="1"/>
    <col min="12573" max="12575" width="22.140625" customWidth="1"/>
    <col min="12576" max="12576" width="22.7109375" customWidth="1"/>
    <col min="12577" max="12577" width="22.85546875" customWidth="1"/>
    <col min="12578" max="12578" width="22.5703125" customWidth="1"/>
    <col min="12579" max="12579" width="23.42578125" customWidth="1"/>
    <col min="12580" max="12582" width="22.140625" customWidth="1"/>
    <col min="12801" max="12801" width="22.85546875" customWidth="1"/>
    <col min="12802" max="12802" width="15.28515625" customWidth="1"/>
    <col min="12803" max="12803" width="6.28515625" customWidth="1"/>
    <col min="12805" max="12805" width="4.28515625" customWidth="1"/>
    <col min="12806" max="12806" width="11.28515625" customWidth="1"/>
    <col min="12807" max="12807" width="3.28515625" customWidth="1"/>
    <col min="12808" max="12808" width="9.7109375" customWidth="1"/>
    <col min="12809" max="12811" width="9.140625" customWidth="1"/>
    <col min="12812" max="12812" width="22.5703125" bestFit="1" customWidth="1"/>
    <col min="12813" max="12813" width="32.28515625" customWidth="1"/>
    <col min="12814" max="12814" width="21.28515625" customWidth="1"/>
    <col min="12815" max="12815" width="18.7109375" customWidth="1"/>
    <col min="12817" max="12817" width="26.7109375" customWidth="1"/>
    <col min="12818" max="12818" width="13.140625" customWidth="1"/>
    <col min="12820" max="12820" width="24.140625" customWidth="1"/>
    <col min="12821" max="12822" width="18.42578125" customWidth="1"/>
    <col min="12823" max="12823" width="23.85546875" customWidth="1"/>
    <col min="12824" max="12824" width="23.28515625" customWidth="1"/>
    <col min="12825" max="12825" width="22.7109375" customWidth="1"/>
    <col min="12826" max="12826" width="22.85546875" customWidth="1"/>
    <col min="12827" max="12827" width="22.5703125" customWidth="1"/>
    <col min="12828" max="12828" width="23.42578125" customWidth="1"/>
    <col min="12829" max="12831" width="22.140625" customWidth="1"/>
    <col min="12832" max="12832" width="22.7109375" customWidth="1"/>
    <col min="12833" max="12833" width="22.85546875" customWidth="1"/>
    <col min="12834" max="12834" width="22.5703125" customWidth="1"/>
    <col min="12835" max="12835" width="23.42578125" customWidth="1"/>
    <col min="12836" max="12838" width="22.140625" customWidth="1"/>
    <col min="13057" max="13057" width="22.85546875" customWidth="1"/>
    <col min="13058" max="13058" width="15.28515625" customWidth="1"/>
    <col min="13059" max="13059" width="6.28515625" customWidth="1"/>
    <col min="13061" max="13061" width="4.28515625" customWidth="1"/>
    <col min="13062" max="13062" width="11.28515625" customWidth="1"/>
    <col min="13063" max="13063" width="3.28515625" customWidth="1"/>
    <col min="13064" max="13064" width="9.7109375" customWidth="1"/>
    <col min="13065" max="13067" width="9.140625" customWidth="1"/>
    <col min="13068" max="13068" width="22.5703125" bestFit="1" customWidth="1"/>
    <col min="13069" max="13069" width="32.28515625" customWidth="1"/>
    <col min="13070" max="13070" width="21.28515625" customWidth="1"/>
    <col min="13071" max="13071" width="18.7109375" customWidth="1"/>
    <col min="13073" max="13073" width="26.7109375" customWidth="1"/>
    <col min="13074" max="13074" width="13.140625" customWidth="1"/>
    <col min="13076" max="13076" width="24.140625" customWidth="1"/>
    <col min="13077" max="13078" width="18.42578125" customWidth="1"/>
    <col min="13079" max="13079" width="23.85546875" customWidth="1"/>
    <col min="13080" max="13080" width="23.28515625" customWidth="1"/>
    <col min="13081" max="13081" width="22.7109375" customWidth="1"/>
    <col min="13082" max="13082" width="22.85546875" customWidth="1"/>
    <col min="13083" max="13083" width="22.5703125" customWidth="1"/>
    <col min="13084" max="13084" width="23.42578125" customWidth="1"/>
    <col min="13085" max="13087" width="22.140625" customWidth="1"/>
    <col min="13088" max="13088" width="22.7109375" customWidth="1"/>
    <col min="13089" max="13089" width="22.85546875" customWidth="1"/>
    <col min="13090" max="13090" width="22.5703125" customWidth="1"/>
    <col min="13091" max="13091" width="23.42578125" customWidth="1"/>
    <col min="13092" max="13094" width="22.140625" customWidth="1"/>
    <col min="13313" max="13313" width="22.85546875" customWidth="1"/>
    <col min="13314" max="13314" width="15.28515625" customWidth="1"/>
    <col min="13315" max="13315" width="6.28515625" customWidth="1"/>
    <col min="13317" max="13317" width="4.28515625" customWidth="1"/>
    <col min="13318" max="13318" width="11.28515625" customWidth="1"/>
    <col min="13319" max="13319" width="3.28515625" customWidth="1"/>
    <col min="13320" max="13320" width="9.7109375" customWidth="1"/>
    <col min="13321" max="13323" width="9.140625" customWidth="1"/>
    <col min="13324" max="13324" width="22.5703125" bestFit="1" customWidth="1"/>
    <col min="13325" max="13325" width="32.28515625" customWidth="1"/>
    <col min="13326" max="13326" width="21.28515625" customWidth="1"/>
    <col min="13327" max="13327" width="18.7109375" customWidth="1"/>
    <col min="13329" max="13329" width="26.7109375" customWidth="1"/>
    <col min="13330" max="13330" width="13.140625" customWidth="1"/>
    <col min="13332" max="13332" width="24.140625" customWidth="1"/>
    <col min="13333" max="13334" width="18.42578125" customWidth="1"/>
    <col min="13335" max="13335" width="23.85546875" customWidth="1"/>
    <col min="13336" max="13336" width="23.28515625" customWidth="1"/>
    <col min="13337" max="13337" width="22.7109375" customWidth="1"/>
    <col min="13338" max="13338" width="22.85546875" customWidth="1"/>
    <col min="13339" max="13339" width="22.5703125" customWidth="1"/>
    <col min="13340" max="13340" width="23.42578125" customWidth="1"/>
    <col min="13341" max="13343" width="22.140625" customWidth="1"/>
    <col min="13344" max="13344" width="22.7109375" customWidth="1"/>
    <col min="13345" max="13345" width="22.85546875" customWidth="1"/>
    <col min="13346" max="13346" width="22.5703125" customWidth="1"/>
    <col min="13347" max="13347" width="23.42578125" customWidth="1"/>
    <col min="13348" max="13350" width="22.140625" customWidth="1"/>
    <col min="13569" max="13569" width="22.85546875" customWidth="1"/>
    <col min="13570" max="13570" width="15.28515625" customWidth="1"/>
    <col min="13571" max="13571" width="6.28515625" customWidth="1"/>
    <col min="13573" max="13573" width="4.28515625" customWidth="1"/>
    <col min="13574" max="13574" width="11.28515625" customWidth="1"/>
    <col min="13575" max="13575" width="3.28515625" customWidth="1"/>
    <col min="13576" max="13576" width="9.7109375" customWidth="1"/>
    <col min="13577" max="13579" width="9.140625" customWidth="1"/>
    <col min="13580" max="13580" width="22.5703125" bestFit="1" customWidth="1"/>
    <col min="13581" max="13581" width="32.28515625" customWidth="1"/>
    <col min="13582" max="13582" width="21.28515625" customWidth="1"/>
    <col min="13583" max="13583" width="18.7109375" customWidth="1"/>
    <col min="13585" max="13585" width="26.7109375" customWidth="1"/>
    <col min="13586" max="13586" width="13.140625" customWidth="1"/>
    <col min="13588" max="13588" width="24.140625" customWidth="1"/>
    <col min="13589" max="13590" width="18.42578125" customWidth="1"/>
    <col min="13591" max="13591" width="23.85546875" customWidth="1"/>
    <col min="13592" max="13592" width="23.28515625" customWidth="1"/>
    <col min="13593" max="13593" width="22.7109375" customWidth="1"/>
    <col min="13594" max="13594" width="22.85546875" customWidth="1"/>
    <col min="13595" max="13595" width="22.5703125" customWidth="1"/>
    <col min="13596" max="13596" width="23.42578125" customWidth="1"/>
    <col min="13597" max="13599" width="22.140625" customWidth="1"/>
    <col min="13600" max="13600" width="22.7109375" customWidth="1"/>
    <col min="13601" max="13601" width="22.85546875" customWidth="1"/>
    <col min="13602" max="13602" width="22.5703125" customWidth="1"/>
    <col min="13603" max="13603" width="23.42578125" customWidth="1"/>
    <col min="13604" max="13606" width="22.140625" customWidth="1"/>
    <col min="13825" max="13825" width="22.85546875" customWidth="1"/>
    <col min="13826" max="13826" width="15.28515625" customWidth="1"/>
    <col min="13827" max="13827" width="6.28515625" customWidth="1"/>
    <col min="13829" max="13829" width="4.28515625" customWidth="1"/>
    <col min="13830" max="13830" width="11.28515625" customWidth="1"/>
    <col min="13831" max="13831" width="3.28515625" customWidth="1"/>
    <col min="13832" max="13832" width="9.7109375" customWidth="1"/>
    <col min="13833" max="13835" width="9.140625" customWidth="1"/>
    <col min="13836" max="13836" width="22.5703125" bestFit="1" customWidth="1"/>
    <col min="13837" max="13837" width="32.28515625" customWidth="1"/>
    <col min="13838" max="13838" width="21.28515625" customWidth="1"/>
    <col min="13839" max="13839" width="18.7109375" customWidth="1"/>
    <col min="13841" max="13841" width="26.7109375" customWidth="1"/>
    <col min="13842" max="13842" width="13.140625" customWidth="1"/>
    <col min="13844" max="13844" width="24.140625" customWidth="1"/>
    <col min="13845" max="13846" width="18.42578125" customWidth="1"/>
    <col min="13847" max="13847" width="23.85546875" customWidth="1"/>
    <col min="13848" max="13848" width="23.28515625" customWidth="1"/>
    <col min="13849" max="13849" width="22.7109375" customWidth="1"/>
    <col min="13850" max="13850" width="22.85546875" customWidth="1"/>
    <col min="13851" max="13851" width="22.5703125" customWidth="1"/>
    <col min="13852" max="13852" width="23.42578125" customWidth="1"/>
    <col min="13853" max="13855" width="22.140625" customWidth="1"/>
    <col min="13856" max="13856" width="22.7109375" customWidth="1"/>
    <col min="13857" max="13857" width="22.85546875" customWidth="1"/>
    <col min="13858" max="13858" width="22.5703125" customWidth="1"/>
    <col min="13859" max="13859" width="23.42578125" customWidth="1"/>
    <col min="13860" max="13862" width="22.140625" customWidth="1"/>
    <col min="14081" max="14081" width="22.85546875" customWidth="1"/>
    <col min="14082" max="14082" width="15.28515625" customWidth="1"/>
    <col min="14083" max="14083" width="6.28515625" customWidth="1"/>
    <col min="14085" max="14085" width="4.28515625" customWidth="1"/>
    <col min="14086" max="14086" width="11.28515625" customWidth="1"/>
    <col min="14087" max="14087" width="3.28515625" customWidth="1"/>
    <col min="14088" max="14088" width="9.7109375" customWidth="1"/>
    <col min="14089" max="14091" width="9.140625" customWidth="1"/>
    <col min="14092" max="14092" width="22.5703125" bestFit="1" customWidth="1"/>
    <col min="14093" max="14093" width="32.28515625" customWidth="1"/>
    <col min="14094" max="14094" width="21.28515625" customWidth="1"/>
    <col min="14095" max="14095" width="18.7109375" customWidth="1"/>
    <col min="14097" max="14097" width="26.7109375" customWidth="1"/>
    <col min="14098" max="14098" width="13.140625" customWidth="1"/>
    <col min="14100" max="14100" width="24.140625" customWidth="1"/>
    <col min="14101" max="14102" width="18.42578125" customWidth="1"/>
    <col min="14103" max="14103" width="23.85546875" customWidth="1"/>
    <col min="14104" max="14104" width="23.28515625" customWidth="1"/>
    <col min="14105" max="14105" width="22.7109375" customWidth="1"/>
    <col min="14106" max="14106" width="22.85546875" customWidth="1"/>
    <col min="14107" max="14107" width="22.5703125" customWidth="1"/>
    <col min="14108" max="14108" width="23.42578125" customWidth="1"/>
    <col min="14109" max="14111" width="22.140625" customWidth="1"/>
    <col min="14112" max="14112" width="22.7109375" customWidth="1"/>
    <col min="14113" max="14113" width="22.85546875" customWidth="1"/>
    <col min="14114" max="14114" width="22.5703125" customWidth="1"/>
    <col min="14115" max="14115" width="23.42578125" customWidth="1"/>
    <col min="14116" max="14118" width="22.140625" customWidth="1"/>
    <col min="14337" max="14337" width="22.85546875" customWidth="1"/>
    <col min="14338" max="14338" width="15.28515625" customWidth="1"/>
    <col min="14339" max="14339" width="6.28515625" customWidth="1"/>
    <col min="14341" max="14341" width="4.28515625" customWidth="1"/>
    <col min="14342" max="14342" width="11.28515625" customWidth="1"/>
    <col min="14343" max="14343" width="3.28515625" customWidth="1"/>
    <col min="14344" max="14344" width="9.7109375" customWidth="1"/>
    <col min="14345" max="14347" width="9.140625" customWidth="1"/>
    <col min="14348" max="14348" width="22.5703125" bestFit="1" customWidth="1"/>
    <col min="14349" max="14349" width="32.28515625" customWidth="1"/>
    <col min="14350" max="14350" width="21.28515625" customWidth="1"/>
    <col min="14351" max="14351" width="18.7109375" customWidth="1"/>
    <col min="14353" max="14353" width="26.7109375" customWidth="1"/>
    <col min="14354" max="14354" width="13.140625" customWidth="1"/>
    <col min="14356" max="14356" width="24.140625" customWidth="1"/>
    <col min="14357" max="14358" width="18.42578125" customWidth="1"/>
    <col min="14359" max="14359" width="23.85546875" customWidth="1"/>
    <col min="14360" max="14360" width="23.28515625" customWidth="1"/>
    <col min="14361" max="14361" width="22.7109375" customWidth="1"/>
    <col min="14362" max="14362" width="22.85546875" customWidth="1"/>
    <col min="14363" max="14363" width="22.5703125" customWidth="1"/>
    <col min="14364" max="14364" width="23.42578125" customWidth="1"/>
    <col min="14365" max="14367" width="22.140625" customWidth="1"/>
    <col min="14368" max="14368" width="22.7109375" customWidth="1"/>
    <col min="14369" max="14369" width="22.85546875" customWidth="1"/>
    <col min="14370" max="14370" width="22.5703125" customWidth="1"/>
    <col min="14371" max="14371" width="23.42578125" customWidth="1"/>
    <col min="14372" max="14374" width="22.140625" customWidth="1"/>
    <col min="14593" max="14593" width="22.85546875" customWidth="1"/>
    <col min="14594" max="14594" width="15.28515625" customWidth="1"/>
    <col min="14595" max="14595" width="6.28515625" customWidth="1"/>
    <col min="14597" max="14597" width="4.28515625" customWidth="1"/>
    <col min="14598" max="14598" width="11.28515625" customWidth="1"/>
    <col min="14599" max="14599" width="3.28515625" customWidth="1"/>
    <col min="14600" max="14600" width="9.7109375" customWidth="1"/>
    <col min="14601" max="14603" width="9.140625" customWidth="1"/>
    <col min="14604" max="14604" width="22.5703125" bestFit="1" customWidth="1"/>
    <col min="14605" max="14605" width="32.28515625" customWidth="1"/>
    <col min="14606" max="14606" width="21.28515625" customWidth="1"/>
    <col min="14607" max="14607" width="18.7109375" customWidth="1"/>
    <col min="14609" max="14609" width="26.7109375" customWidth="1"/>
    <col min="14610" max="14610" width="13.140625" customWidth="1"/>
    <col min="14612" max="14612" width="24.140625" customWidth="1"/>
    <col min="14613" max="14614" width="18.42578125" customWidth="1"/>
    <col min="14615" max="14615" width="23.85546875" customWidth="1"/>
    <col min="14616" max="14616" width="23.28515625" customWidth="1"/>
    <col min="14617" max="14617" width="22.7109375" customWidth="1"/>
    <col min="14618" max="14618" width="22.85546875" customWidth="1"/>
    <col min="14619" max="14619" width="22.5703125" customWidth="1"/>
    <col min="14620" max="14620" width="23.42578125" customWidth="1"/>
    <col min="14621" max="14623" width="22.140625" customWidth="1"/>
    <col min="14624" max="14624" width="22.7109375" customWidth="1"/>
    <col min="14625" max="14625" width="22.85546875" customWidth="1"/>
    <col min="14626" max="14626" width="22.5703125" customWidth="1"/>
    <col min="14627" max="14627" width="23.42578125" customWidth="1"/>
    <col min="14628" max="14630" width="22.140625" customWidth="1"/>
    <col min="14849" max="14849" width="22.85546875" customWidth="1"/>
    <col min="14850" max="14850" width="15.28515625" customWidth="1"/>
    <col min="14851" max="14851" width="6.28515625" customWidth="1"/>
    <col min="14853" max="14853" width="4.28515625" customWidth="1"/>
    <col min="14854" max="14854" width="11.28515625" customWidth="1"/>
    <col min="14855" max="14855" width="3.28515625" customWidth="1"/>
    <col min="14856" max="14856" width="9.7109375" customWidth="1"/>
    <col min="14857" max="14859" width="9.140625" customWidth="1"/>
    <col min="14860" max="14860" width="22.5703125" bestFit="1" customWidth="1"/>
    <col min="14861" max="14861" width="32.28515625" customWidth="1"/>
    <col min="14862" max="14862" width="21.28515625" customWidth="1"/>
    <col min="14863" max="14863" width="18.7109375" customWidth="1"/>
    <col min="14865" max="14865" width="26.7109375" customWidth="1"/>
    <col min="14866" max="14866" width="13.140625" customWidth="1"/>
    <col min="14868" max="14868" width="24.140625" customWidth="1"/>
    <col min="14869" max="14870" width="18.42578125" customWidth="1"/>
    <col min="14871" max="14871" width="23.85546875" customWidth="1"/>
    <col min="14872" max="14872" width="23.28515625" customWidth="1"/>
    <col min="14873" max="14873" width="22.7109375" customWidth="1"/>
    <col min="14874" max="14874" width="22.85546875" customWidth="1"/>
    <col min="14875" max="14875" width="22.5703125" customWidth="1"/>
    <col min="14876" max="14876" width="23.42578125" customWidth="1"/>
    <col min="14877" max="14879" width="22.140625" customWidth="1"/>
    <col min="14880" max="14880" width="22.7109375" customWidth="1"/>
    <col min="14881" max="14881" width="22.85546875" customWidth="1"/>
    <col min="14882" max="14882" width="22.5703125" customWidth="1"/>
    <col min="14883" max="14883" width="23.42578125" customWidth="1"/>
    <col min="14884" max="14886" width="22.140625" customWidth="1"/>
    <col min="15105" max="15105" width="22.85546875" customWidth="1"/>
    <col min="15106" max="15106" width="15.28515625" customWidth="1"/>
    <col min="15107" max="15107" width="6.28515625" customWidth="1"/>
    <col min="15109" max="15109" width="4.28515625" customWidth="1"/>
    <col min="15110" max="15110" width="11.28515625" customWidth="1"/>
    <col min="15111" max="15111" width="3.28515625" customWidth="1"/>
    <col min="15112" max="15112" width="9.7109375" customWidth="1"/>
    <col min="15113" max="15115" width="9.140625" customWidth="1"/>
    <col min="15116" max="15116" width="22.5703125" bestFit="1" customWidth="1"/>
    <col min="15117" max="15117" width="32.28515625" customWidth="1"/>
    <col min="15118" max="15118" width="21.28515625" customWidth="1"/>
    <col min="15119" max="15119" width="18.7109375" customWidth="1"/>
    <col min="15121" max="15121" width="26.7109375" customWidth="1"/>
    <col min="15122" max="15122" width="13.140625" customWidth="1"/>
    <col min="15124" max="15124" width="24.140625" customWidth="1"/>
    <col min="15125" max="15126" width="18.42578125" customWidth="1"/>
    <col min="15127" max="15127" width="23.85546875" customWidth="1"/>
    <col min="15128" max="15128" width="23.28515625" customWidth="1"/>
    <col min="15129" max="15129" width="22.7109375" customWidth="1"/>
    <col min="15130" max="15130" width="22.85546875" customWidth="1"/>
    <col min="15131" max="15131" width="22.5703125" customWidth="1"/>
    <col min="15132" max="15132" width="23.42578125" customWidth="1"/>
    <col min="15133" max="15135" width="22.140625" customWidth="1"/>
    <col min="15136" max="15136" width="22.7109375" customWidth="1"/>
    <col min="15137" max="15137" width="22.85546875" customWidth="1"/>
    <col min="15138" max="15138" width="22.5703125" customWidth="1"/>
    <col min="15139" max="15139" width="23.42578125" customWidth="1"/>
    <col min="15140" max="15142" width="22.140625" customWidth="1"/>
    <col min="15361" max="15361" width="22.85546875" customWidth="1"/>
    <col min="15362" max="15362" width="15.28515625" customWidth="1"/>
    <col min="15363" max="15363" width="6.28515625" customWidth="1"/>
    <col min="15365" max="15365" width="4.28515625" customWidth="1"/>
    <col min="15366" max="15366" width="11.28515625" customWidth="1"/>
    <col min="15367" max="15367" width="3.28515625" customWidth="1"/>
    <col min="15368" max="15368" width="9.7109375" customWidth="1"/>
    <col min="15369" max="15371" width="9.140625" customWidth="1"/>
    <col min="15372" max="15372" width="22.5703125" bestFit="1" customWidth="1"/>
    <col min="15373" max="15373" width="32.28515625" customWidth="1"/>
    <col min="15374" max="15374" width="21.28515625" customWidth="1"/>
    <col min="15375" max="15375" width="18.7109375" customWidth="1"/>
    <col min="15377" max="15377" width="26.7109375" customWidth="1"/>
    <col min="15378" max="15378" width="13.140625" customWidth="1"/>
    <col min="15380" max="15380" width="24.140625" customWidth="1"/>
    <col min="15381" max="15382" width="18.42578125" customWidth="1"/>
    <col min="15383" max="15383" width="23.85546875" customWidth="1"/>
    <col min="15384" max="15384" width="23.28515625" customWidth="1"/>
    <col min="15385" max="15385" width="22.7109375" customWidth="1"/>
    <col min="15386" max="15386" width="22.85546875" customWidth="1"/>
    <col min="15387" max="15387" width="22.5703125" customWidth="1"/>
    <col min="15388" max="15388" width="23.42578125" customWidth="1"/>
    <col min="15389" max="15391" width="22.140625" customWidth="1"/>
    <col min="15392" max="15392" width="22.7109375" customWidth="1"/>
    <col min="15393" max="15393" width="22.85546875" customWidth="1"/>
    <col min="15394" max="15394" width="22.5703125" customWidth="1"/>
    <col min="15395" max="15395" width="23.42578125" customWidth="1"/>
    <col min="15396" max="15398" width="22.140625" customWidth="1"/>
    <col min="15617" max="15617" width="22.85546875" customWidth="1"/>
    <col min="15618" max="15618" width="15.28515625" customWidth="1"/>
    <col min="15619" max="15619" width="6.28515625" customWidth="1"/>
    <col min="15621" max="15621" width="4.28515625" customWidth="1"/>
    <col min="15622" max="15622" width="11.28515625" customWidth="1"/>
    <col min="15623" max="15623" width="3.28515625" customWidth="1"/>
    <col min="15624" max="15624" width="9.7109375" customWidth="1"/>
    <col min="15625" max="15627" width="9.140625" customWidth="1"/>
    <col min="15628" max="15628" width="22.5703125" bestFit="1" customWidth="1"/>
    <col min="15629" max="15629" width="32.28515625" customWidth="1"/>
    <col min="15630" max="15630" width="21.28515625" customWidth="1"/>
    <col min="15631" max="15631" width="18.7109375" customWidth="1"/>
    <col min="15633" max="15633" width="26.7109375" customWidth="1"/>
    <col min="15634" max="15634" width="13.140625" customWidth="1"/>
    <col min="15636" max="15636" width="24.140625" customWidth="1"/>
    <col min="15637" max="15638" width="18.42578125" customWidth="1"/>
    <col min="15639" max="15639" width="23.85546875" customWidth="1"/>
    <col min="15640" max="15640" width="23.28515625" customWidth="1"/>
    <col min="15641" max="15641" width="22.7109375" customWidth="1"/>
    <col min="15642" max="15642" width="22.85546875" customWidth="1"/>
    <col min="15643" max="15643" width="22.5703125" customWidth="1"/>
    <col min="15644" max="15644" width="23.42578125" customWidth="1"/>
    <col min="15645" max="15647" width="22.140625" customWidth="1"/>
    <col min="15648" max="15648" width="22.7109375" customWidth="1"/>
    <col min="15649" max="15649" width="22.85546875" customWidth="1"/>
    <col min="15650" max="15650" width="22.5703125" customWidth="1"/>
    <col min="15651" max="15651" width="23.42578125" customWidth="1"/>
    <col min="15652" max="15654" width="22.140625" customWidth="1"/>
    <col min="15873" max="15873" width="22.85546875" customWidth="1"/>
    <col min="15874" max="15874" width="15.28515625" customWidth="1"/>
    <col min="15875" max="15875" width="6.28515625" customWidth="1"/>
    <col min="15877" max="15877" width="4.28515625" customWidth="1"/>
    <col min="15878" max="15878" width="11.28515625" customWidth="1"/>
    <col min="15879" max="15879" width="3.28515625" customWidth="1"/>
    <col min="15880" max="15880" width="9.7109375" customWidth="1"/>
    <col min="15881" max="15883" width="9.140625" customWidth="1"/>
    <col min="15884" max="15884" width="22.5703125" bestFit="1" customWidth="1"/>
    <col min="15885" max="15885" width="32.28515625" customWidth="1"/>
    <col min="15886" max="15886" width="21.28515625" customWidth="1"/>
    <col min="15887" max="15887" width="18.7109375" customWidth="1"/>
    <col min="15889" max="15889" width="26.7109375" customWidth="1"/>
    <col min="15890" max="15890" width="13.140625" customWidth="1"/>
    <col min="15892" max="15892" width="24.140625" customWidth="1"/>
    <col min="15893" max="15894" width="18.42578125" customWidth="1"/>
    <col min="15895" max="15895" width="23.85546875" customWidth="1"/>
    <col min="15896" max="15896" width="23.28515625" customWidth="1"/>
    <col min="15897" max="15897" width="22.7109375" customWidth="1"/>
    <col min="15898" max="15898" width="22.85546875" customWidth="1"/>
    <col min="15899" max="15899" width="22.5703125" customWidth="1"/>
    <col min="15900" max="15900" width="23.42578125" customWidth="1"/>
    <col min="15901" max="15903" width="22.140625" customWidth="1"/>
    <col min="15904" max="15904" width="22.7109375" customWidth="1"/>
    <col min="15905" max="15905" width="22.85546875" customWidth="1"/>
    <col min="15906" max="15906" width="22.5703125" customWidth="1"/>
    <col min="15907" max="15907" width="23.42578125" customWidth="1"/>
    <col min="15908" max="15910" width="22.140625" customWidth="1"/>
    <col min="16129" max="16129" width="22.85546875" customWidth="1"/>
    <col min="16130" max="16130" width="15.28515625" customWidth="1"/>
    <col min="16131" max="16131" width="6.28515625" customWidth="1"/>
    <col min="16133" max="16133" width="4.28515625" customWidth="1"/>
    <col min="16134" max="16134" width="11.28515625" customWidth="1"/>
    <col min="16135" max="16135" width="3.28515625" customWidth="1"/>
    <col min="16136" max="16136" width="9.7109375" customWidth="1"/>
    <col min="16137" max="16139" width="9.140625" customWidth="1"/>
    <col min="16140" max="16140" width="22.5703125" bestFit="1" customWidth="1"/>
    <col min="16141" max="16141" width="32.28515625" customWidth="1"/>
    <col min="16142" max="16142" width="21.28515625" customWidth="1"/>
    <col min="16143" max="16143" width="18.7109375" customWidth="1"/>
    <col min="16145" max="16145" width="26.7109375" customWidth="1"/>
    <col min="16146" max="16146" width="13.140625" customWidth="1"/>
    <col min="16148" max="16148" width="24.140625" customWidth="1"/>
    <col min="16149" max="16150" width="18.42578125" customWidth="1"/>
    <col min="16151" max="16151" width="23.85546875" customWidth="1"/>
    <col min="16152" max="16152" width="23.28515625" customWidth="1"/>
    <col min="16153" max="16153" width="22.7109375" customWidth="1"/>
    <col min="16154" max="16154" width="22.85546875" customWidth="1"/>
    <col min="16155" max="16155" width="22.5703125" customWidth="1"/>
    <col min="16156" max="16156" width="23.42578125" customWidth="1"/>
    <col min="16157" max="16159" width="22.140625" customWidth="1"/>
    <col min="16160" max="16160" width="22.7109375" customWidth="1"/>
    <col min="16161" max="16161" width="22.85546875" customWidth="1"/>
    <col min="16162" max="16162" width="22.5703125" customWidth="1"/>
    <col min="16163" max="16163" width="23.42578125" customWidth="1"/>
    <col min="16164" max="16166" width="22.140625" customWidth="1"/>
  </cols>
  <sheetData>
    <row r="3" spans="1:38" ht="18.75" thickBot="1" x14ac:dyDescent="0.3">
      <c r="A3" s="454" t="s">
        <v>413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</row>
    <row r="4" spans="1:38" ht="18" x14ac:dyDescent="0.25">
      <c r="A4" s="454" t="s">
        <v>414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T4" t="s">
        <v>415</v>
      </c>
      <c r="Y4" s="644" t="s">
        <v>416</v>
      </c>
      <c r="Z4" s="645"/>
      <c r="AA4" s="645"/>
      <c r="AB4" s="645"/>
      <c r="AC4" s="645"/>
      <c r="AD4" s="645"/>
      <c r="AE4" s="646"/>
      <c r="AF4" s="647" t="s">
        <v>417</v>
      </c>
      <c r="AG4" s="648"/>
      <c r="AH4" s="648"/>
      <c r="AI4" s="648"/>
      <c r="AJ4" s="648"/>
      <c r="AK4" s="648"/>
      <c r="AL4" s="649"/>
    </row>
    <row r="5" spans="1:38" x14ac:dyDescent="0.2">
      <c r="T5" t="s">
        <v>20</v>
      </c>
      <c r="Y5" s="456"/>
      <c r="Z5" s="650" t="s">
        <v>418</v>
      </c>
      <c r="AA5" s="650"/>
      <c r="AB5" s="650" t="s">
        <v>419</v>
      </c>
      <c r="AC5" s="650"/>
      <c r="AD5" s="613" t="s">
        <v>420</v>
      </c>
      <c r="AE5" s="457" t="s">
        <v>421</v>
      </c>
      <c r="AF5" s="458"/>
      <c r="AG5" s="651" t="s">
        <v>418</v>
      </c>
      <c r="AH5" s="651"/>
      <c r="AI5" s="651" t="s">
        <v>419</v>
      </c>
      <c r="AJ5" s="651"/>
      <c r="AK5" s="614" t="s">
        <v>420</v>
      </c>
      <c r="AL5" s="459" t="s">
        <v>419</v>
      </c>
    </row>
    <row r="6" spans="1:38" ht="15.75" x14ac:dyDescent="0.25">
      <c r="A6" s="460" t="s">
        <v>422</v>
      </c>
      <c r="L6" s="461">
        <v>41578</v>
      </c>
      <c r="M6" s="461"/>
      <c r="P6" s="462" t="s">
        <v>423</v>
      </c>
      <c r="Q6" s="609" t="s">
        <v>424</v>
      </c>
      <c r="T6" t="s">
        <v>425</v>
      </c>
      <c r="U6" s="609" t="s">
        <v>426</v>
      </c>
      <c r="V6" s="609" t="s">
        <v>427</v>
      </c>
      <c r="W6" s="609" t="s">
        <v>17</v>
      </c>
      <c r="X6" s="609" t="s">
        <v>387</v>
      </c>
      <c r="Y6" s="463" t="s">
        <v>428</v>
      </c>
      <c r="Z6" s="464" t="s">
        <v>429</v>
      </c>
      <c r="AA6" s="464" t="s">
        <v>430</v>
      </c>
      <c r="AB6" s="464" t="s">
        <v>429</v>
      </c>
      <c r="AC6" s="464" t="s">
        <v>430</v>
      </c>
      <c r="AD6" s="464" t="s">
        <v>429</v>
      </c>
      <c r="AE6" s="465" t="s">
        <v>429</v>
      </c>
      <c r="AF6" s="466" t="s">
        <v>428</v>
      </c>
      <c r="AG6" s="467" t="s">
        <v>429</v>
      </c>
      <c r="AH6" s="467" t="s">
        <v>430</v>
      </c>
      <c r="AI6" s="467" t="s">
        <v>429</v>
      </c>
      <c r="AJ6" s="467" t="s">
        <v>430</v>
      </c>
      <c r="AK6" s="467" t="s">
        <v>429</v>
      </c>
      <c r="AL6" s="468" t="s">
        <v>429</v>
      </c>
    </row>
    <row r="7" spans="1:38" x14ac:dyDescent="0.2">
      <c r="B7" s="469" t="s">
        <v>431</v>
      </c>
      <c r="F7" s="469" t="s">
        <v>432</v>
      </c>
      <c r="H7" s="469" t="s">
        <v>433</v>
      </c>
      <c r="I7" s="469"/>
      <c r="J7" s="469"/>
      <c r="K7" s="469" t="s">
        <v>6</v>
      </c>
      <c r="L7" s="469" t="s">
        <v>389</v>
      </c>
      <c r="M7" s="469"/>
      <c r="N7" s="469" t="s">
        <v>434</v>
      </c>
      <c r="O7" s="469" t="s">
        <v>435</v>
      </c>
      <c r="P7" s="469" t="s">
        <v>436</v>
      </c>
      <c r="Q7" s="469" t="s">
        <v>437</v>
      </c>
      <c r="W7" s="462" t="s">
        <v>438</v>
      </c>
      <c r="X7" s="609" t="s">
        <v>438</v>
      </c>
      <c r="Y7" s="463" t="s">
        <v>438</v>
      </c>
      <c r="Z7" s="470" t="s">
        <v>438</v>
      </c>
      <c r="AA7" s="470" t="s">
        <v>438</v>
      </c>
      <c r="AB7" s="470" t="s">
        <v>438</v>
      </c>
      <c r="AC7" s="470" t="s">
        <v>438</v>
      </c>
      <c r="AD7" s="470" t="s">
        <v>438</v>
      </c>
      <c r="AE7" s="471" t="s">
        <v>438</v>
      </c>
      <c r="AF7" s="472" t="s">
        <v>438</v>
      </c>
      <c r="AG7" s="473" t="s">
        <v>438</v>
      </c>
      <c r="AH7" s="473" t="s">
        <v>438</v>
      </c>
      <c r="AI7" s="473" t="s">
        <v>438</v>
      </c>
      <c r="AJ7" s="473" t="s">
        <v>438</v>
      </c>
      <c r="AK7" s="473" t="s">
        <v>438</v>
      </c>
      <c r="AL7" s="474" t="s">
        <v>438</v>
      </c>
    </row>
    <row r="8" spans="1:38" x14ac:dyDescent="0.2">
      <c r="A8" s="475" t="s">
        <v>439</v>
      </c>
      <c r="B8" s="475"/>
      <c r="Y8" s="456"/>
      <c r="Z8" s="476"/>
      <c r="AA8" s="476"/>
      <c r="AB8" s="476"/>
      <c r="AC8" s="476"/>
      <c r="AD8" s="476"/>
      <c r="AE8" s="477"/>
      <c r="AF8" s="458"/>
      <c r="AG8" s="478"/>
      <c r="AH8" s="478"/>
      <c r="AI8" s="478"/>
      <c r="AJ8" s="478"/>
      <c r="AK8" s="478"/>
      <c r="AL8" s="479"/>
    </row>
    <row r="9" spans="1:38" ht="15" customHeight="1" x14ac:dyDescent="0.2">
      <c r="A9" s="480" t="s">
        <v>440</v>
      </c>
      <c r="B9" s="461">
        <v>40498</v>
      </c>
      <c r="F9" s="462" t="s">
        <v>441</v>
      </c>
      <c r="H9" s="347">
        <v>1.6250000000000001E-2</v>
      </c>
      <c r="I9" s="347"/>
      <c r="L9" s="481">
        <v>250000000</v>
      </c>
      <c r="M9" s="481"/>
      <c r="O9" s="482"/>
      <c r="P9" s="462" t="s">
        <v>442</v>
      </c>
      <c r="T9" s="483"/>
      <c r="U9" s="483"/>
      <c r="V9" s="483"/>
      <c r="W9" s="483"/>
      <c r="X9" s="483"/>
      <c r="Y9" s="484"/>
      <c r="Z9" s="476"/>
      <c r="AA9" s="476"/>
      <c r="AB9" s="476"/>
      <c r="AC9" s="476"/>
      <c r="AD9" s="476"/>
      <c r="AE9" s="477"/>
      <c r="AF9" s="485"/>
      <c r="AG9" s="478"/>
      <c r="AH9" s="478"/>
      <c r="AI9" s="478"/>
      <c r="AJ9" s="478"/>
      <c r="AK9" s="478"/>
      <c r="AL9" s="479"/>
    </row>
    <row r="10" spans="1:38" ht="15" customHeight="1" x14ac:dyDescent="0.35">
      <c r="A10" s="480" t="s">
        <v>443</v>
      </c>
      <c r="B10" s="461">
        <v>40498</v>
      </c>
      <c r="F10" s="462" t="s">
        <v>444</v>
      </c>
      <c r="H10" s="347">
        <v>5.1249999999999997E-2</v>
      </c>
      <c r="I10" s="347"/>
      <c r="L10" s="486">
        <v>285000000</v>
      </c>
      <c r="M10" s="486"/>
      <c r="O10" s="487"/>
      <c r="P10" s="462" t="s">
        <v>445</v>
      </c>
      <c r="T10" s="488" t="s">
        <v>446</v>
      </c>
      <c r="U10" s="483"/>
      <c r="V10" s="483"/>
      <c r="W10" s="483"/>
      <c r="X10" s="483"/>
      <c r="Y10" s="484"/>
      <c r="Z10" s="476"/>
      <c r="AA10" s="476"/>
      <c r="AB10" s="476"/>
      <c r="AC10" s="476"/>
      <c r="AD10" s="476"/>
      <c r="AE10" s="477"/>
      <c r="AF10" s="485"/>
      <c r="AG10" s="478"/>
      <c r="AH10" s="478"/>
      <c r="AI10" s="478"/>
      <c r="AJ10" s="478"/>
      <c r="AK10" s="478"/>
      <c r="AL10" s="479"/>
    </row>
    <row r="11" spans="1:38" ht="15" customHeight="1" x14ac:dyDescent="0.2">
      <c r="A11" s="489"/>
      <c r="H11" s="490" t="s">
        <v>447</v>
      </c>
      <c r="I11" s="347"/>
      <c r="L11" s="481">
        <f>SUM(L9:L10)</f>
        <v>535000000</v>
      </c>
      <c r="M11" s="481"/>
      <c r="O11" s="482"/>
      <c r="T11" s="483"/>
      <c r="U11" s="483"/>
      <c r="V11" s="483"/>
      <c r="W11" s="483"/>
      <c r="X11" s="483"/>
      <c r="Y11" s="484"/>
      <c r="Z11" s="476"/>
      <c r="AA11" s="476"/>
      <c r="AB11" s="476"/>
      <c r="AC11" s="476"/>
      <c r="AD11" s="476"/>
      <c r="AE11" s="477"/>
      <c r="AF11" s="485"/>
      <c r="AG11" s="478"/>
      <c r="AH11" s="478"/>
      <c r="AI11" s="478"/>
      <c r="AJ11" s="478"/>
      <c r="AK11" s="478"/>
      <c r="AL11" s="479"/>
    </row>
    <row r="12" spans="1:38" ht="15" customHeight="1" x14ac:dyDescent="0.2">
      <c r="A12" s="489"/>
      <c r="F12" s="609"/>
      <c r="H12" s="347"/>
      <c r="I12" s="347"/>
      <c r="L12" s="481"/>
      <c r="M12" s="481"/>
      <c r="O12" s="482"/>
      <c r="T12" s="483"/>
      <c r="U12" s="483"/>
      <c r="V12" s="483"/>
      <c r="W12" s="483"/>
      <c r="X12" s="483"/>
      <c r="Y12" s="484"/>
      <c r="Z12" s="476"/>
      <c r="AA12" s="476"/>
      <c r="AB12" s="476"/>
      <c r="AC12" s="476"/>
      <c r="AD12" s="476"/>
      <c r="AE12" s="477"/>
      <c r="AF12" s="485"/>
      <c r="AG12" s="478"/>
      <c r="AH12" s="478"/>
      <c r="AI12" s="478"/>
      <c r="AJ12" s="478"/>
      <c r="AK12" s="478"/>
      <c r="AL12" s="479"/>
    </row>
    <row r="13" spans="1:38" ht="15" x14ac:dyDescent="0.2">
      <c r="A13" s="491" t="s">
        <v>448</v>
      </c>
      <c r="F13" s="609"/>
      <c r="L13" s="481"/>
      <c r="M13" s="481"/>
      <c r="O13" s="482"/>
      <c r="T13" s="483"/>
      <c r="U13" s="483"/>
      <c r="V13" s="483"/>
      <c r="W13" s="483"/>
      <c r="X13" s="483"/>
      <c r="Y13" s="492"/>
      <c r="Z13" s="476"/>
      <c r="AA13" s="493"/>
      <c r="AB13" s="476"/>
      <c r="AC13" s="476"/>
      <c r="AD13" s="476"/>
      <c r="AE13" s="477"/>
      <c r="AF13" s="494"/>
      <c r="AG13" s="478"/>
      <c r="AH13" s="495"/>
      <c r="AI13" s="478"/>
      <c r="AJ13" s="478"/>
      <c r="AK13" s="478"/>
      <c r="AL13" s="479"/>
    </row>
    <row r="14" spans="1:38" ht="15" x14ac:dyDescent="0.2">
      <c r="A14" s="496" t="s">
        <v>449</v>
      </c>
      <c r="B14" s="461">
        <v>36665</v>
      </c>
      <c r="D14" t="s">
        <v>450</v>
      </c>
      <c r="F14" s="609"/>
      <c r="H14" s="497" t="s">
        <v>16</v>
      </c>
      <c r="I14" s="498">
        <f>(0.0475*18+0.0445*3)/21</f>
        <v>4.707142857142857E-2</v>
      </c>
      <c r="J14">
        <f>I14*L14/L$77</f>
        <v>2.6891299945086723E-4</v>
      </c>
      <c r="K14" s="448"/>
      <c r="L14" s="481">
        <v>25000000</v>
      </c>
      <c r="M14" s="11" t="s">
        <v>451</v>
      </c>
      <c r="N14" t="s">
        <v>452</v>
      </c>
      <c r="O14" s="487">
        <v>42704</v>
      </c>
      <c r="Q14" s="499" t="s">
        <v>453</v>
      </c>
      <c r="S14" t="s">
        <v>454</v>
      </c>
      <c r="T14" s="483"/>
      <c r="U14" s="500"/>
      <c r="V14" s="500">
        <f>L14</f>
        <v>25000000</v>
      </c>
      <c r="W14" s="501" t="str">
        <f>H14</f>
        <v>Variable</v>
      </c>
      <c r="X14" s="501"/>
      <c r="Y14" s="502" t="e">
        <f t="shared" ref="Y14:Y26" si="0">$L14*($W14+$X14)/L$77</f>
        <v>#VALUE!</v>
      </c>
      <c r="Z14" s="493"/>
      <c r="AA14" s="493" t="e">
        <f>($U14+$V14)*($W14+$X14)/($V$33)</f>
        <v>#VALUE!</v>
      </c>
      <c r="AB14" s="493"/>
      <c r="AC14" s="493" t="e">
        <f>($U14+$V14)*($W14+$X14)/($V$77)</f>
        <v>#VALUE!</v>
      </c>
      <c r="AD14" s="493"/>
      <c r="AE14" s="503"/>
      <c r="AF14" s="504" t="e">
        <f>$L14*($W14+$X14)/#REF!</f>
        <v>#VALUE!</v>
      </c>
      <c r="AG14" s="495"/>
      <c r="AH14" s="495" t="e">
        <f>($U14+$V14)*($W14+$X14)/($V$34)</f>
        <v>#VALUE!</v>
      </c>
      <c r="AI14" s="495"/>
      <c r="AJ14" s="495" t="e">
        <f>($U14+$V14)*($W14+$X14)/(#REF!)</f>
        <v>#VALUE!</v>
      </c>
      <c r="AK14" s="495"/>
      <c r="AL14" s="505"/>
    </row>
    <row r="15" spans="1:38" ht="15" x14ac:dyDescent="0.2">
      <c r="A15" s="506">
        <v>47696</v>
      </c>
      <c r="B15" s="461">
        <v>36747</v>
      </c>
      <c r="D15" t="s">
        <v>455</v>
      </c>
      <c r="F15" s="609" t="s">
        <v>456</v>
      </c>
      <c r="H15" s="498" t="s">
        <v>16</v>
      </c>
      <c r="I15" s="498">
        <f>(0.0455*16+0.048*5)/21</f>
        <v>4.6095238095238092E-2</v>
      </c>
      <c r="J15">
        <f>I15*L15/L$77</f>
        <v>8.7780471969013273E-4</v>
      </c>
      <c r="K15" s="448">
        <v>5.0000000000000001E-3</v>
      </c>
      <c r="L15" s="481">
        <v>83335000</v>
      </c>
      <c r="M15" s="11" t="s">
        <v>457</v>
      </c>
      <c r="N15" t="s">
        <v>458</v>
      </c>
      <c r="O15" s="609" t="s">
        <v>35</v>
      </c>
      <c r="Q15" t="s">
        <v>459</v>
      </c>
      <c r="S15" t="s">
        <v>460</v>
      </c>
      <c r="T15" s="507">
        <v>44136</v>
      </c>
      <c r="U15" s="500"/>
      <c r="V15" s="500">
        <f>L15</f>
        <v>83335000</v>
      </c>
      <c r="W15" s="501"/>
      <c r="X15" s="508">
        <v>5.4949999999999999E-2</v>
      </c>
      <c r="Y15" s="502">
        <f t="shared" si="0"/>
        <v>1.0464284672380461E-3</v>
      </c>
      <c r="Z15" s="493"/>
      <c r="AA15" s="493">
        <f>($U15+$V15)*($W15+$X15)/($V$33)</f>
        <v>1.0079722498591251E-2</v>
      </c>
      <c r="AB15" s="493"/>
      <c r="AC15" s="493" t="e">
        <f>($U15+$V15)*($W15+$X15)/($V$77)</f>
        <v>#REF!</v>
      </c>
      <c r="AD15" s="493"/>
      <c r="AE15" s="503"/>
      <c r="AF15" s="504" t="e">
        <f>$L15*($W15+$X15)/#REF!</f>
        <v>#REF!</v>
      </c>
      <c r="AG15" s="495"/>
      <c r="AH15" s="495">
        <f>($U15+$V15)*($W15+$X15)/($V$34)</f>
        <v>1.5730660691711553E-2</v>
      </c>
      <c r="AI15" s="495"/>
      <c r="AJ15" s="495" t="e">
        <f>($U15+$V15)*($W15+$X15)/(#REF!)</f>
        <v>#REF!</v>
      </c>
      <c r="AK15" s="495"/>
      <c r="AL15" s="505"/>
    </row>
    <row r="16" spans="1:38" ht="15" x14ac:dyDescent="0.2">
      <c r="A16" s="496" t="s">
        <v>461</v>
      </c>
      <c r="B16" s="461">
        <v>37145</v>
      </c>
      <c r="D16" t="s">
        <v>462</v>
      </c>
      <c r="F16" s="609" t="s">
        <v>463</v>
      </c>
      <c r="H16" s="498" t="s">
        <v>16</v>
      </c>
      <c r="I16" s="347"/>
      <c r="K16" s="448">
        <v>5.0000000000000001E-3</v>
      </c>
      <c r="L16" s="481">
        <v>10104000</v>
      </c>
      <c r="M16" s="11" t="s">
        <v>464</v>
      </c>
      <c r="N16" t="s">
        <v>458</v>
      </c>
      <c r="O16" s="509"/>
      <c r="Q16" t="s">
        <v>465</v>
      </c>
      <c r="S16" t="s">
        <v>460</v>
      </c>
      <c r="T16" s="483"/>
      <c r="U16" s="500"/>
      <c r="V16" s="500">
        <f>L16</f>
        <v>10104000</v>
      </c>
      <c r="W16" s="501"/>
      <c r="X16" s="510">
        <v>1.4000000000000002E-3</v>
      </c>
      <c r="Y16" s="502">
        <f t="shared" si="0"/>
        <v>3.2324795235478384E-6</v>
      </c>
      <c r="Z16" s="493"/>
      <c r="AA16" s="493">
        <f>($U16+$V16)*($W16+$X16)/($V$33)</f>
        <v>3.1136859899978874E-5</v>
      </c>
      <c r="AB16" s="493"/>
      <c r="AC16" s="493" t="e">
        <f>($U16+$V16)*($W16+$X16)/($V$77)</f>
        <v>#REF!</v>
      </c>
      <c r="AD16" s="493"/>
      <c r="AE16" s="503"/>
      <c r="AF16" s="504" t="e">
        <f>$L16*($W16+$X16)/#REF!</f>
        <v>#REF!</v>
      </c>
      <c r="AG16" s="495"/>
      <c r="AH16" s="495">
        <f>($U16+$V16)*($W16+$X16)/($V$34)</f>
        <v>4.8592942728371995E-5</v>
      </c>
      <c r="AI16" s="495"/>
      <c r="AJ16" s="495" t="e">
        <f>($U16+$V16)*($W16+$X16)/(#REF!)</f>
        <v>#REF!</v>
      </c>
      <c r="AK16" s="495"/>
      <c r="AL16" s="505"/>
    </row>
    <row r="17" spans="1:38" ht="15" x14ac:dyDescent="0.2">
      <c r="A17" s="496" t="s">
        <v>466</v>
      </c>
      <c r="B17" s="461">
        <v>37321</v>
      </c>
      <c r="D17" t="s">
        <v>467</v>
      </c>
      <c r="F17" s="609" t="s">
        <v>468</v>
      </c>
      <c r="H17" s="12" t="s">
        <v>16</v>
      </c>
      <c r="I17" s="12">
        <v>4.7219999999999998E-2</v>
      </c>
      <c r="J17">
        <f>I17*L17/L$77</f>
        <v>2.4278559197159544E-4</v>
      </c>
      <c r="K17" s="448">
        <v>1.2500000000000001E-2</v>
      </c>
      <c r="L17" s="481">
        <v>22500000</v>
      </c>
      <c r="M17" t="s">
        <v>464</v>
      </c>
      <c r="N17" t="s">
        <v>452</v>
      </c>
      <c r="O17" s="609"/>
      <c r="Q17" s="499" t="s">
        <v>469</v>
      </c>
      <c r="S17" t="s">
        <v>454</v>
      </c>
      <c r="T17" s="483"/>
      <c r="U17" s="500">
        <f>L17</f>
        <v>22500000</v>
      </c>
      <c r="V17" s="500"/>
      <c r="W17" s="511"/>
      <c r="X17" s="512">
        <v>6.0000000000000001E-3</v>
      </c>
      <c r="Y17" s="502">
        <f t="shared" si="0"/>
        <v>3.0849503427140458E-5</v>
      </c>
      <c r="Z17" s="513">
        <f>($U17+$V17)*($W17+$X17)/($U$33)</f>
        <v>1.1249999999999999E-3</v>
      </c>
      <c r="AA17" s="476"/>
      <c r="AB17" s="493" t="e">
        <f>($U17+$V17)*($W17+$X17)/($U$77)</f>
        <v>#REF!</v>
      </c>
      <c r="AC17" s="493"/>
      <c r="AD17" s="493">
        <f>($U17+$V17)*($W17+$X17)/($AD$80)</f>
        <v>3.8795622376688508E-4</v>
      </c>
      <c r="AE17" s="477"/>
      <c r="AF17" s="504" t="e">
        <f>$L17*($W17+$X17)/#REF!</f>
        <v>#REF!</v>
      </c>
      <c r="AG17" s="495">
        <f>($U17+$V17)*($W17+$X17)/($U$33)</f>
        <v>1.1249999999999999E-3</v>
      </c>
      <c r="AH17" s="478"/>
      <c r="AI17" s="495" t="e">
        <f>($U17+$V17)*($W17+$X17)/(#REF!)</f>
        <v>#REF!</v>
      </c>
      <c r="AJ17" s="495"/>
      <c r="AK17" s="495">
        <f>($U17+$V17)*($W17+$X17)/($AK$80)</f>
        <v>3.8795622376688508E-4</v>
      </c>
      <c r="AL17" s="479"/>
    </row>
    <row r="18" spans="1:38" ht="15" x14ac:dyDescent="0.2">
      <c r="A18" s="496" t="s">
        <v>466</v>
      </c>
      <c r="B18" s="461">
        <v>37321</v>
      </c>
      <c r="D18" t="s">
        <v>470</v>
      </c>
      <c r="F18" s="609" t="s">
        <v>471</v>
      </c>
      <c r="H18" s="12" t="s">
        <v>16</v>
      </c>
      <c r="I18" s="12">
        <v>4.7219999999999998E-2</v>
      </c>
      <c r="J18">
        <f>I18*L18/L$77</f>
        <v>2.9673794574306111E-4</v>
      </c>
      <c r="K18" s="448">
        <v>1.2500000000000001E-2</v>
      </c>
      <c r="L18" s="481">
        <v>27500000</v>
      </c>
      <c r="M18" t="s">
        <v>472</v>
      </c>
      <c r="N18" t="s">
        <v>452</v>
      </c>
      <c r="O18" s="609"/>
      <c r="Q18" s="499" t="s">
        <v>469</v>
      </c>
      <c r="S18" t="s">
        <v>454</v>
      </c>
      <c r="T18" s="483"/>
      <c r="U18" s="500">
        <f>L18</f>
        <v>27500000</v>
      </c>
      <c r="V18" s="500"/>
      <c r="W18" s="511"/>
      <c r="X18" s="512">
        <v>8.9999999999999993E-3</v>
      </c>
      <c r="Y18" s="502">
        <f t="shared" si="0"/>
        <v>5.6557422949757507E-5</v>
      </c>
      <c r="Z18" s="513">
        <f>($U18+$V18)*($W18+$X18)/($U$33)</f>
        <v>2.0624999999999997E-3</v>
      </c>
      <c r="AA18" s="476"/>
      <c r="AB18" s="493" t="e">
        <f>($U18+$V18)*($W18+$X18)/($U$77)</f>
        <v>#REF!</v>
      </c>
      <c r="AC18" s="493"/>
      <c r="AD18" s="493">
        <f>($U18+$V18)*($W18+$X18)/($AD$80)</f>
        <v>7.112530769059559E-4</v>
      </c>
      <c r="AE18" s="477"/>
      <c r="AF18" s="504" t="e">
        <f>$L18*($W18+$X18)/#REF!</f>
        <v>#REF!</v>
      </c>
      <c r="AG18" s="495">
        <f>($U18+$V18)*($W18+$X18)/($U$33)</f>
        <v>2.0624999999999997E-3</v>
      </c>
      <c r="AH18" s="478"/>
      <c r="AI18" s="495" t="e">
        <f>($U18+$V18)*($W18+$X18)/(#REF!)</f>
        <v>#REF!</v>
      </c>
      <c r="AJ18" s="495"/>
      <c r="AK18" s="495">
        <f>($U18+$V18)*($W18+$X18)/($AK$80)</f>
        <v>7.112530769059559E-4</v>
      </c>
      <c r="AL18" s="479"/>
    </row>
    <row r="19" spans="1:38" ht="15" x14ac:dyDescent="0.2">
      <c r="A19" s="496" t="s">
        <v>473</v>
      </c>
      <c r="B19" s="461">
        <v>37337</v>
      </c>
      <c r="D19" t="s">
        <v>474</v>
      </c>
      <c r="F19" s="609" t="s">
        <v>475</v>
      </c>
      <c r="H19" s="12" t="s">
        <v>16</v>
      </c>
      <c r="I19" s="12">
        <v>4.7219999999999998E-2</v>
      </c>
      <c r="J19">
        <f>I19*L19/L$77</f>
        <v>3.7766647640025955E-4</v>
      </c>
      <c r="K19" s="448">
        <v>9.4999999999999998E-3</v>
      </c>
      <c r="L19" s="514">
        <v>35000000</v>
      </c>
      <c r="M19" t="s">
        <v>476</v>
      </c>
      <c r="N19" t="s">
        <v>452</v>
      </c>
      <c r="O19" s="609"/>
      <c r="Q19" s="499" t="s">
        <v>465</v>
      </c>
      <c r="S19" t="s">
        <v>460</v>
      </c>
      <c r="T19" s="507"/>
      <c r="U19" s="500">
        <f>L19</f>
        <v>35000000</v>
      </c>
      <c r="V19" s="500"/>
      <c r="W19" s="501"/>
      <c r="X19" s="510">
        <v>7.4999999999999997E-3</v>
      </c>
      <c r="Y19" s="502">
        <f t="shared" si="0"/>
        <v>5.9985145552773118E-5</v>
      </c>
      <c r="Z19" s="513">
        <f>($U19+$V19)*($W19+$X19)/($U$33)</f>
        <v>2.1875000000000002E-3</v>
      </c>
      <c r="AA19" s="493"/>
      <c r="AB19" s="493" t="e">
        <f>($U19+$V19)*($W19+$X19)/($U$77)</f>
        <v>#REF!</v>
      </c>
      <c r="AC19" s="493"/>
      <c r="AD19" s="493">
        <f>($U19+$V19)*($W19+$X19)/($AD$80)</f>
        <v>7.5435932399116551E-4</v>
      </c>
      <c r="AE19" s="503"/>
      <c r="AF19" s="504" t="e">
        <f>$L19*($W19+$X19)/#REF!</f>
        <v>#REF!</v>
      </c>
      <c r="AG19" s="495">
        <f>($U19+$V19)*($W19+$X19)/($U$33)</f>
        <v>2.1875000000000002E-3</v>
      </c>
      <c r="AH19" s="495"/>
      <c r="AI19" s="495" t="e">
        <f>($U19+$V19)*($W19+$X19)/(#REF!)</f>
        <v>#REF!</v>
      </c>
      <c r="AJ19" s="495"/>
      <c r="AK19" s="495">
        <f>($U19+$V19)*($W19+$X19)/($AK$80)</f>
        <v>7.5435932399116551E-4</v>
      </c>
      <c r="AL19" s="505"/>
    </row>
    <row r="20" spans="1:38" ht="15" x14ac:dyDescent="0.2">
      <c r="A20" s="496" t="s">
        <v>473</v>
      </c>
      <c r="B20" s="461">
        <v>37337</v>
      </c>
      <c r="D20" t="s">
        <v>477</v>
      </c>
      <c r="F20" s="609" t="s">
        <v>478</v>
      </c>
      <c r="H20" s="12" t="s">
        <v>16</v>
      </c>
      <c r="I20" s="12">
        <v>4.7219999999999998E-2</v>
      </c>
      <c r="J20">
        <f>I20*L20/L$77</f>
        <v>3.7766647640025955E-4</v>
      </c>
      <c r="K20" s="448">
        <v>9.4999999999999998E-3</v>
      </c>
      <c r="L20" s="481">
        <v>35000000</v>
      </c>
      <c r="M20" t="s">
        <v>479</v>
      </c>
      <c r="N20" t="s">
        <v>452</v>
      </c>
      <c r="O20" s="609"/>
      <c r="Q20" s="499" t="s">
        <v>465</v>
      </c>
      <c r="S20" t="s">
        <v>460</v>
      </c>
      <c r="T20" s="507"/>
      <c r="U20" s="500">
        <f>L20</f>
        <v>35000000</v>
      </c>
      <c r="V20" s="500"/>
      <c r="W20" s="501"/>
      <c r="X20" s="510">
        <v>7.4999999999999997E-3</v>
      </c>
      <c r="Y20" s="502">
        <f t="shared" si="0"/>
        <v>5.9985145552773118E-5</v>
      </c>
      <c r="Z20" s="513">
        <f>($U20+$V20)*($W20+$X20)/($U$33)</f>
        <v>2.1875000000000002E-3</v>
      </c>
      <c r="AA20" s="493"/>
      <c r="AB20" s="493" t="e">
        <f>($U20+$V20)*($W20+$X20)/($U$77)</f>
        <v>#REF!</v>
      </c>
      <c r="AC20" s="493"/>
      <c r="AD20" s="493">
        <f>($U20+$V20)*($W20+$X20)/($AD$80)</f>
        <v>7.5435932399116551E-4</v>
      </c>
      <c r="AE20" s="503"/>
      <c r="AF20" s="504" t="e">
        <f>$L20*($W20+$X20)/#REF!</f>
        <v>#REF!</v>
      </c>
      <c r="AG20" s="495">
        <f>($U20+$V20)*($W20+$X20)/($U$33)</f>
        <v>2.1875000000000002E-3</v>
      </c>
      <c r="AH20" s="495"/>
      <c r="AI20" s="495" t="e">
        <f>($U20+$V20)*($W20+$X20)/(#REF!)</f>
        <v>#REF!</v>
      </c>
      <c r="AJ20" s="495"/>
      <c r="AK20" s="495">
        <f>($U20+$V20)*($W20+$X20)/($AK$80)</f>
        <v>7.5435932399116551E-4</v>
      </c>
      <c r="AL20" s="505"/>
    </row>
    <row r="21" spans="1:38" ht="15" x14ac:dyDescent="0.2">
      <c r="A21" s="496" t="s">
        <v>480</v>
      </c>
      <c r="B21" s="461">
        <v>37552</v>
      </c>
      <c r="D21" t="s">
        <v>481</v>
      </c>
      <c r="F21" s="609" t="s">
        <v>482</v>
      </c>
      <c r="H21" s="12" t="s">
        <v>16</v>
      </c>
      <c r="I21" s="347">
        <v>6.5500000000000003E-2</v>
      </c>
      <c r="J21">
        <f>I21*L21/L$77</f>
        <v>6.2363013851195095E-4</v>
      </c>
      <c r="K21" s="448">
        <v>8.2699999999999996E-3</v>
      </c>
      <c r="L21" s="481">
        <v>41665000</v>
      </c>
      <c r="M21" s="11" t="s">
        <v>483</v>
      </c>
      <c r="N21" t="s">
        <v>458</v>
      </c>
      <c r="O21" s="509"/>
      <c r="Q21" t="s">
        <v>484</v>
      </c>
      <c r="S21" t="s">
        <v>460</v>
      </c>
      <c r="T21" s="483"/>
      <c r="U21" s="500"/>
      <c r="V21" s="500">
        <f t="shared" ref="V21:V26" si="1">L21</f>
        <v>41665000</v>
      </c>
      <c r="W21" s="501"/>
      <c r="X21" s="501">
        <v>1.97E-3</v>
      </c>
      <c r="Y21" s="502">
        <f t="shared" si="0"/>
        <v>1.8756509509443413E-5</v>
      </c>
      <c r="Z21" s="493"/>
      <c r="AA21" s="493">
        <f t="shared" ref="AA21:AA26" si="2">($U21+$V21)*($W21+$X21)/($V$33)</f>
        <v>1.8067208301049517E-4</v>
      </c>
      <c r="AB21" s="493"/>
      <c r="AC21" s="493" t="e">
        <f t="shared" ref="AC21:AC26" si="3">($U21+$V21)*($W21+$X21)/($V$77)</f>
        <v>#REF!</v>
      </c>
      <c r="AD21" s="493"/>
      <c r="AE21" s="503"/>
      <c r="AF21" s="504" t="e">
        <f>$L21*($W21+$X21)/#REF!</f>
        <v>#REF!</v>
      </c>
      <c r="AG21" s="495"/>
      <c r="AH21" s="495">
        <f>($U21+$V21)*($W21+$X21)/($V$34)</f>
        <v>2.8196125783225241E-4</v>
      </c>
      <c r="AI21" s="495"/>
      <c r="AJ21" s="495" t="e">
        <f>($U21+$V21)*($W21+$X21)/(#REF!)</f>
        <v>#REF!</v>
      </c>
      <c r="AK21" s="495"/>
      <c r="AL21" s="505"/>
    </row>
    <row r="22" spans="1:38" ht="15" x14ac:dyDescent="0.2">
      <c r="A22" s="515" t="s">
        <v>485</v>
      </c>
      <c r="B22" s="516">
        <v>37945</v>
      </c>
      <c r="C22" s="517"/>
      <c r="D22" s="517" t="s">
        <v>486</v>
      </c>
      <c r="E22" s="517"/>
      <c r="F22" s="518" t="s">
        <v>487</v>
      </c>
      <c r="G22" s="517"/>
      <c r="H22" s="519">
        <v>1.6500000000000001E-2</v>
      </c>
      <c r="I22" s="520"/>
      <c r="J22" s="517"/>
      <c r="K22" s="521">
        <v>9.4999999999999998E-3</v>
      </c>
      <c r="L22" s="522">
        <v>128000000</v>
      </c>
      <c r="M22" s="11" t="s">
        <v>488</v>
      </c>
      <c r="N22" t="s">
        <v>452</v>
      </c>
      <c r="O22" s="523">
        <v>42828</v>
      </c>
      <c r="Q22" s="499" t="s">
        <v>465</v>
      </c>
      <c r="S22" t="s">
        <v>454</v>
      </c>
      <c r="T22" s="524" t="s">
        <v>485</v>
      </c>
      <c r="U22" s="500"/>
      <c r="V22" s="500">
        <f t="shared" si="1"/>
        <v>128000000</v>
      </c>
      <c r="W22" s="501"/>
      <c r="X22" s="508">
        <v>3.6656666666666664E-2</v>
      </c>
      <c r="Y22" s="502">
        <f t="shared" si="0"/>
        <v>1.0722038176814257E-3</v>
      </c>
      <c r="Z22" s="493"/>
      <c r="AA22" s="493">
        <f t="shared" si="2"/>
        <v>1.0328003568829095E-2</v>
      </c>
      <c r="AB22" s="493"/>
      <c r="AC22" s="493" t="e">
        <f t="shared" si="3"/>
        <v>#REF!</v>
      </c>
      <c r="AD22" s="493"/>
      <c r="AE22" s="503"/>
      <c r="AF22" s="504"/>
      <c r="AG22" s="495"/>
      <c r="AH22" s="495"/>
      <c r="AI22" s="495"/>
      <c r="AJ22" s="495"/>
      <c r="AK22" s="495"/>
      <c r="AL22" s="505"/>
    </row>
    <row r="23" spans="1:38" ht="15" x14ac:dyDescent="0.2">
      <c r="A23" s="525" t="s">
        <v>489</v>
      </c>
      <c r="B23" s="461">
        <v>38455</v>
      </c>
      <c r="D23" t="s">
        <v>490</v>
      </c>
      <c r="F23" s="610" t="s">
        <v>581</v>
      </c>
      <c r="H23" s="498">
        <v>5.7500000000000002E-2</v>
      </c>
      <c r="I23" s="347"/>
      <c r="K23" s="448">
        <v>5.7500000000000002E-2</v>
      </c>
      <c r="L23" s="481">
        <v>40000000</v>
      </c>
      <c r="M23" s="11" t="s">
        <v>491</v>
      </c>
      <c r="N23" t="s">
        <v>452</v>
      </c>
      <c r="O23" s="523">
        <v>41610</v>
      </c>
      <c r="Q23" t="s">
        <v>492</v>
      </c>
      <c r="S23" t="s">
        <v>454</v>
      </c>
      <c r="T23" s="483"/>
      <c r="U23" s="500"/>
      <c r="V23" s="500">
        <f t="shared" si="1"/>
        <v>40000000</v>
      </c>
      <c r="W23" s="501">
        <f>H23</f>
        <v>5.7500000000000002E-2</v>
      </c>
      <c r="X23" s="501"/>
      <c r="Y23" s="502">
        <f t="shared" si="0"/>
        <v>5.25584132462393E-4</v>
      </c>
      <c r="Z23" s="493"/>
      <c r="AA23" s="493">
        <f t="shared" si="2"/>
        <v>5.062689300556456E-3</v>
      </c>
      <c r="AB23" s="493"/>
      <c r="AC23" s="493" t="e">
        <f t="shared" si="3"/>
        <v>#REF!</v>
      </c>
      <c r="AD23" s="493"/>
      <c r="AE23" s="503"/>
      <c r="AF23" s="504" t="e">
        <f>$L23*($W23+$X23)/#REF!</f>
        <v>#REF!</v>
      </c>
      <c r="AG23" s="495"/>
      <c r="AH23" s="495">
        <f>($U23+$V23)*($W23+$X23)/($V$34)</f>
        <v>7.9009563592393091E-3</v>
      </c>
      <c r="AI23" s="495"/>
      <c r="AJ23" s="495" t="e">
        <f>($U23+$V23)*($W23+$X23)/(#REF!)</f>
        <v>#REF!</v>
      </c>
      <c r="AK23" s="495"/>
      <c r="AL23" s="505"/>
    </row>
    <row r="24" spans="1:38" s="11" customFormat="1" ht="15" x14ac:dyDescent="0.2">
      <c r="A24" s="527" t="s">
        <v>493</v>
      </c>
      <c r="B24" s="528">
        <v>39198</v>
      </c>
      <c r="F24" s="610" t="s">
        <v>494</v>
      </c>
      <c r="H24" s="529">
        <v>4.5999999999999999E-2</v>
      </c>
      <c r="I24" s="530"/>
      <c r="K24" s="531"/>
      <c r="L24" s="78">
        <v>60000000</v>
      </c>
      <c r="M24" t="s">
        <v>495</v>
      </c>
      <c r="N24" s="11" t="s">
        <v>458</v>
      </c>
      <c r="O24" s="532"/>
      <c r="S24" s="11" t="s">
        <v>454</v>
      </c>
      <c r="T24" s="533"/>
      <c r="U24" s="534"/>
      <c r="V24" s="500">
        <f t="shared" si="1"/>
        <v>60000000</v>
      </c>
      <c r="W24" s="501">
        <f>H24</f>
        <v>4.5999999999999999E-2</v>
      </c>
      <c r="X24" s="535"/>
      <c r="Y24" s="502">
        <f t="shared" si="0"/>
        <v>6.3070095895487166E-4</v>
      </c>
      <c r="Z24" s="493"/>
      <c r="AA24" s="493">
        <f t="shared" si="2"/>
        <v>6.0752271606677464E-3</v>
      </c>
      <c r="AB24" s="493"/>
      <c r="AC24" s="493" t="e">
        <f t="shared" si="3"/>
        <v>#REF!</v>
      </c>
      <c r="AD24" s="493"/>
      <c r="AE24" s="503"/>
      <c r="AF24" s="504" t="e">
        <f>$L24*($W24+$X24)/#REF!</f>
        <v>#REF!</v>
      </c>
      <c r="AG24" s="495"/>
      <c r="AH24" s="495">
        <f>($U24+$V24)*($W24+$X24)/($V$34)</f>
        <v>9.4811476310871709E-3</v>
      </c>
      <c r="AI24" s="495"/>
      <c r="AJ24" s="495" t="e">
        <f>($U24+$V24)*($W24+$X24)/(#REF!)</f>
        <v>#REF!</v>
      </c>
      <c r="AK24" s="495"/>
      <c r="AL24" s="505"/>
    </row>
    <row r="25" spans="1:38" s="11" customFormat="1" ht="15" x14ac:dyDescent="0.2">
      <c r="A25" s="515" t="s">
        <v>493</v>
      </c>
      <c r="B25" s="516">
        <v>39198</v>
      </c>
      <c r="C25" s="517"/>
      <c r="D25" s="517"/>
      <c r="E25" s="517"/>
      <c r="F25" s="518" t="s">
        <v>496</v>
      </c>
      <c r="G25" s="517"/>
      <c r="H25" s="519">
        <v>1.6E-2</v>
      </c>
      <c r="I25" s="520"/>
      <c r="J25" s="517"/>
      <c r="K25" s="521">
        <v>2.75E-2</v>
      </c>
      <c r="L25" s="522">
        <v>35200000</v>
      </c>
      <c r="M25" s="11" t="s">
        <v>497</v>
      </c>
      <c r="N25" s="536" t="s">
        <v>452</v>
      </c>
      <c r="O25" s="537">
        <v>42887</v>
      </c>
      <c r="Q25" s="536" t="s">
        <v>498</v>
      </c>
      <c r="S25" s="11" t="s">
        <v>454</v>
      </c>
      <c r="T25" s="533"/>
      <c r="U25" s="534"/>
      <c r="V25" s="500">
        <f t="shared" si="1"/>
        <v>35200000</v>
      </c>
      <c r="W25" s="535"/>
      <c r="X25" s="535">
        <v>4.1999999999999997E-3</v>
      </c>
      <c r="Y25" s="502">
        <f t="shared" si="0"/>
        <v>3.3783633975321823E-5</v>
      </c>
      <c r="Z25" s="493"/>
      <c r="AA25" s="493">
        <f t="shared" si="2"/>
        <v>3.2542086356272451E-4</v>
      </c>
      <c r="AB25" s="493"/>
      <c r="AC25" s="493" t="e">
        <f t="shared" si="3"/>
        <v>#REF!</v>
      </c>
      <c r="AD25" s="493"/>
      <c r="AE25" s="503"/>
      <c r="AF25" s="504"/>
      <c r="AG25" s="495"/>
      <c r="AH25" s="495"/>
      <c r="AI25" s="495"/>
      <c r="AJ25" s="495"/>
      <c r="AK25" s="495"/>
      <c r="AL25" s="505"/>
    </row>
    <row r="26" spans="1:38" s="11" customFormat="1" ht="17.25" x14ac:dyDescent="0.35">
      <c r="A26" s="527" t="s">
        <v>493</v>
      </c>
      <c r="B26" s="528">
        <v>39198</v>
      </c>
      <c r="F26" s="610" t="s">
        <v>499</v>
      </c>
      <c r="H26" s="529">
        <v>1.15E-2</v>
      </c>
      <c r="I26" s="530"/>
      <c r="K26" s="531"/>
      <c r="L26" s="538">
        <v>31000000</v>
      </c>
      <c r="M26" s="11" t="s">
        <v>500</v>
      </c>
      <c r="N26" t="s">
        <v>452</v>
      </c>
      <c r="O26" s="537">
        <v>42887</v>
      </c>
      <c r="Q26" s="11" t="s">
        <v>501</v>
      </c>
      <c r="S26" s="11" t="s">
        <v>454</v>
      </c>
      <c r="T26" s="533"/>
      <c r="U26" s="534"/>
      <c r="V26" s="500">
        <f t="shared" si="1"/>
        <v>31000000</v>
      </c>
      <c r="W26" s="535">
        <f>H26</f>
        <v>1.15E-2</v>
      </c>
      <c r="X26" s="535"/>
      <c r="Y26" s="502">
        <f t="shared" si="0"/>
        <v>8.1465540531670916E-5</v>
      </c>
      <c r="Z26" s="493"/>
      <c r="AA26" s="493">
        <f t="shared" si="2"/>
        <v>7.8471684158625064E-4</v>
      </c>
      <c r="AB26" s="493"/>
      <c r="AC26" s="493" t="e">
        <f t="shared" si="3"/>
        <v>#REF!</v>
      </c>
      <c r="AD26" s="493"/>
      <c r="AE26" s="503"/>
      <c r="AF26" s="504" t="e">
        <f>$L26*($W26+$X26)/#REF!</f>
        <v>#REF!</v>
      </c>
      <c r="AG26" s="495"/>
      <c r="AH26" s="495">
        <f>($U26+$V26)*($W26+$X26)/($V$34)</f>
        <v>1.224648235682093E-3</v>
      </c>
      <c r="AI26" s="495"/>
      <c r="AJ26" s="495" t="e">
        <f>($U26+$V26)*($W26+$X26)/(#REF!)</f>
        <v>#REF!</v>
      </c>
      <c r="AK26" s="495"/>
      <c r="AL26" s="505"/>
    </row>
    <row r="27" spans="1:38" ht="15" x14ac:dyDescent="0.2">
      <c r="A27" s="496"/>
      <c r="F27" s="609"/>
      <c r="H27" s="498" t="s">
        <v>502</v>
      </c>
      <c r="I27" s="347"/>
      <c r="L27" s="481">
        <f>SUM(L14:L26)</f>
        <v>574304000</v>
      </c>
      <c r="M27" s="481"/>
      <c r="O27" s="509"/>
      <c r="T27" s="483"/>
      <c r="U27" s="483"/>
      <c r="V27" s="483"/>
      <c r="W27" s="501"/>
      <c r="X27" s="510"/>
      <c r="Y27" s="502"/>
      <c r="Z27" s="493"/>
      <c r="AA27" s="476"/>
      <c r="AB27" s="493"/>
      <c r="AC27" s="493"/>
      <c r="AD27" s="476"/>
      <c r="AE27" s="477"/>
      <c r="AF27" s="504"/>
      <c r="AG27" s="495"/>
      <c r="AH27" s="478"/>
      <c r="AI27" s="495"/>
      <c r="AJ27" s="495"/>
      <c r="AK27" s="478"/>
      <c r="AL27" s="479"/>
    </row>
    <row r="28" spans="1:38" ht="15" x14ac:dyDescent="0.2">
      <c r="A28" s="496"/>
      <c r="F28" s="609"/>
      <c r="H28" s="498"/>
      <c r="I28" s="347"/>
      <c r="L28" s="481"/>
      <c r="M28" s="481"/>
      <c r="O28" s="509"/>
      <c r="T28" s="483"/>
      <c r="U28" s="483"/>
      <c r="V28" s="483"/>
      <c r="W28" s="501"/>
      <c r="X28" s="510"/>
      <c r="Y28" s="502"/>
      <c r="Z28" s="493"/>
      <c r="AA28" s="476"/>
      <c r="AB28" s="493"/>
      <c r="AC28" s="493"/>
      <c r="AD28" s="476"/>
      <c r="AE28" s="477"/>
      <c r="AF28" s="504"/>
      <c r="AG28" s="495"/>
      <c r="AH28" s="478"/>
      <c r="AI28" s="495"/>
      <c r="AJ28" s="495"/>
      <c r="AK28" s="478"/>
      <c r="AL28" s="479"/>
    </row>
    <row r="29" spans="1:38" ht="17.25" customHeight="1" x14ac:dyDescent="0.2">
      <c r="A29" s="539" t="s">
        <v>503</v>
      </c>
      <c r="F29" s="609"/>
      <c r="H29" s="12"/>
      <c r="I29" s="12"/>
      <c r="L29" s="481">
        <v>89000000</v>
      </c>
      <c r="M29" s="481"/>
      <c r="O29" s="609"/>
      <c r="T29" s="483"/>
      <c r="U29" s="483"/>
      <c r="V29" s="483"/>
      <c r="W29" s="510"/>
      <c r="X29" s="510"/>
      <c r="Y29" s="502"/>
      <c r="Z29" s="476"/>
      <c r="AA29" s="476"/>
      <c r="AB29" s="493"/>
      <c r="AC29" s="493"/>
      <c r="AD29" s="476"/>
      <c r="AE29" s="477"/>
      <c r="AF29" s="504"/>
      <c r="AG29" s="478"/>
      <c r="AH29" s="478"/>
      <c r="AI29" s="495"/>
      <c r="AJ29" s="495"/>
      <c r="AK29" s="478"/>
      <c r="AL29" s="479"/>
    </row>
    <row r="30" spans="1:38" ht="17.25" customHeight="1" x14ac:dyDescent="0.35">
      <c r="A30" s="499" t="s">
        <v>504</v>
      </c>
      <c r="F30" s="609"/>
      <c r="H30" s="12"/>
      <c r="I30" s="12"/>
      <c r="L30" s="486">
        <v>0</v>
      </c>
      <c r="M30" s="486"/>
      <c r="O30" s="609"/>
      <c r="T30" s="483"/>
      <c r="U30" s="483"/>
      <c r="V30" s="483"/>
      <c r="W30" s="510"/>
      <c r="X30" s="510"/>
      <c r="Y30" s="502"/>
      <c r="Z30" s="476"/>
      <c r="AA30" s="476"/>
      <c r="AB30" s="493"/>
      <c r="AC30" s="493"/>
      <c r="AD30" s="476"/>
      <c r="AE30" s="477"/>
      <c r="AF30" s="504"/>
      <c r="AG30" s="478"/>
      <c r="AH30" s="478"/>
      <c r="AI30" s="495"/>
      <c r="AJ30" s="495"/>
      <c r="AK30" s="478"/>
      <c r="AL30" s="479"/>
    </row>
    <row r="31" spans="1:38" ht="17.25" customHeight="1" x14ac:dyDescent="0.35">
      <c r="A31" s="496"/>
      <c r="F31" s="609"/>
      <c r="H31" s="12"/>
      <c r="I31" s="12"/>
      <c r="L31" s="486"/>
      <c r="M31" s="486"/>
      <c r="N31" s="500"/>
      <c r="O31" s="609"/>
      <c r="T31" s="483"/>
      <c r="U31" s="483"/>
      <c r="V31" s="483"/>
      <c r="W31" s="510"/>
      <c r="X31" s="510"/>
      <c r="Y31" s="502"/>
      <c r="Z31" s="476"/>
      <c r="AA31" s="476"/>
      <c r="AB31" s="493"/>
      <c r="AC31" s="493"/>
      <c r="AD31" s="476"/>
      <c r="AE31" s="477"/>
      <c r="AF31" s="504"/>
      <c r="AG31" s="478"/>
      <c r="AH31" s="478"/>
      <c r="AI31" s="495"/>
      <c r="AJ31" s="495"/>
      <c r="AK31" s="478"/>
      <c r="AL31" s="479"/>
    </row>
    <row r="32" spans="1:38" ht="15" x14ac:dyDescent="0.2">
      <c r="A32" s="496"/>
      <c r="F32" s="609"/>
      <c r="H32" s="12"/>
      <c r="I32" s="12"/>
      <c r="L32" s="481"/>
      <c r="M32" s="481"/>
      <c r="O32" s="609"/>
      <c r="T32" s="483"/>
      <c r="U32" s="483"/>
      <c r="V32" s="483"/>
      <c r="W32" s="510"/>
      <c r="X32" s="510"/>
      <c r="Y32" s="502"/>
      <c r="Z32" s="476"/>
      <c r="AA32" s="476"/>
      <c r="AB32" s="493"/>
      <c r="AC32" s="493"/>
      <c r="AD32" s="476"/>
      <c r="AE32" s="477"/>
      <c r="AF32" s="504"/>
      <c r="AG32" s="478"/>
      <c r="AH32" s="478"/>
      <c r="AI32" s="495"/>
      <c r="AJ32" s="495"/>
      <c r="AK32" s="478"/>
      <c r="AL32" s="479"/>
    </row>
    <row r="33" spans="1:38" s="540" customFormat="1" ht="15.75" x14ac:dyDescent="0.25">
      <c r="F33" s="541"/>
      <c r="H33" s="542" t="s">
        <v>505</v>
      </c>
      <c r="L33" s="543">
        <f>L30+L27+L11+L29</f>
        <v>1198304000</v>
      </c>
      <c r="M33" s="543"/>
      <c r="O33" s="541"/>
      <c r="T33" s="544"/>
      <c r="U33" s="545">
        <f>SUM(U14:U27)</f>
        <v>120000000</v>
      </c>
      <c r="V33" s="545">
        <f>SUM(V14:V27)</f>
        <v>454304000</v>
      </c>
      <c r="W33" s="510"/>
      <c r="X33" s="510"/>
      <c r="Y33" s="502"/>
      <c r="Z33" s="546">
        <f>SUM(Z14:Z27)</f>
        <v>7.5624999999999998E-3</v>
      </c>
      <c r="AA33" s="546" t="e">
        <f>SUM(AA14:AA27)</f>
        <v>#VALUE!</v>
      </c>
      <c r="AB33" s="546" t="e">
        <f>SUM(AB14:AB27)</f>
        <v>#REF!</v>
      </c>
      <c r="AC33" s="546" t="e">
        <f>SUM(AC14:AC27)</f>
        <v>#VALUE!</v>
      </c>
      <c r="AD33" s="476"/>
      <c r="AE33" s="477"/>
      <c r="AF33" s="547"/>
      <c r="AG33" s="548">
        <f>SUM(AG14:AG27)</f>
        <v>7.5624999999999998E-3</v>
      </c>
      <c r="AH33" s="548" t="e">
        <f>SUM(AH14:AH27)</f>
        <v>#VALUE!</v>
      </c>
      <c r="AI33" s="548" t="e">
        <f>SUM(AI14:AI27)</f>
        <v>#REF!</v>
      </c>
      <c r="AJ33" s="548" t="e">
        <f>SUM(AJ14:AJ27)</f>
        <v>#VALUE!</v>
      </c>
      <c r="AK33" s="495"/>
      <c r="AL33" s="505"/>
    </row>
    <row r="34" spans="1:38" ht="15" x14ac:dyDescent="0.2">
      <c r="F34" s="609"/>
      <c r="L34" s="549"/>
      <c r="M34" s="549"/>
      <c r="O34" s="609"/>
      <c r="T34" s="483"/>
      <c r="U34" s="500"/>
      <c r="V34" s="500">
        <f>V33-V22-V25</f>
        <v>291104000</v>
      </c>
      <c r="W34" s="501"/>
      <c r="X34" s="501"/>
      <c r="Y34" s="502"/>
      <c r="Z34" s="476"/>
      <c r="AA34" s="493"/>
      <c r="AB34" s="493"/>
      <c r="AC34" s="493"/>
      <c r="AD34" s="493"/>
      <c r="AE34" s="503"/>
      <c r="AF34" s="504"/>
      <c r="AG34" s="550"/>
      <c r="AH34" s="550"/>
      <c r="AI34" s="550"/>
      <c r="AJ34" s="548"/>
      <c r="AK34" s="495"/>
      <c r="AL34" s="505"/>
    </row>
    <row r="35" spans="1:38" ht="15" x14ac:dyDescent="0.2">
      <c r="F35" s="609"/>
      <c r="L35" s="551"/>
      <c r="M35" s="551"/>
      <c r="O35" s="609"/>
      <c r="T35" s="483"/>
      <c r="U35" s="500"/>
      <c r="V35" s="500"/>
      <c r="W35" s="535"/>
      <c r="X35" s="501"/>
      <c r="Y35" s="502"/>
      <c r="Z35" s="476"/>
      <c r="AA35" s="493"/>
      <c r="AB35" s="493"/>
      <c r="AC35" s="493"/>
      <c r="AD35" s="493"/>
      <c r="AE35" s="503"/>
      <c r="AF35" s="504"/>
      <c r="AG35" s="478"/>
      <c r="AH35" s="495"/>
      <c r="AI35" s="495"/>
      <c r="AJ35" s="495"/>
      <c r="AK35" s="495"/>
      <c r="AL35" s="505"/>
    </row>
    <row r="36" spans="1:38" ht="15.75" x14ac:dyDescent="0.25">
      <c r="A36" s="460" t="s">
        <v>28</v>
      </c>
      <c r="F36" s="609"/>
      <c r="L36" s="551"/>
      <c r="M36" s="551"/>
      <c r="O36" s="609"/>
      <c r="T36" s="483"/>
      <c r="U36" s="483"/>
      <c r="V36" s="483"/>
      <c r="W36" s="501"/>
      <c r="X36" s="501"/>
      <c r="Y36" s="502"/>
      <c r="Z36" s="476"/>
      <c r="AA36" s="476"/>
      <c r="AB36" s="493"/>
      <c r="AC36" s="493"/>
      <c r="AD36" s="476"/>
      <c r="AE36" s="477"/>
      <c r="AF36" s="504"/>
      <c r="AG36" s="478"/>
      <c r="AH36" s="478"/>
      <c r="AI36" s="495"/>
      <c r="AJ36" s="495"/>
      <c r="AK36" s="478"/>
      <c r="AL36" s="479"/>
    </row>
    <row r="37" spans="1:38" ht="15" x14ac:dyDescent="0.2">
      <c r="F37" s="609"/>
      <c r="L37" s="551"/>
      <c r="M37" s="551"/>
      <c r="O37" s="609"/>
      <c r="T37" s="483"/>
      <c r="U37" s="483"/>
      <c r="V37" s="483"/>
      <c r="W37" s="501"/>
      <c r="X37" s="501"/>
      <c r="Y37" s="502"/>
      <c r="Z37" s="493"/>
      <c r="AA37" s="476"/>
      <c r="AB37" s="493"/>
      <c r="AC37" s="493"/>
      <c r="AD37" s="493"/>
      <c r="AE37" s="477"/>
      <c r="AF37" s="504"/>
      <c r="AG37" s="495"/>
      <c r="AH37" s="478"/>
      <c r="AI37" s="495"/>
      <c r="AJ37" s="495"/>
      <c r="AK37" s="495"/>
      <c r="AL37" s="479"/>
    </row>
    <row r="38" spans="1:38" ht="15" x14ac:dyDescent="0.2">
      <c r="A38" s="475" t="s">
        <v>439</v>
      </c>
      <c r="F38" s="609"/>
      <c r="L38" s="551"/>
      <c r="M38" s="551"/>
      <c r="O38" s="609"/>
      <c r="T38" s="483"/>
      <c r="U38" s="500"/>
      <c r="V38" s="500"/>
      <c r="W38" s="535"/>
      <c r="X38" s="501"/>
      <c r="Y38" s="502"/>
      <c r="Z38" s="493"/>
      <c r="AA38" s="493"/>
      <c r="AB38" s="493"/>
      <c r="AC38" s="493"/>
      <c r="AD38" s="493"/>
      <c r="AE38" s="503"/>
      <c r="AF38" s="504"/>
      <c r="AG38" s="495"/>
      <c r="AH38" s="495"/>
      <c r="AI38" s="495"/>
      <c r="AJ38" s="495"/>
      <c r="AK38" s="495"/>
      <c r="AL38" s="505"/>
    </row>
    <row r="39" spans="1:38" ht="15" x14ac:dyDescent="0.2">
      <c r="A39" s="480" t="s">
        <v>506</v>
      </c>
      <c r="B39" s="461">
        <v>40498</v>
      </c>
      <c r="F39" s="462" t="s">
        <v>507</v>
      </c>
      <c r="H39" s="347">
        <v>1.6250000000000001E-2</v>
      </c>
      <c r="I39" s="347"/>
      <c r="L39" s="481">
        <v>250000000</v>
      </c>
      <c r="M39" s="481"/>
      <c r="O39" s="482"/>
      <c r="P39" s="462" t="s">
        <v>442</v>
      </c>
      <c r="T39" s="483"/>
      <c r="U39" s="500"/>
      <c r="V39" s="500"/>
      <c r="W39" s="535"/>
      <c r="X39" s="501"/>
      <c r="Y39" s="502"/>
      <c r="Z39" s="493"/>
      <c r="AA39" s="493"/>
      <c r="AB39" s="493"/>
      <c r="AC39" s="493"/>
      <c r="AD39" s="493"/>
      <c r="AE39" s="503"/>
      <c r="AF39" s="504"/>
      <c r="AG39" s="495"/>
      <c r="AH39" s="495"/>
      <c r="AI39" s="495"/>
      <c r="AJ39" s="495"/>
      <c r="AK39" s="495"/>
      <c r="AL39" s="505"/>
    </row>
    <row r="40" spans="1:38" ht="15" x14ac:dyDescent="0.2">
      <c r="A40" s="480" t="s">
        <v>508</v>
      </c>
      <c r="B40" s="461">
        <v>44151</v>
      </c>
      <c r="F40" s="462" t="s">
        <v>509</v>
      </c>
      <c r="H40" s="347">
        <v>3.2500000000000001E-2</v>
      </c>
      <c r="I40" s="347"/>
      <c r="L40" s="481">
        <v>500000000</v>
      </c>
      <c r="M40" s="481"/>
      <c r="O40" s="482"/>
      <c r="P40" s="462" t="s">
        <v>510</v>
      </c>
      <c r="T40" s="480" t="s">
        <v>511</v>
      </c>
      <c r="U40" s="500"/>
      <c r="V40" s="500"/>
      <c r="W40" s="535"/>
      <c r="X40" s="501"/>
      <c r="Y40" s="502"/>
      <c r="Z40" s="493"/>
      <c r="AA40" s="493"/>
      <c r="AB40" s="493"/>
      <c r="AC40" s="493"/>
      <c r="AD40" s="493"/>
      <c r="AE40" s="503"/>
      <c r="AF40" s="504"/>
      <c r="AG40" s="495"/>
      <c r="AH40" s="495"/>
      <c r="AI40" s="495"/>
      <c r="AJ40" s="495"/>
      <c r="AK40" s="495"/>
      <c r="AL40" s="505"/>
    </row>
    <row r="41" spans="1:38" ht="15" x14ac:dyDescent="0.2">
      <c r="A41" s="480" t="s">
        <v>512</v>
      </c>
      <c r="B41" s="461">
        <v>40498</v>
      </c>
      <c r="F41" s="462" t="s">
        <v>513</v>
      </c>
      <c r="H41" s="347">
        <v>5.1249999999999997E-2</v>
      </c>
      <c r="I41" s="347"/>
      <c r="L41" s="481">
        <v>749900000</v>
      </c>
      <c r="M41" s="481"/>
      <c r="O41" s="482"/>
      <c r="P41" s="462" t="s">
        <v>445</v>
      </c>
      <c r="T41" s="488" t="s">
        <v>514</v>
      </c>
      <c r="U41" s="500"/>
      <c r="V41" s="500"/>
      <c r="W41" s="535"/>
      <c r="X41" s="501"/>
      <c r="Y41" s="502"/>
      <c r="Z41" s="493"/>
      <c r="AA41" s="493"/>
      <c r="AB41" s="493"/>
      <c r="AC41" s="493"/>
      <c r="AD41" s="493"/>
      <c r="AE41" s="503"/>
      <c r="AF41" s="504"/>
      <c r="AG41" s="495"/>
      <c r="AH41" s="495"/>
      <c r="AI41" s="495"/>
      <c r="AJ41" s="495"/>
      <c r="AK41" s="495"/>
      <c r="AL41" s="505"/>
    </row>
    <row r="42" spans="1:38" ht="17.25" x14ac:dyDescent="0.35">
      <c r="A42" s="480" t="s">
        <v>512</v>
      </c>
      <c r="B42" s="461">
        <v>40498</v>
      </c>
      <c r="F42" s="462" t="s">
        <v>515</v>
      </c>
      <c r="H42" s="347">
        <v>5.1249999999999997E-2</v>
      </c>
      <c r="I42" s="347"/>
      <c r="L42" s="486">
        <v>100000</v>
      </c>
      <c r="M42" s="486"/>
      <c r="O42" s="487"/>
      <c r="P42" s="462" t="s">
        <v>445</v>
      </c>
      <c r="T42" s="488" t="s">
        <v>514</v>
      </c>
      <c r="U42" s="500"/>
      <c r="V42" s="500"/>
      <c r="W42" s="535"/>
      <c r="X42" s="501"/>
      <c r="Y42" s="502"/>
      <c r="Z42" s="493"/>
      <c r="AA42" s="493"/>
      <c r="AB42" s="493"/>
      <c r="AC42" s="493"/>
      <c r="AD42" s="493"/>
      <c r="AE42" s="503"/>
      <c r="AF42" s="504"/>
      <c r="AG42" s="495"/>
      <c r="AH42" s="495"/>
      <c r="AI42" s="495"/>
      <c r="AJ42" s="495"/>
      <c r="AK42" s="495"/>
      <c r="AL42" s="505"/>
    </row>
    <row r="43" spans="1:38" ht="15" x14ac:dyDescent="0.2">
      <c r="A43" s="475"/>
      <c r="F43" s="609"/>
      <c r="H43" s="490" t="s">
        <v>447</v>
      </c>
      <c r="L43" s="549">
        <f>SUM(L39:L42)</f>
        <v>1500000000</v>
      </c>
      <c r="M43" s="549"/>
      <c r="O43" s="609"/>
      <c r="T43" s="483"/>
      <c r="U43" s="500"/>
      <c r="V43" s="500"/>
      <c r="W43" s="535"/>
      <c r="X43" s="501"/>
      <c r="Y43" s="502"/>
      <c r="Z43" s="493"/>
      <c r="AA43" s="493"/>
      <c r="AB43" s="493"/>
      <c r="AC43" s="493"/>
      <c r="AD43" s="493"/>
      <c r="AE43" s="503"/>
      <c r="AF43" s="504"/>
      <c r="AG43" s="495"/>
      <c r="AH43" s="495"/>
      <c r="AI43" s="495"/>
      <c r="AJ43" s="495"/>
      <c r="AK43" s="495"/>
      <c r="AL43" s="505"/>
    </row>
    <row r="44" spans="1:38" ht="15" x14ac:dyDescent="0.2">
      <c r="F44" s="609"/>
      <c r="H44" s="347"/>
      <c r="I44" s="347"/>
      <c r="L44" s="481"/>
      <c r="M44" s="481"/>
      <c r="O44" s="609"/>
      <c r="T44" s="483"/>
      <c r="U44" s="500"/>
      <c r="V44" s="483"/>
      <c r="W44" s="501"/>
      <c r="X44" s="501"/>
      <c r="Y44" s="502"/>
      <c r="Z44" s="493"/>
      <c r="AA44" s="476"/>
      <c r="AB44" s="493"/>
      <c r="AC44" s="493"/>
      <c r="AD44" s="493"/>
      <c r="AE44" s="477"/>
      <c r="AF44" s="504"/>
      <c r="AG44" s="495"/>
      <c r="AH44" s="478"/>
      <c r="AI44" s="495"/>
      <c r="AJ44" s="495"/>
      <c r="AK44" s="495"/>
      <c r="AL44" s="479"/>
    </row>
    <row r="45" spans="1:38" ht="15" x14ac:dyDescent="0.2">
      <c r="A45" s="491" t="s">
        <v>448</v>
      </c>
      <c r="F45" s="609"/>
      <c r="H45" s="347"/>
      <c r="I45" s="347"/>
      <c r="L45" s="481"/>
      <c r="M45" s="481"/>
      <c r="O45" s="609"/>
      <c r="T45" s="483"/>
      <c r="Y45" s="456"/>
      <c r="Z45" s="476"/>
      <c r="AA45" s="476"/>
      <c r="AB45" s="476"/>
      <c r="AC45" s="476"/>
      <c r="AD45" s="476"/>
      <c r="AE45" s="477"/>
      <c r="AF45" s="458"/>
      <c r="AG45" s="478"/>
      <c r="AH45" s="478"/>
      <c r="AI45" s="478"/>
      <c r="AJ45" s="495"/>
      <c r="AK45" s="478"/>
      <c r="AL45" s="479"/>
    </row>
    <row r="46" spans="1:38" ht="15" x14ac:dyDescent="0.2">
      <c r="A46" s="552" t="s">
        <v>516</v>
      </c>
      <c r="B46" s="528">
        <v>36665</v>
      </c>
      <c r="C46" s="11"/>
      <c r="D46" s="11" t="s">
        <v>517</v>
      </c>
      <c r="E46" s="11"/>
      <c r="F46" s="610" t="s">
        <v>518</v>
      </c>
      <c r="G46" s="11"/>
      <c r="H46" s="553" t="s">
        <v>16</v>
      </c>
      <c r="I46" s="553">
        <f>(0.045*3+0.048*18)/21</f>
        <v>4.757142857142857E-2</v>
      </c>
      <c r="J46" s="11">
        <f t="shared" ref="J46:J51" si="4">I46*L46/L$77</f>
        <v>1.4023302843594419E-4</v>
      </c>
      <c r="K46" s="531">
        <v>7.0000000000000001E-3</v>
      </c>
      <c r="L46" s="78">
        <v>12900000</v>
      </c>
      <c r="M46" s="11" t="s">
        <v>519</v>
      </c>
      <c r="N46" s="536" t="s">
        <v>520</v>
      </c>
      <c r="O46" s="609" t="s">
        <v>35</v>
      </c>
      <c r="Q46" t="s">
        <v>465</v>
      </c>
      <c r="S46" t="s">
        <v>460</v>
      </c>
      <c r="T46" s="483"/>
      <c r="U46" s="500">
        <f>L46</f>
        <v>12900000</v>
      </c>
      <c r="V46" s="500"/>
      <c r="W46" s="501"/>
      <c r="X46" s="501">
        <v>4.5000000000000005E-3</v>
      </c>
      <c r="Y46" s="502">
        <f t="shared" ref="Y46:Y56" si="5">$L46*($W46+$X46)/L$77</f>
        <v>1.3265286473670401E-5</v>
      </c>
      <c r="Z46" s="493">
        <f>($U46+$V46)*($W46+$X46)/($U$63)</f>
        <v>2.5463049726353367E-4</v>
      </c>
      <c r="AA46" s="493"/>
      <c r="AB46" s="493" t="e">
        <f>($U46+$V46)*($W46+$X46)/($U$77)</f>
        <v>#REF!</v>
      </c>
      <c r="AC46" s="493"/>
      <c r="AD46" s="493">
        <f>($U46+$V46)*($W46+$X46)/($AD$80)</f>
        <v>1.6682117621976062E-4</v>
      </c>
      <c r="AE46" s="477"/>
      <c r="AF46" s="504" t="e">
        <f>$L46*($W46+$X46)/#REF!</f>
        <v>#REF!</v>
      </c>
      <c r="AG46" s="495">
        <f>($U46+$V46)*($W46+$X46)/($U$63)</f>
        <v>2.5463049726353367E-4</v>
      </c>
      <c r="AH46" s="495"/>
      <c r="AI46" s="495" t="e">
        <f>($U46+$V46)*($W46+$X46)/(#REF!)</f>
        <v>#REF!</v>
      </c>
      <c r="AJ46" s="495"/>
      <c r="AK46" s="495">
        <f>($U46+$V46)*($W46+$X46)/($AK$80)</f>
        <v>1.6682117621976062E-4</v>
      </c>
      <c r="AL46" s="479"/>
    </row>
    <row r="47" spans="1:38" ht="15" x14ac:dyDescent="0.2">
      <c r="A47" s="496" t="s">
        <v>480</v>
      </c>
      <c r="B47" s="461">
        <v>37532</v>
      </c>
      <c r="D47" t="s">
        <v>521</v>
      </c>
      <c r="F47" s="609" t="s">
        <v>522</v>
      </c>
      <c r="H47" s="498" t="s">
        <v>16</v>
      </c>
      <c r="I47" s="347">
        <v>7.4499999999999997E-2</v>
      </c>
      <c r="J47">
        <f t="shared" si="4"/>
        <v>1.6343381371178413E-3</v>
      </c>
      <c r="K47" s="448">
        <v>7.0699999999999999E-3</v>
      </c>
      <c r="L47" s="481">
        <v>96000000</v>
      </c>
      <c r="M47" s="11" t="s">
        <v>523</v>
      </c>
      <c r="N47" t="s">
        <v>458</v>
      </c>
      <c r="O47" s="509"/>
      <c r="Q47" t="s">
        <v>524</v>
      </c>
      <c r="S47" t="s">
        <v>454</v>
      </c>
      <c r="T47" s="483"/>
      <c r="U47" s="500"/>
      <c r="V47" s="500">
        <f>L47</f>
        <v>96000000</v>
      </c>
      <c r="W47" s="501"/>
      <c r="X47" s="501">
        <v>2.4199999999999998E-3</v>
      </c>
      <c r="Y47" s="502">
        <f t="shared" si="5"/>
        <v>5.3088567675505714E-5</v>
      </c>
      <c r="Z47" s="493"/>
      <c r="AA47" s="493">
        <f>($U47+$V47)*($W47+$X47)/($V$63)</f>
        <v>1.8918258660282404E-3</v>
      </c>
      <c r="AB47" s="493"/>
      <c r="AC47" s="493" t="e">
        <f>($U47+$V47)*($W47+$X47)/($V$77)</f>
        <v>#REF!</v>
      </c>
      <c r="AD47" s="493"/>
      <c r="AE47" s="477"/>
      <c r="AF47" s="504" t="e">
        <f>$L47*($W47+$X47)/#REF!</f>
        <v>#REF!</v>
      </c>
      <c r="AG47" s="495"/>
      <c r="AH47" s="495">
        <f>($U47+$V47)*($W47+$X47)/($V$63)</f>
        <v>1.8918258660282404E-3</v>
      </c>
      <c r="AI47" s="495"/>
      <c r="AJ47" s="495" t="e">
        <f>($U47+$V47)*($W47+$X47)/(#REF!)</f>
        <v>#REF!</v>
      </c>
      <c r="AK47" s="495"/>
      <c r="AL47" s="479"/>
    </row>
    <row r="48" spans="1:38" ht="15" x14ac:dyDescent="0.2">
      <c r="A48" s="496" t="s">
        <v>525</v>
      </c>
      <c r="B48" s="461">
        <v>37399</v>
      </c>
      <c r="D48" t="s">
        <v>526</v>
      </c>
      <c r="F48" s="609" t="s">
        <v>527</v>
      </c>
      <c r="H48" s="498" t="s">
        <v>16</v>
      </c>
      <c r="I48" s="347">
        <v>6.25E-2</v>
      </c>
      <c r="J48">
        <f t="shared" si="4"/>
        <v>2.9892597533798606E-4</v>
      </c>
      <c r="K48" s="448">
        <v>1.0999999999999999E-2</v>
      </c>
      <c r="L48" s="481">
        <v>20930000</v>
      </c>
      <c r="M48" t="s">
        <v>528</v>
      </c>
      <c r="N48" t="s">
        <v>452</v>
      </c>
      <c r="O48" s="509"/>
      <c r="Q48" t="s">
        <v>498</v>
      </c>
      <c r="S48" t="s">
        <v>454</v>
      </c>
      <c r="T48" s="483"/>
      <c r="U48" s="500">
        <f>L48</f>
        <v>20930000</v>
      </c>
      <c r="V48" s="500"/>
      <c r="W48" s="501"/>
      <c r="X48" s="535">
        <v>9.4999999999999998E-3</v>
      </c>
      <c r="Y48" s="502">
        <f t="shared" si="5"/>
        <v>4.5436748251373876E-5</v>
      </c>
      <c r="Z48" s="493">
        <f t="shared" ref="Z48:Z54" si="6">($U48+$V48)*($W48+$X48)/($U$63)</f>
        <v>8.7216976612221721E-4</v>
      </c>
      <c r="AA48" s="493"/>
      <c r="AB48" s="493" t="e">
        <f t="shared" ref="AB48:AB54" si="7">($U48+$V48)*($W48+$X48)/($U$77)</f>
        <v>#REF!</v>
      </c>
      <c r="AC48" s="493"/>
      <c r="AD48" s="493">
        <f t="shared" ref="AD48:AD54" si="8">($U48+$V48)*($W48+$X48)/($AD$80)</f>
        <v>5.7140204261250818E-4</v>
      </c>
      <c r="AE48" s="503"/>
      <c r="AF48" s="504" t="e">
        <f>$L48*($W48+$X48)/#REF!</f>
        <v>#REF!</v>
      </c>
      <c r="AG48" s="495">
        <f t="shared" ref="AG48:AG54" si="9">($U48+$V48)*($W48+$X48)/($U$63)</f>
        <v>8.7216976612221721E-4</v>
      </c>
      <c r="AH48" s="495"/>
      <c r="AI48" s="495" t="e">
        <f>($U48+$V48)*($W48+$X48)/(#REF!)</f>
        <v>#REF!</v>
      </c>
      <c r="AJ48" s="495"/>
      <c r="AK48" s="495">
        <f t="shared" ref="AK48:AK54" si="10">($U48+$V48)*($W48+$X48)/($AK$80)</f>
        <v>5.7140204261250818E-4</v>
      </c>
      <c r="AL48" s="505"/>
    </row>
    <row r="49" spans="1:38" ht="15" x14ac:dyDescent="0.2">
      <c r="A49" s="496" t="s">
        <v>525</v>
      </c>
      <c r="B49" s="461">
        <v>37399</v>
      </c>
      <c r="D49" t="s">
        <v>529</v>
      </c>
      <c r="F49" s="609" t="s">
        <v>530</v>
      </c>
      <c r="H49" s="498" t="s">
        <v>16</v>
      </c>
      <c r="I49" s="347">
        <v>6.25E-2</v>
      </c>
      <c r="J49">
        <f t="shared" si="4"/>
        <v>3.4277226030156069E-5</v>
      </c>
      <c r="K49" s="448">
        <v>1.0999999999999999E-2</v>
      </c>
      <c r="L49" s="481">
        <v>2400000</v>
      </c>
      <c r="M49" t="s">
        <v>531</v>
      </c>
      <c r="N49" t="s">
        <v>452</v>
      </c>
      <c r="O49" s="509"/>
      <c r="Q49" t="s">
        <v>498</v>
      </c>
      <c r="S49" t="s">
        <v>454</v>
      </c>
      <c r="T49" s="483"/>
      <c r="U49" s="500">
        <f t="shared" ref="U49:U54" si="11">L49</f>
        <v>2400000</v>
      </c>
      <c r="V49" s="500"/>
      <c r="W49" s="501"/>
      <c r="X49" s="535">
        <v>9.4999999999999998E-3</v>
      </c>
      <c r="Y49" s="502">
        <f t="shared" si="5"/>
        <v>5.2101383565837227E-6</v>
      </c>
      <c r="Z49" s="493">
        <f t="shared" si="6"/>
        <v>1.0000991106991502E-4</v>
      </c>
      <c r="AA49" s="493"/>
      <c r="AB49" s="493" t="e">
        <f t="shared" si="7"/>
        <v>#REF!</v>
      </c>
      <c r="AC49" s="493"/>
      <c r="AD49" s="493">
        <f t="shared" si="8"/>
        <v>6.5521495569518376E-5</v>
      </c>
      <c r="AE49" s="503"/>
      <c r="AF49" s="504" t="e">
        <f>$L49*($W49+$X49)/#REF!</f>
        <v>#REF!</v>
      </c>
      <c r="AG49" s="495">
        <f t="shared" si="9"/>
        <v>1.0000991106991502E-4</v>
      </c>
      <c r="AH49" s="495"/>
      <c r="AI49" s="495" t="e">
        <f>($U49+$V49)*($W49+$X49)/(#REF!)</f>
        <v>#REF!</v>
      </c>
      <c r="AJ49" s="495"/>
      <c r="AK49" s="495">
        <f t="shared" si="10"/>
        <v>6.5521495569518376E-5</v>
      </c>
      <c r="AL49" s="505"/>
    </row>
    <row r="50" spans="1:38" ht="15" x14ac:dyDescent="0.2">
      <c r="A50" s="496" t="s">
        <v>525</v>
      </c>
      <c r="B50" s="461">
        <v>37399</v>
      </c>
      <c r="D50" t="s">
        <v>532</v>
      </c>
      <c r="F50" s="609" t="s">
        <v>533</v>
      </c>
      <c r="H50" s="498" t="s">
        <v>16</v>
      </c>
      <c r="I50" s="347">
        <v>6.25E-2</v>
      </c>
      <c r="J50">
        <f t="shared" si="4"/>
        <v>3.4277226030156069E-5</v>
      </c>
      <c r="K50" s="448">
        <v>1.0999999999999999E-2</v>
      </c>
      <c r="L50" s="481">
        <v>2400000</v>
      </c>
      <c r="M50" t="s">
        <v>534</v>
      </c>
      <c r="N50" t="s">
        <v>452</v>
      </c>
      <c r="O50" s="509"/>
      <c r="Q50" t="s">
        <v>498</v>
      </c>
      <c r="S50" t="s">
        <v>454</v>
      </c>
      <c r="T50" s="483"/>
      <c r="U50" s="500">
        <f t="shared" si="11"/>
        <v>2400000</v>
      </c>
      <c r="V50" s="500"/>
      <c r="W50" s="501"/>
      <c r="X50" s="535">
        <v>9.4999999999999998E-3</v>
      </c>
      <c r="Y50" s="502">
        <f t="shared" si="5"/>
        <v>5.2101383565837227E-6</v>
      </c>
      <c r="Z50" s="493">
        <f t="shared" si="6"/>
        <v>1.0000991106991502E-4</v>
      </c>
      <c r="AA50" s="493"/>
      <c r="AB50" s="493" t="e">
        <f t="shared" si="7"/>
        <v>#REF!</v>
      </c>
      <c r="AC50" s="493"/>
      <c r="AD50" s="493">
        <f t="shared" si="8"/>
        <v>6.5521495569518376E-5</v>
      </c>
      <c r="AE50" s="503"/>
      <c r="AF50" s="504" t="e">
        <f>$L50*($W50+$X50)/#REF!</f>
        <v>#REF!</v>
      </c>
      <c r="AG50" s="495">
        <f t="shared" si="9"/>
        <v>1.0000991106991502E-4</v>
      </c>
      <c r="AH50" s="495"/>
      <c r="AI50" s="495" t="e">
        <f>($U50+$V50)*($W50+$X50)/(#REF!)</f>
        <v>#REF!</v>
      </c>
      <c r="AJ50" s="495"/>
      <c r="AK50" s="495">
        <f t="shared" si="10"/>
        <v>6.5521495569518376E-5</v>
      </c>
      <c r="AL50" s="505"/>
    </row>
    <row r="51" spans="1:38" ht="15" x14ac:dyDescent="0.2">
      <c r="A51" s="496" t="s">
        <v>525</v>
      </c>
      <c r="B51" s="461">
        <v>37399</v>
      </c>
      <c r="D51" t="s">
        <v>535</v>
      </c>
      <c r="F51" s="609" t="s">
        <v>536</v>
      </c>
      <c r="H51" s="498" t="s">
        <v>16</v>
      </c>
      <c r="I51" s="347">
        <v>6.25E-2</v>
      </c>
      <c r="J51">
        <f t="shared" si="4"/>
        <v>1.0568811359298121E-4</v>
      </c>
      <c r="K51" s="448">
        <v>1.0999999999999999E-2</v>
      </c>
      <c r="L51" s="481">
        <v>7400000</v>
      </c>
      <c r="M51" t="s">
        <v>537</v>
      </c>
      <c r="N51" t="s">
        <v>452</v>
      </c>
      <c r="O51" s="509"/>
      <c r="Q51" t="s">
        <v>498</v>
      </c>
      <c r="S51" t="s">
        <v>454</v>
      </c>
      <c r="T51" s="483"/>
      <c r="U51" s="500">
        <f t="shared" si="11"/>
        <v>7400000</v>
      </c>
      <c r="V51" s="500"/>
      <c r="W51" s="501"/>
      <c r="X51" s="535">
        <v>9.4999999999999998E-3</v>
      </c>
      <c r="Y51" s="502">
        <f t="shared" si="5"/>
        <v>1.6064593266133144E-5</v>
      </c>
      <c r="Z51" s="493">
        <f t="shared" si="6"/>
        <v>3.0836389246557131E-4</v>
      </c>
      <c r="AA51" s="493"/>
      <c r="AB51" s="493" t="e">
        <f t="shared" si="7"/>
        <v>#REF!</v>
      </c>
      <c r="AC51" s="493"/>
      <c r="AD51" s="493">
        <f t="shared" si="8"/>
        <v>2.0202461133934831E-4</v>
      </c>
      <c r="AE51" s="503"/>
      <c r="AF51" s="504" t="e">
        <f>$L51*($W51+$X51)/#REF!</f>
        <v>#REF!</v>
      </c>
      <c r="AG51" s="495">
        <f t="shared" si="9"/>
        <v>3.0836389246557131E-4</v>
      </c>
      <c r="AH51" s="495"/>
      <c r="AI51" s="495" t="e">
        <f>($U51+$V51)*($W51+$X51)/(#REF!)</f>
        <v>#REF!</v>
      </c>
      <c r="AJ51" s="495"/>
      <c r="AK51" s="495">
        <f t="shared" si="10"/>
        <v>2.0202461133934831E-4</v>
      </c>
      <c r="AL51" s="505"/>
    </row>
    <row r="52" spans="1:38" ht="15" x14ac:dyDescent="0.2">
      <c r="A52" s="554" t="s">
        <v>525</v>
      </c>
      <c r="B52" s="555" t="s">
        <v>538</v>
      </c>
      <c r="C52" s="11"/>
      <c r="D52" s="11"/>
      <c r="E52" s="11"/>
      <c r="F52" s="536" t="s">
        <v>539</v>
      </c>
      <c r="G52" s="11"/>
      <c r="H52" s="553" t="s">
        <v>16</v>
      </c>
      <c r="I52" s="556"/>
      <c r="J52" s="11"/>
      <c r="K52" s="531">
        <v>7.0000000000000001E-3</v>
      </c>
      <c r="L52" s="78">
        <v>77947405</v>
      </c>
      <c r="M52" s="11" t="s">
        <v>540</v>
      </c>
      <c r="N52" s="536" t="s">
        <v>520</v>
      </c>
      <c r="O52" s="509"/>
      <c r="Q52" t="s">
        <v>541</v>
      </c>
      <c r="S52" s="557" t="s">
        <v>460</v>
      </c>
      <c r="T52" s="483" t="s">
        <v>542</v>
      </c>
      <c r="U52" s="500">
        <f t="shared" si="11"/>
        <v>77947405</v>
      </c>
      <c r="V52" s="500"/>
      <c r="W52" s="501"/>
      <c r="X52" s="510">
        <v>3.3E-3</v>
      </c>
      <c r="Y52" s="502">
        <f t="shared" si="5"/>
        <v>5.8780058032280583E-5</v>
      </c>
      <c r="Z52" s="493">
        <f t="shared" si="6"/>
        <v>1.1282979403156204E-3</v>
      </c>
      <c r="AA52" s="493"/>
      <c r="AB52" s="493" t="e">
        <f t="shared" si="7"/>
        <v>#REF!</v>
      </c>
      <c r="AC52" s="493"/>
      <c r="AD52" s="493">
        <f t="shared" si="8"/>
        <v>7.3920442190779606E-4</v>
      </c>
      <c r="AE52" s="503"/>
      <c r="AF52" s="504" t="e">
        <f>$L52*($W52+$X52)/#REF!</f>
        <v>#REF!</v>
      </c>
      <c r="AG52" s="495">
        <f t="shared" si="9"/>
        <v>1.1282979403156204E-3</v>
      </c>
      <c r="AH52" s="495"/>
      <c r="AI52" s="495" t="e">
        <f>($U52+$V52)*($W52+$X52)/(#REF!)</f>
        <v>#REF!</v>
      </c>
      <c r="AJ52" s="495"/>
      <c r="AK52" s="495">
        <f t="shared" si="10"/>
        <v>7.3920442190779606E-4</v>
      </c>
      <c r="AL52" s="505"/>
    </row>
    <row r="53" spans="1:38" ht="15" x14ac:dyDescent="0.2">
      <c r="A53" s="554" t="s">
        <v>543</v>
      </c>
      <c r="B53" s="528">
        <v>38280</v>
      </c>
      <c r="C53" s="11"/>
      <c r="D53" s="11" t="s">
        <v>544</v>
      </c>
      <c r="E53" s="11"/>
      <c r="F53" s="610" t="s">
        <v>545</v>
      </c>
      <c r="G53" s="11"/>
      <c r="H53" s="553" t="s">
        <v>16</v>
      </c>
      <c r="I53" s="556">
        <v>5.7500000000000002E-2</v>
      </c>
      <c r="J53" s="11">
        <f>I53*L53/L$77</f>
        <v>6.5698016557799136E-4</v>
      </c>
      <c r="K53" s="531">
        <v>6.0000000000000001E-3</v>
      </c>
      <c r="L53" s="78">
        <v>50000000</v>
      </c>
      <c r="M53" s="11" t="s">
        <v>546</v>
      </c>
      <c r="N53" s="536" t="s">
        <v>520</v>
      </c>
      <c r="O53" s="509"/>
      <c r="Q53" t="s">
        <v>547</v>
      </c>
      <c r="S53" s="557" t="s">
        <v>460</v>
      </c>
      <c r="T53" s="483" t="s">
        <v>542</v>
      </c>
      <c r="U53" s="500">
        <f t="shared" si="11"/>
        <v>50000000</v>
      </c>
      <c r="V53" s="500"/>
      <c r="W53" s="501"/>
      <c r="X53" s="510">
        <v>2.7000000000000001E-3</v>
      </c>
      <c r="Y53" s="502">
        <f t="shared" si="5"/>
        <v>3.0849503427140458E-5</v>
      </c>
      <c r="Z53" s="493">
        <f t="shared" si="6"/>
        <v>5.9216394712449682E-4</v>
      </c>
      <c r="AA53" s="493"/>
      <c r="AB53" s="493" t="e">
        <f t="shared" si="7"/>
        <v>#REF!</v>
      </c>
      <c r="AC53" s="493"/>
      <c r="AD53" s="493">
        <f t="shared" si="8"/>
        <v>3.8795622376688508E-4</v>
      </c>
      <c r="AE53" s="503"/>
      <c r="AF53" s="504" t="e">
        <f>$L53*($W53+$X53)/#REF!</f>
        <v>#REF!</v>
      </c>
      <c r="AG53" s="495">
        <f t="shared" si="9"/>
        <v>5.9216394712449682E-4</v>
      </c>
      <c r="AH53" s="495"/>
      <c r="AI53" s="495" t="e">
        <f>($U53+$V53)*($W53+$X53)/(#REF!)</f>
        <v>#REF!</v>
      </c>
      <c r="AJ53" s="495"/>
      <c r="AK53" s="495">
        <f t="shared" si="10"/>
        <v>3.8795622376688508E-4</v>
      </c>
      <c r="AL53" s="505"/>
    </row>
    <row r="54" spans="1:38" ht="15" x14ac:dyDescent="0.2">
      <c r="A54" s="554" t="s">
        <v>543</v>
      </c>
      <c r="B54" s="528">
        <v>39136</v>
      </c>
      <c r="C54" s="11"/>
      <c r="D54" s="11"/>
      <c r="E54" s="11"/>
      <c r="F54" s="610" t="s">
        <v>548</v>
      </c>
      <c r="G54" s="11"/>
      <c r="H54" s="558" t="s">
        <v>16</v>
      </c>
      <c r="I54" s="553">
        <f>(0.0365+0.038+0.037+0.038+0.0405*3+0.041*3+0.046+0.0515*6+0.052+0.054*3)/21</f>
        <v>4.585714285714286E-2</v>
      </c>
      <c r="J54" s="11">
        <f>I54*L54/L$77</f>
        <v>5.6586803429211935E-4</v>
      </c>
      <c r="K54" s="531">
        <v>1.4500000000000001E-2</v>
      </c>
      <c r="L54" s="78">
        <v>54000000</v>
      </c>
      <c r="M54" s="11" t="s">
        <v>549</v>
      </c>
      <c r="N54" s="536" t="s">
        <v>520</v>
      </c>
      <c r="O54" s="509"/>
      <c r="Q54" t="s">
        <v>541</v>
      </c>
      <c r="S54" s="557" t="s">
        <v>460</v>
      </c>
      <c r="T54" s="483" t="s">
        <v>542</v>
      </c>
      <c r="U54" s="500">
        <f t="shared" si="11"/>
        <v>54000000</v>
      </c>
      <c r="V54" s="500"/>
      <c r="W54" s="501"/>
      <c r="X54" s="510">
        <v>4.0000000000000001E-3</v>
      </c>
      <c r="Y54" s="502">
        <f t="shared" si="5"/>
        <v>4.9359205483424736E-5</v>
      </c>
      <c r="Z54" s="493">
        <f t="shared" si="6"/>
        <v>9.4746231539919498E-4</v>
      </c>
      <c r="AA54" s="493"/>
      <c r="AB54" s="493" t="e">
        <f t="shared" si="7"/>
        <v>#REF!</v>
      </c>
      <c r="AC54" s="493"/>
      <c r="AD54" s="493">
        <f t="shared" si="8"/>
        <v>6.207299580270161E-4</v>
      </c>
      <c r="AE54" s="503"/>
      <c r="AF54" s="504" t="e">
        <f>$L54*($W54+$X54)/#REF!</f>
        <v>#REF!</v>
      </c>
      <c r="AG54" s="495">
        <f t="shared" si="9"/>
        <v>9.4746231539919498E-4</v>
      </c>
      <c r="AH54" s="495"/>
      <c r="AI54" s="495" t="e">
        <f>($U54+$V54)*($W54+$X54)/(#REF!)</f>
        <v>#REF!</v>
      </c>
      <c r="AJ54" s="495"/>
      <c r="AK54" s="495">
        <f t="shared" si="10"/>
        <v>6.207299580270161E-4</v>
      </c>
      <c r="AL54" s="505"/>
    </row>
    <row r="55" spans="1:38" ht="15" x14ac:dyDescent="0.2">
      <c r="A55" s="496" t="s">
        <v>550</v>
      </c>
      <c r="B55" s="461">
        <v>39226</v>
      </c>
      <c r="F55" s="610" t="s">
        <v>551</v>
      </c>
      <c r="H55" s="526">
        <v>5.7500000000000002E-2</v>
      </c>
      <c r="I55" s="498"/>
      <c r="L55" s="481">
        <v>17875000</v>
      </c>
      <c r="M55" s="11" t="s">
        <v>552</v>
      </c>
      <c r="N55" t="s">
        <v>458</v>
      </c>
      <c r="O55" s="609" t="s">
        <v>553</v>
      </c>
      <c r="Q55" t="s">
        <v>554</v>
      </c>
      <c r="S55" s="557" t="s">
        <v>460</v>
      </c>
      <c r="T55" s="483" t="s">
        <v>542</v>
      </c>
      <c r="U55" s="500"/>
      <c r="V55" s="500">
        <f>L55</f>
        <v>17875000</v>
      </c>
      <c r="W55" s="501">
        <f>H55</f>
        <v>5.7500000000000002E-2</v>
      </c>
      <c r="X55" s="510"/>
      <c r="Y55" s="502">
        <f t="shared" si="5"/>
        <v>2.348704091941319E-4</v>
      </c>
      <c r="Z55" s="476"/>
      <c r="AA55" s="493">
        <f>($U55+$V55)*($W55+$X55)/($V$63)</f>
        <v>8.369672318040422E-3</v>
      </c>
      <c r="AB55" s="493"/>
      <c r="AC55" s="493" t="e">
        <f>($U55+$V55)*($W55+$X55)/($V$77)</f>
        <v>#REF!</v>
      </c>
      <c r="AD55" s="493"/>
      <c r="AE55" s="503"/>
      <c r="AF55" s="504" t="e">
        <f>$L55*($W55+$X55)/#REF!</f>
        <v>#REF!</v>
      </c>
      <c r="AG55" s="478"/>
      <c r="AH55" s="495">
        <f>($U55+$V55)*($W55+$X55)/($V$63)</f>
        <v>8.369672318040422E-3</v>
      </c>
      <c r="AI55" s="495"/>
      <c r="AJ55" s="495" t="e">
        <f>($U55+$V55)*($W55+$X55)/(#REF!)</f>
        <v>#REF!</v>
      </c>
      <c r="AK55" s="495"/>
      <c r="AL55" s="505"/>
    </row>
    <row r="56" spans="1:38" ht="17.25" x14ac:dyDescent="0.35">
      <c r="A56" s="496" t="s">
        <v>555</v>
      </c>
      <c r="B56" s="461">
        <v>39226</v>
      </c>
      <c r="F56" s="610" t="s">
        <v>556</v>
      </c>
      <c r="H56" s="526">
        <v>0.06</v>
      </c>
      <c r="I56" s="498"/>
      <c r="L56" s="486">
        <v>8927000</v>
      </c>
      <c r="M56" s="11" t="s">
        <v>557</v>
      </c>
      <c r="N56" t="s">
        <v>458</v>
      </c>
      <c r="O56" s="609" t="s">
        <v>553</v>
      </c>
      <c r="Q56" t="s">
        <v>554</v>
      </c>
      <c r="S56" s="557" t="s">
        <v>460</v>
      </c>
      <c r="T56" s="483" t="s">
        <v>542</v>
      </c>
      <c r="U56" s="500"/>
      <c r="V56" s="500">
        <f>L56</f>
        <v>8927000</v>
      </c>
      <c r="W56" s="501">
        <f>H56</f>
        <v>0.06</v>
      </c>
      <c r="X56" s="510"/>
      <c r="Y56" s="502">
        <f t="shared" si="5"/>
        <v>1.2239711870848128E-4</v>
      </c>
      <c r="Z56" s="559"/>
      <c r="AA56" s="493">
        <f>($U56+$V56)*($W56+$X56)/($V$63)</f>
        <v>4.3616553476327749E-3</v>
      </c>
      <c r="AB56" s="559"/>
      <c r="AC56" s="493" t="e">
        <f>($U56+$V56)*($W56+$X56)/($V$77)</f>
        <v>#REF!</v>
      </c>
      <c r="AD56" s="493"/>
      <c r="AE56" s="503"/>
      <c r="AF56" s="504" t="e">
        <f>$L56*($W56+$X56)/#REF!</f>
        <v>#REF!</v>
      </c>
      <c r="AG56" s="560"/>
      <c r="AH56" s="495">
        <f>($U56+$V56)*($W56+$X56)/($V$63)</f>
        <v>4.3616553476327749E-3</v>
      </c>
      <c r="AI56" s="560"/>
      <c r="AJ56" s="495" t="e">
        <f>($U56+$V56)*($W56+$X56)/(#REF!)</f>
        <v>#REF!</v>
      </c>
      <c r="AK56" s="495"/>
      <c r="AL56" s="505"/>
    </row>
    <row r="57" spans="1:38" ht="15" x14ac:dyDescent="0.2">
      <c r="A57" s="496"/>
      <c r="F57" s="609"/>
      <c r="H57" s="498" t="s">
        <v>502</v>
      </c>
      <c r="I57" s="498"/>
      <c r="L57" s="481">
        <f>SUM(L46:L56)</f>
        <v>350779405</v>
      </c>
      <c r="M57" s="481"/>
      <c r="O57" s="509"/>
      <c r="T57" s="483"/>
      <c r="U57" s="483"/>
      <c r="V57" s="500"/>
      <c r="W57" s="501"/>
      <c r="X57" s="510"/>
      <c r="Y57" s="502"/>
      <c r="Z57" s="476"/>
      <c r="AA57" s="493"/>
      <c r="AB57" s="493"/>
      <c r="AC57" s="493"/>
      <c r="AD57" s="476"/>
      <c r="AE57" s="477"/>
      <c r="AF57" s="504"/>
      <c r="AG57" s="478"/>
      <c r="AH57" s="495"/>
      <c r="AI57" s="495"/>
      <c r="AJ57" s="495"/>
      <c r="AK57" s="478"/>
      <c r="AL57" s="479"/>
    </row>
    <row r="58" spans="1:38" ht="15" x14ac:dyDescent="0.2">
      <c r="A58" s="496"/>
      <c r="F58" s="609"/>
      <c r="H58" s="498"/>
      <c r="I58" s="498"/>
      <c r="L58" s="481"/>
      <c r="M58" s="481"/>
      <c r="O58" s="509"/>
      <c r="T58" s="483"/>
      <c r="U58" s="483"/>
      <c r="V58" s="500"/>
      <c r="W58" s="501"/>
      <c r="X58" s="510"/>
      <c r="Y58" s="502"/>
      <c r="Z58" s="476"/>
      <c r="AA58" s="493"/>
      <c r="AB58" s="493"/>
      <c r="AC58" s="493"/>
      <c r="AD58" s="476"/>
      <c r="AE58" s="477"/>
      <c r="AF58" s="504"/>
      <c r="AG58" s="478"/>
      <c r="AH58" s="495"/>
      <c r="AI58" s="495"/>
      <c r="AJ58" s="495"/>
      <c r="AK58" s="478"/>
      <c r="AL58" s="479"/>
    </row>
    <row r="59" spans="1:38" ht="15" x14ac:dyDescent="0.2">
      <c r="A59" s="539" t="s">
        <v>503</v>
      </c>
      <c r="F59" s="609"/>
      <c r="H59" s="12"/>
      <c r="I59" s="12"/>
      <c r="L59" s="481">
        <v>127000000</v>
      </c>
      <c r="M59" s="481"/>
      <c r="O59" s="509"/>
      <c r="T59" s="483"/>
      <c r="U59" s="483"/>
      <c r="V59" s="500"/>
      <c r="W59" s="501"/>
      <c r="X59" s="510"/>
      <c r="Y59" s="502"/>
      <c r="Z59" s="476"/>
      <c r="AA59" s="493"/>
      <c r="AB59" s="493"/>
      <c r="AC59" s="493"/>
      <c r="AD59" s="476"/>
      <c r="AE59" s="477"/>
      <c r="AF59" s="504"/>
      <c r="AG59" s="478"/>
      <c r="AH59" s="495"/>
      <c r="AI59" s="495"/>
      <c r="AJ59" s="495"/>
      <c r="AK59" s="478"/>
      <c r="AL59" s="479"/>
    </row>
    <row r="60" spans="1:38" ht="17.25" x14ac:dyDescent="0.35">
      <c r="A60" s="499" t="s">
        <v>558</v>
      </c>
      <c r="F60" s="609"/>
      <c r="H60" s="12"/>
      <c r="I60" s="12"/>
      <c r="L60" s="486">
        <v>0</v>
      </c>
      <c r="M60" s="486"/>
      <c r="O60" s="509"/>
      <c r="T60" s="483"/>
      <c r="U60" s="483"/>
      <c r="V60" s="500"/>
      <c r="W60" s="501"/>
      <c r="X60" s="510"/>
      <c r="Y60" s="502"/>
      <c r="Z60" s="476"/>
      <c r="AA60" s="493"/>
      <c r="AB60" s="493"/>
      <c r="AC60" s="493"/>
      <c r="AD60" s="476"/>
      <c r="AE60" s="477"/>
      <c r="AF60" s="504"/>
      <c r="AG60" s="478"/>
      <c r="AH60" s="495"/>
      <c r="AI60" s="495"/>
      <c r="AJ60" s="495"/>
      <c r="AK60" s="478"/>
      <c r="AL60" s="479"/>
    </row>
    <row r="61" spans="1:38" ht="15" x14ac:dyDescent="0.2">
      <c r="A61" s="496"/>
      <c r="F61" s="609"/>
      <c r="H61" s="498"/>
      <c r="I61" s="347"/>
      <c r="L61" s="481"/>
      <c r="M61" s="481"/>
      <c r="O61" s="509"/>
      <c r="T61" s="483"/>
      <c r="U61" s="483"/>
      <c r="V61" s="500"/>
      <c r="W61" s="501"/>
      <c r="X61" s="510"/>
      <c r="Y61" s="502"/>
      <c r="Z61" s="476"/>
      <c r="AA61" s="493"/>
      <c r="AB61" s="493"/>
      <c r="AC61" s="493"/>
      <c r="AD61" s="476"/>
      <c r="AE61" s="477"/>
      <c r="AF61" s="504"/>
      <c r="AG61" s="478"/>
      <c r="AH61" s="495"/>
      <c r="AI61" s="495"/>
      <c r="AJ61" s="495"/>
      <c r="AK61" s="478"/>
      <c r="AL61" s="479"/>
    </row>
    <row r="62" spans="1:38" ht="15" x14ac:dyDescent="0.2">
      <c r="F62" s="609"/>
      <c r="H62" s="498"/>
      <c r="L62" s="551"/>
      <c r="M62" s="551"/>
      <c r="O62" s="609"/>
      <c r="T62" s="483"/>
      <c r="U62" s="561"/>
      <c r="V62" s="562"/>
      <c r="W62" s="501"/>
      <c r="X62" s="501"/>
      <c r="Y62" s="502"/>
      <c r="Z62" s="559"/>
      <c r="AA62" s="559"/>
      <c r="AB62" s="563"/>
      <c r="AC62" s="559"/>
      <c r="AD62" s="564"/>
      <c r="AE62" s="565"/>
      <c r="AF62" s="504"/>
      <c r="AG62" s="560"/>
      <c r="AH62" s="560"/>
      <c r="AI62" s="548"/>
      <c r="AJ62" s="560"/>
      <c r="AK62" s="566"/>
      <c r="AL62" s="567"/>
    </row>
    <row r="63" spans="1:38" s="540" customFormat="1" ht="15.75" x14ac:dyDescent="0.25">
      <c r="F63" s="541"/>
      <c r="H63" s="542" t="s">
        <v>559</v>
      </c>
      <c r="L63" s="543">
        <f>L57+L43+L59+L60</f>
        <v>1977779405</v>
      </c>
      <c r="M63" s="543"/>
      <c r="N63" s="545"/>
      <c r="O63" s="541"/>
      <c r="T63" s="544"/>
      <c r="U63" s="545">
        <f>SUM(U46:U61)</f>
        <v>227977405</v>
      </c>
      <c r="V63" s="545">
        <f>SUM(V46:V61)</f>
        <v>122802000</v>
      </c>
      <c r="W63" s="568"/>
      <c r="X63" s="568"/>
      <c r="Y63" s="569"/>
      <c r="Z63" s="546">
        <f>SUM(Z46:Z61)</f>
        <v>4.3031081808304651E-3</v>
      </c>
      <c r="AA63" s="546">
        <f>SUM(AA46:AA61)</f>
        <v>1.4623153531701436E-2</v>
      </c>
      <c r="AB63" s="546" t="e">
        <f>SUM(AB46:AB61)</f>
        <v>#REF!</v>
      </c>
      <c r="AC63" s="546" t="e">
        <f>SUM(AC46:AC61)</f>
        <v>#REF!</v>
      </c>
      <c r="AD63" s="570"/>
      <c r="AE63" s="571"/>
      <c r="AF63" s="572"/>
      <c r="AG63" s="550">
        <f>SUM(AG46:AG61)</f>
        <v>4.3031081808304651E-3</v>
      </c>
      <c r="AH63" s="548">
        <f>SUM(AH46:AH61)</f>
        <v>1.4623153531701436E-2</v>
      </c>
      <c r="AI63" s="548" t="e">
        <f>SUM(AI46:AI61)</f>
        <v>#REF!</v>
      </c>
      <c r="AJ63" s="548" t="e">
        <f>SUM(AJ46:AJ61)</f>
        <v>#REF!</v>
      </c>
      <c r="AK63" s="573"/>
      <c r="AL63" s="574"/>
    </row>
    <row r="64" spans="1:38" ht="15" x14ac:dyDescent="0.2">
      <c r="F64" s="609"/>
      <c r="L64" s="551"/>
      <c r="M64" s="551"/>
      <c r="O64" s="609"/>
      <c r="T64" s="483"/>
      <c r="V64" s="500"/>
      <c r="W64" s="510"/>
      <c r="X64" s="510"/>
      <c r="Y64" s="502"/>
      <c r="Z64" s="575"/>
      <c r="AA64" s="575"/>
      <c r="AB64" s="493"/>
      <c r="AC64" s="493"/>
      <c r="AD64" s="575"/>
      <c r="AE64" s="576"/>
      <c r="AF64" s="504"/>
      <c r="AG64" s="577"/>
      <c r="AH64" s="577"/>
      <c r="AI64" s="495"/>
      <c r="AJ64" s="495"/>
      <c r="AK64" s="577"/>
      <c r="AL64" s="578"/>
    </row>
    <row r="65" spans="1:38" ht="15" x14ac:dyDescent="0.2">
      <c r="F65" s="609"/>
      <c r="L65" s="549"/>
      <c r="M65" s="549"/>
      <c r="O65" s="609"/>
      <c r="U65" s="562"/>
      <c r="V65" s="562"/>
      <c r="W65" s="510"/>
      <c r="X65" s="510"/>
      <c r="Y65" s="502"/>
      <c r="Z65" s="493"/>
      <c r="AA65" s="493"/>
      <c r="AB65" s="493"/>
      <c r="AC65" s="493"/>
      <c r="AD65" s="476"/>
      <c r="AE65" s="503"/>
      <c r="AF65" s="504"/>
      <c r="AG65" s="495"/>
      <c r="AH65" s="495"/>
      <c r="AI65" s="495"/>
      <c r="AJ65" s="495"/>
      <c r="AK65" s="478"/>
      <c r="AL65" s="505"/>
    </row>
    <row r="66" spans="1:38" ht="15.75" x14ac:dyDescent="0.25">
      <c r="A66" s="460" t="s">
        <v>413</v>
      </c>
      <c r="F66" s="609"/>
      <c r="L66" s="549"/>
      <c r="M66" s="549"/>
      <c r="O66" s="609"/>
      <c r="U66" s="5"/>
      <c r="V66" s="579"/>
      <c r="W66" s="512"/>
      <c r="X66" s="512"/>
      <c r="Y66" s="502"/>
      <c r="Z66" s="493"/>
      <c r="AA66" s="493"/>
      <c r="AB66" s="493"/>
      <c r="AC66" s="493"/>
      <c r="AD66" s="476"/>
      <c r="AE66" s="503"/>
      <c r="AF66" s="504"/>
      <c r="AG66" s="495"/>
      <c r="AH66" s="495"/>
      <c r="AI66" s="495"/>
      <c r="AJ66" s="495"/>
      <c r="AK66" s="478"/>
      <c r="AL66" s="505"/>
    </row>
    <row r="67" spans="1:38" ht="15" x14ac:dyDescent="0.2">
      <c r="A67" t="s">
        <v>560</v>
      </c>
      <c r="F67" s="609"/>
      <c r="H67" s="498" t="s">
        <v>16</v>
      </c>
      <c r="L67" s="549">
        <v>0</v>
      </c>
      <c r="M67" s="549"/>
      <c r="O67" s="609"/>
      <c r="U67" s="562">
        <f>L67</f>
        <v>0</v>
      </c>
      <c r="V67" s="562"/>
      <c r="W67" s="501"/>
      <c r="X67" s="510">
        <v>1.2467861493189533E-2</v>
      </c>
      <c r="Y67" s="502">
        <f>$L67*($W67+$X67)/L$77</f>
        <v>0</v>
      </c>
      <c r="Z67" s="493" t="e">
        <f>($U67+$V67)*($W67+$X67)/($U$74)</f>
        <v>#DIV/0!</v>
      </c>
      <c r="AA67" s="493"/>
      <c r="AB67" s="493" t="e">
        <f>($U67+$V67)*($W67+$X67)/($U$77)</f>
        <v>#REF!</v>
      </c>
      <c r="AC67" s="493"/>
      <c r="AD67" s="580"/>
      <c r="AE67" s="503" t="e">
        <f>($U67+$V67)*($W67+$X67)/($AE$80)</f>
        <v>#REF!</v>
      </c>
      <c r="AF67" s="504"/>
      <c r="AG67" s="495"/>
      <c r="AH67" s="495"/>
      <c r="AI67" s="495"/>
      <c r="AJ67" s="495"/>
      <c r="AK67" s="581"/>
      <c r="AL67" s="505"/>
    </row>
    <row r="68" spans="1:38" ht="15" x14ac:dyDescent="0.2">
      <c r="A68" t="s">
        <v>561</v>
      </c>
      <c r="F68" s="609"/>
      <c r="H68" s="498" t="s">
        <v>16</v>
      </c>
      <c r="L68" s="549">
        <v>75000000</v>
      </c>
      <c r="M68" s="549"/>
      <c r="O68" s="609"/>
      <c r="U68" s="562"/>
      <c r="V68" s="562"/>
      <c r="W68" s="501"/>
      <c r="X68" s="510"/>
      <c r="Y68" s="502"/>
      <c r="Z68" s="493"/>
      <c r="AA68" s="493"/>
      <c r="AB68" s="493"/>
      <c r="AC68" s="493"/>
      <c r="AD68" s="580"/>
      <c r="AE68" s="503"/>
      <c r="AF68" s="504"/>
      <c r="AG68" s="495"/>
      <c r="AH68" s="495"/>
      <c r="AI68" s="495"/>
      <c r="AJ68" s="495"/>
      <c r="AK68" s="581"/>
      <c r="AL68" s="505"/>
    </row>
    <row r="69" spans="1:38" ht="15" x14ac:dyDescent="0.2">
      <c r="A69" s="489" t="s">
        <v>440</v>
      </c>
      <c r="F69" s="462" t="s">
        <v>562</v>
      </c>
      <c r="H69" s="498">
        <v>2.1250000000000002E-2</v>
      </c>
      <c r="L69" s="549">
        <v>150000</v>
      </c>
      <c r="M69" s="549"/>
      <c r="O69" s="609"/>
      <c r="P69" s="462" t="s">
        <v>445</v>
      </c>
      <c r="U69" s="562"/>
      <c r="V69" s="562"/>
      <c r="W69" s="501"/>
      <c r="X69" s="510"/>
      <c r="Y69" s="502"/>
      <c r="Z69" s="493"/>
      <c r="AA69" s="493"/>
      <c r="AB69" s="493"/>
      <c r="AC69" s="493"/>
      <c r="AD69" s="580"/>
      <c r="AE69" s="503"/>
      <c r="AF69" s="504"/>
      <c r="AG69" s="495"/>
      <c r="AH69" s="495"/>
      <c r="AI69" s="495"/>
      <c r="AJ69" s="495"/>
      <c r="AK69" s="581"/>
      <c r="AL69" s="505"/>
    </row>
    <row r="70" spans="1:38" ht="15" x14ac:dyDescent="0.2">
      <c r="A70" s="489" t="s">
        <v>440</v>
      </c>
      <c r="F70" s="462" t="s">
        <v>563</v>
      </c>
      <c r="H70" s="498">
        <v>2.1250000000000002E-2</v>
      </c>
      <c r="L70" s="549">
        <v>399850000</v>
      </c>
      <c r="M70" s="549"/>
      <c r="O70" s="609"/>
      <c r="P70" s="462" t="s">
        <v>445</v>
      </c>
      <c r="U70" s="562"/>
      <c r="V70" s="562"/>
      <c r="W70" s="501"/>
      <c r="X70" s="510"/>
      <c r="Y70" s="502"/>
      <c r="Z70" s="493"/>
      <c r="AA70" s="493"/>
      <c r="AB70" s="493"/>
      <c r="AC70" s="493"/>
      <c r="AD70" s="580"/>
      <c r="AE70" s="503"/>
      <c r="AF70" s="504"/>
      <c r="AG70" s="495"/>
      <c r="AH70" s="495"/>
      <c r="AI70" s="495"/>
      <c r="AJ70" s="495"/>
      <c r="AK70" s="581"/>
      <c r="AL70" s="505"/>
    </row>
    <row r="71" spans="1:38" ht="15" x14ac:dyDescent="0.2">
      <c r="A71" s="496" t="s">
        <v>564</v>
      </c>
      <c r="F71" s="462" t="s">
        <v>565</v>
      </c>
      <c r="H71" s="498">
        <v>3.7499999999999999E-2</v>
      </c>
      <c r="L71" s="549">
        <v>475000000</v>
      </c>
      <c r="M71" s="549"/>
      <c r="O71" s="609"/>
      <c r="P71" s="462" t="s">
        <v>566</v>
      </c>
      <c r="T71" s="539" t="s">
        <v>567</v>
      </c>
      <c r="U71" s="562"/>
      <c r="V71" s="562"/>
      <c r="W71" s="501"/>
      <c r="X71" s="510"/>
      <c r="Y71" s="502"/>
      <c r="Z71" s="493"/>
      <c r="AA71" s="493"/>
      <c r="AB71" s="493"/>
      <c r="AC71" s="493"/>
      <c r="AD71" s="580"/>
      <c r="AE71" s="503"/>
      <c r="AF71" s="504"/>
      <c r="AG71" s="495"/>
      <c r="AH71" s="495"/>
      <c r="AI71" s="495"/>
      <c r="AJ71" s="495"/>
      <c r="AK71" s="581"/>
      <c r="AL71" s="505"/>
    </row>
    <row r="72" spans="1:38" ht="17.25" x14ac:dyDescent="0.35">
      <c r="A72" s="539" t="s">
        <v>568</v>
      </c>
      <c r="F72" s="462" t="s">
        <v>569</v>
      </c>
      <c r="H72" s="498">
        <v>4.3749999999999997E-2</v>
      </c>
      <c r="L72" s="582">
        <v>250000000</v>
      </c>
      <c r="M72" s="582"/>
      <c r="O72" s="609"/>
      <c r="P72" s="462" t="s">
        <v>570</v>
      </c>
      <c r="T72" s="539" t="s">
        <v>571</v>
      </c>
      <c r="U72" s="562"/>
      <c r="V72" s="562"/>
      <c r="W72" s="501"/>
      <c r="X72" s="510"/>
      <c r="Y72" s="502"/>
      <c r="Z72" s="493"/>
      <c r="AA72" s="493"/>
      <c r="AB72" s="493"/>
      <c r="AC72" s="493"/>
      <c r="AD72" s="580"/>
      <c r="AE72" s="503"/>
      <c r="AF72" s="504"/>
      <c r="AG72" s="495"/>
      <c r="AH72" s="495"/>
      <c r="AI72" s="495"/>
      <c r="AJ72" s="495"/>
      <c r="AK72" s="581"/>
      <c r="AL72" s="505"/>
    </row>
    <row r="73" spans="1:38" ht="15" x14ac:dyDescent="0.2">
      <c r="F73" s="609"/>
      <c r="L73" s="549"/>
      <c r="M73" s="549"/>
      <c r="O73" s="609"/>
      <c r="V73" s="562"/>
      <c r="Y73" s="456"/>
      <c r="Z73" s="476"/>
      <c r="AA73" s="476"/>
      <c r="AB73" s="476"/>
      <c r="AC73" s="476"/>
      <c r="AD73" s="476"/>
      <c r="AE73" s="477"/>
      <c r="AF73" s="458"/>
      <c r="AG73" s="478"/>
      <c r="AH73" s="478"/>
      <c r="AI73" s="478"/>
      <c r="AJ73" s="495"/>
      <c r="AK73" s="478"/>
      <c r="AL73" s="479"/>
    </row>
    <row r="74" spans="1:38" ht="15.75" x14ac:dyDescent="0.25">
      <c r="F74" s="609"/>
      <c r="H74" s="498" t="s">
        <v>572</v>
      </c>
      <c r="L74" s="543">
        <f>SUM(L67:L73)</f>
        <v>1200000000</v>
      </c>
      <c r="M74" s="543"/>
      <c r="O74" s="609"/>
      <c r="U74" s="545">
        <f>SUM(U67:U67)</f>
        <v>0</v>
      </c>
      <c r="V74" s="545">
        <f>SUM(V67:V67)</f>
        <v>0</v>
      </c>
      <c r="Y74" s="583" t="e">
        <f>SUM(Y14:Y67)</f>
        <v>#VALUE!</v>
      </c>
      <c r="Z74" s="546" t="e">
        <f>SUM(Z67:Z67)</f>
        <v>#DIV/0!</v>
      </c>
      <c r="AA74" s="546">
        <f>SUM(AA67:AA67)</f>
        <v>0</v>
      </c>
      <c r="AB74" s="546" t="e">
        <f>SUM(AB67:AB67)</f>
        <v>#REF!</v>
      </c>
      <c r="AC74" s="546">
        <f>SUM(AC67:AC67)</f>
        <v>0</v>
      </c>
      <c r="AD74" s="476"/>
      <c r="AE74" s="477"/>
      <c r="AF74" s="584" t="e">
        <f>SUM(AF14:AF67)</f>
        <v>#VALUE!</v>
      </c>
      <c r="AG74" s="548">
        <f>SUM(AG67:AG67)</f>
        <v>0</v>
      </c>
      <c r="AH74" s="548">
        <f>SUM(AH67:AH67)</f>
        <v>0</v>
      </c>
      <c r="AI74" s="548">
        <f>SUM(AI67:AI67)</f>
        <v>0</v>
      </c>
      <c r="AJ74" s="548">
        <f>SUM(AJ67:AJ67)</f>
        <v>0</v>
      </c>
      <c r="AK74" s="548"/>
      <c r="AL74" s="585"/>
    </row>
    <row r="75" spans="1:38" x14ac:dyDescent="0.2">
      <c r="F75" s="609"/>
      <c r="O75" s="609"/>
      <c r="Y75" s="456"/>
      <c r="Z75" s="476"/>
      <c r="AA75" s="476"/>
      <c r="AB75" s="476"/>
      <c r="AC75" s="476"/>
      <c r="AD75" s="476"/>
      <c r="AE75" s="477"/>
      <c r="AF75" s="458"/>
      <c r="AG75" s="478"/>
      <c r="AH75" s="478"/>
      <c r="AI75" s="478"/>
      <c r="AJ75" s="478"/>
      <c r="AK75" s="586"/>
      <c r="AL75" s="587"/>
    </row>
    <row r="76" spans="1:38" ht="15" x14ac:dyDescent="0.2">
      <c r="F76" s="609"/>
      <c r="L76" s="551"/>
      <c r="M76" s="551"/>
      <c r="O76" s="609"/>
      <c r="U76" s="500"/>
      <c r="Y76" s="456"/>
      <c r="Z76" s="476"/>
      <c r="AA76" s="476"/>
      <c r="AB76" s="476"/>
      <c r="AC76" s="476"/>
      <c r="AD76" s="476"/>
      <c r="AE76" s="477"/>
      <c r="AF76" s="458"/>
      <c r="AG76" s="478"/>
      <c r="AH76" s="478"/>
      <c r="AI76" s="478"/>
      <c r="AJ76" s="478"/>
      <c r="AK76" s="588"/>
      <c r="AL76" s="578"/>
    </row>
    <row r="77" spans="1:38" ht="15.75" x14ac:dyDescent="0.25">
      <c r="H77" s="12" t="s">
        <v>573</v>
      </c>
      <c r="J77" s="347">
        <f>SUM(J1:J76)</f>
        <v>6.5357922545833027E-3</v>
      </c>
      <c r="K77" s="347"/>
      <c r="L77" s="543">
        <f>L63+L33+L74</f>
        <v>4376083405</v>
      </c>
      <c r="M77" s="543"/>
      <c r="N77" s="500"/>
      <c r="O77" s="609"/>
      <c r="U77" s="545" t="e">
        <f>U33+U63+#REF!+U74</f>
        <v>#REF!</v>
      </c>
      <c r="V77" s="545" t="e">
        <f>V33+V63+#REF!+V74</f>
        <v>#REF!</v>
      </c>
      <c r="Y77" s="456"/>
      <c r="Z77" s="476"/>
      <c r="AA77" s="476"/>
      <c r="AB77" s="546" t="e">
        <f>AB74+#REF!+AB63+AB33</f>
        <v>#REF!</v>
      </c>
      <c r="AC77" s="546" t="e">
        <f>AC74+#REF!+AC63+AC33</f>
        <v>#REF!</v>
      </c>
      <c r="AD77" s="546">
        <f>SUM(AD14:AD67)</f>
        <v>5.4271093736675234E-3</v>
      </c>
      <c r="AE77" s="589" t="e">
        <f>SUM(AE14:AE67)</f>
        <v>#REF!</v>
      </c>
      <c r="AF77" s="458"/>
      <c r="AG77" s="478"/>
      <c r="AH77" s="478"/>
      <c r="AI77" s="590" t="e">
        <f>AI74+#REF!+AI63+AI33</f>
        <v>#REF!</v>
      </c>
      <c r="AJ77" s="590" t="e">
        <f>AJ74+#REF!+AJ63+AJ33</f>
        <v>#REF!</v>
      </c>
      <c r="AK77" s="548">
        <f>SUM(AK14:AK67)</f>
        <v>5.4271093736675234E-3</v>
      </c>
      <c r="AL77" s="585">
        <f>SUM(AL14:AL67)</f>
        <v>0</v>
      </c>
    </row>
    <row r="78" spans="1:38" s="593" customFormat="1" x14ac:dyDescent="0.2">
      <c r="A78"/>
      <c r="B78"/>
      <c r="C78"/>
      <c r="D78"/>
      <c r="E78" s="591"/>
      <c r="F78" s="591"/>
      <c r="G78" s="591"/>
      <c r="H78" s="591"/>
      <c r="I78" s="591"/>
      <c r="J78" s="591"/>
      <c r="K78" s="591"/>
      <c r="L78" s="592"/>
      <c r="M78" s="592"/>
      <c r="U78"/>
      <c r="V78"/>
      <c r="W78"/>
      <c r="X78"/>
      <c r="Y78" s="456"/>
      <c r="Z78" s="476"/>
      <c r="AA78" s="476"/>
      <c r="AB78" s="476"/>
      <c r="AC78" s="476"/>
      <c r="AD78" s="476"/>
      <c r="AE78" s="477"/>
      <c r="AF78" s="458"/>
      <c r="AG78" s="478"/>
      <c r="AH78" s="478"/>
      <c r="AI78" s="478"/>
      <c r="AJ78" s="478"/>
      <c r="AK78" s="478"/>
      <c r="AL78" s="479"/>
    </row>
    <row r="79" spans="1:38" x14ac:dyDescent="0.2">
      <c r="A79" s="594"/>
      <c r="B79" s="591"/>
      <c r="C79" s="591"/>
      <c r="D79" s="591"/>
      <c r="L79" s="500"/>
      <c r="M79" s="500"/>
      <c r="Y79" s="456"/>
      <c r="Z79" s="476"/>
      <c r="AA79" s="476"/>
      <c r="AB79" s="476"/>
      <c r="AC79" s="476"/>
      <c r="AD79" s="595" t="s">
        <v>574</v>
      </c>
      <c r="AE79" s="596" t="s">
        <v>575</v>
      </c>
      <c r="AF79" s="458"/>
      <c r="AG79" s="478"/>
      <c r="AH79" s="478"/>
      <c r="AI79" s="478"/>
      <c r="AJ79" s="478"/>
      <c r="AK79" s="597" t="s">
        <v>574</v>
      </c>
      <c r="AL79" s="598" t="s">
        <v>575</v>
      </c>
    </row>
    <row r="80" spans="1:38" ht="14.25" thickBot="1" x14ac:dyDescent="0.25">
      <c r="A80" s="599"/>
      <c r="B80" s="593"/>
      <c r="C80" s="593"/>
      <c r="D80" s="593"/>
      <c r="L80" s="500"/>
      <c r="M80" s="500"/>
      <c r="Y80" s="600"/>
      <c r="Z80" s="601"/>
      <c r="AA80" s="601"/>
      <c r="AB80" s="601"/>
      <c r="AC80" s="601"/>
      <c r="AD80" s="602">
        <f>SUM($U$17:$U$20)+SUM($U$46:$U$54)</f>
        <v>347977405</v>
      </c>
      <c r="AE80" s="603" t="e">
        <f>SUM($U$67:$U$67)+#REF!</f>
        <v>#REF!</v>
      </c>
      <c r="AF80" s="604"/>
      <c r="AG80" s="605"/>
      <c r="AH80" s="605"/>
      <c r="AI80" s="605"/>
      <c r="AJ80" s="605"/>
      <c r="AK80" s="606">
        <f>SUM($U$17:$U$20)+SUM($U$46:$U$54)</f>
        <v>347977405</v>
      </c>
      <c r="AL80" s="607" t="e">
        <f>SUM(#REF!)+#REF!-#REF!</f>
        <v>#REF!</v>
      </c>
    </row>
    <row r="81" spans="12:21" x14ac:dyDescent="0.2">
      <c r="L81" s="608"/>
      <c r="M81" s="608"/>
      <c r="U81" s="500"/>
    </row>
    <row r="82" spans="12:21" x14ac:dyDescent="0.2">
      <c r="L82" s="500">
        <f>L77-L67-L59-L29</f>
        <v>4160083405</v>
      </c>
      <c r="M82" s="500"/>
    </row>
    <row r="83" spans="12:21" x14ac:dyDescent="0.2">
      <c r="L83" s="500"/>
      <c r="M83" s="500"/>
    </row>
  </sheetData>
  <mergeCells count="6">
    <mergeCell ref="Y4:AE4"/>
    <mergeCell ref="AF4:AL4"/>
    <mergeCell ref="Z5:AA5"/>
    <mergeCell ref="AB5:AC5"/>
    <mergeCell ref="AG5:AH5"/>
    <mergeCell ref="AI5:AJ5"/>
  </mergeCells>
  <pageMargins left="0.75" right="0.75" top="0.64" bottom="0.65" header="0.5" footer="0.5"/>
  <pageSetup scale="1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>
    <pageSetUpPr fitToPage="1"/>
  </sheetPr>
  <dimension ref="A1:N190"/>
  <sheetViews>
    <sheetView zoomScaleNormal="100" workbookViewId="0">
      <pane ySplit="5" topLeftCell="A6" activePane="bottomLeft" state="frozen"/>
      <selection activeCell="M22" sqref="M22"/>
      <selection pane="bottomLeft" activeCell="K6" sqref="K6"/>
    </sheetView>
  </sheetViews>
  <sheetFormatPr defaultRowHeight="15" x14ac:dyDescent="0.25"/>
  <cols>
    <col min="1" max="1" width="8.5703125" style="126" customWidth="1"/>
    <col min="2" max="2" width="9.7109375" style="151" bestFit="1" customWidth="1"/>
    <col min="3" max="3" width="5.7109375" style="125" customWidth="1"/>
    <col min="4" max="4" width="13.7109375" style="125" bestFit="1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36" customWidth="1"/>
    <col min="9" max="9" width="11.7109375" style="137" customWidth="1"/>
    <col min="10" max="10" width="11.7109375" style="138" customWidth="1"/>
    <col min="11" max="11" width="9.140625" style="124"/>
    <col min="12" max="16384" width="9.140625" style="125"/>
  </cols>
  <sheetData>
    <row r="1" spans="1:14" ht="12.75" x14ac:dyDescent="0.2">
      <c r="A1" s="636" t="s">
        <v>132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133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25000000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237128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1.75" x14ac:dyDescent="0.25">
      <c r="B5" s="127"/>
      <c r="D5" s="128"/>
      <c r="H5" s="129" t="s">
        <v>134</v>
      </c>
      <c r="I5" s="130" t="s">
        <v>135</v>
      </c>
      <c r="J5" s="131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29"/>
      <c r="I6" s="130"/>
      <c r="J6" s="131"/>
      <c r="K6" s="134"/>
      <c r="L6" s="133"/>
      <c r="M6" s="133"/>
      <c r="N6" s="133"/>
    </row>
    <row r="7" spans="1:14" hidden="1" x14ac:dyDescent="0.25">
      <c r="A7" s="126">
        <v>41395</v>
      </c>
      <c r="B7" s="127">
        <v>41395</v>
      </c>
      <c r="D7" s="146">
        <v>0.80489999999999995</v>
      </c>
      <c r="F7" s="135">
        <f t="shared" ref="F7:F33" si="0">ROUND(D7/100*$A$3/360,6)</f>
        <v>558.95833300000004</v>
      </c>
    </row>
    <row r="8" spans="1:14" hidden="1" x14ac:dyDescent="0.25">
      <c r="B8" s="127">
        <f t="shared" ref="B8:B63" si="1">B7+1</f>
        <v>41396</v>
      </c>
      <c r="D8" s="146">
        <v>0.80489999999999995</v>
      </c>
      <c r="F8" s="135">
        <f t="shared" si="0"/>
        <v>558.95833300000004</v>
      </c>
    </row>
    <row r="9" spans="1:14" hidden="1" x14ac:dyDescent="0.25">
      <c r="B9" s="127">
        <f t="shared" si="1"/>
        <v>41397</v>
      </c>
      <c r="D9" s="146">
        <v>0.80489999999999995</v>
      </c>
      <c r="F9" s="135">
        <f t="shared" si="0"/>
        <v>558.95833300000004</v>
      </c>
    </row>
    <row r="10" spans="1:14" hidden="1" x14ac:dyDescent="0.25">
      <c r="B10" s="127">
        <f t="shared" si="1"/>
        <v>41398</v>
      </c>
      <c r="D10" s="146">
        <v>0.80489999999999995</v>
      </c>
      <c r="F10" s="135">
        <f t="shared" si="0"/>
        <v>558.95833300000004</v>
      </c>
    </row>
    <row r="11" spans="1:14" hidden="1" x14ac:dyDescent="0.25">
      <c r="B11" s="127">
        <f t="shared" si="1"/>
        <v>41399</v>
      </c>
      <c r="D11" s="146">
        <v>0.80489999999999995</v>
      </c>
      <c r="F11" s="135">
        <f t="shared" si="0"/>
        <v>558.95833300000004</v>
      </c>
    </row>
    <row r="12" spans="1:14" hidden="1" x14ac:dyDescent="0.25">
      <c r="B12" s="127">
        <f t="shared" si="1"/>
        <v>41400</v>
      </c>
      <c r="D12" s="146">
        <v>0.80489999999999995</v>
      </c>
      <c r="F12" s="135">
        <f t="shared" si="0"/>
        <v>558.95833300000004</v>
      </c>
    </row>
    <row r="13" spans="1:14" hidden="1" x14ac:dyDescent="0.25">
      <c r="B13" s="127">
        <f t="shared" si="1"/>
        <v>41401</v>
      </c>
      <c r="D13" s="146">
        <v>0.80489999999999995</v>
      </c>
      <c r="F13" s="135">
        <f t="shared" si="0"/>
        <v>558.95833300000004</v>
      </c>
    </row>
    <row r="14" spans="1:14" hidden="1" x14ac:dyDescent="0.25">
      <c r="B14" s="127">
        <f t="shared" si="1"/>
        <v>41402</v>
      </c>
      <c r="D14" s="146">
        <v>0.80489999999999995</v>
      </c>
      <c r="F14" s="135">
        <f t="shared" si="0"/>
        <v>558.95833300000004</v>
      </c>
    </row>
    <row r="15" spans="1:14" hidden="1" x14ac:dyDescent="0.25">
      <c r="B15" s="127">
        <f t="shared" si="1"/>
        <v>41403</v>
      </c>
      <c r="D15" s="146">
        <v>0.80489999999999995</v>
      </c>
      <c r="F15" s="135">
        <f t="shared" si="0"/>
        <v>558.95833300000004</v>
      </c>
    </row>
    <row r="16" spans="1:14" hidden="1" x14ac:dyDescent="0.25">
      <c r="B16" s="127">
        <f t="shared" si="1"/>
        <v>41404</v>
      </c>
      <c r="D16" s="146">
        <v>0.80489999999999995</v>
      </c>
      <c r="F16" s="135">
        <f t="shared" si="0"/>
        <v>558.95833300000004</v>
      </c>
    </row>
    <row r="17" spans="2:6" hidden="1" x14ac:dyDescent="0.25">
      <c r="B17" s="127">
        <f t="shared" si="1"/>
        <v>41405</v>
      </c>
      <c r="D17" s="146">
        <v>0.80489999999999995</v>
      </c>
      <c r="F17" s="135">
        <f t="shared" si="0"/>
        <v>558.95833300000004</v>
      </c>
    </row>
    <row r="18" spans="2:6" hidden="1" x14ac:dyDescent="0.25">
      <c r="B18" s="127">
        <f t="shared" si="1"/>
        <v>41406</v>
      </c>
      <c r="D18" s="146">
        <v>0.80489999999999995</v>
      </c>
      <c r="F18" s="135">
        <f t="shared" si="0"/>
        <v>558.95833300000004</v>
      </c>
    </row>
    <row r="19" spans="2:6" hidden="1" x14ac:dyDescent="0.25">
      <c r="B19" s="127">
        <f t="shared" si="1"/>
        <v>41407</v>
      </c>
      <c r="D19" s="146">
        <v>0.80489999999999995</v>
      </c>
      <c r="F19" s="135">
        <f t="shared" si="0"/>
        <v>558.95833300000004</v>
      </c>
    </row>
    <row r="20" spans="2:6" hidden="1" x14ac:dyDescent="0.25">
      <c r="B20" s="127">
        <f t="shared" si="1"/>
        <v>41408</v>
      </c>
      <c r="D20" s="146">
        <v>0.80489999999999995</v>
      </c>
      <c r="F20" s="135">
        <f t="shared" si="0"/>
        <v>558.95833300000004</v>
      </c>
    </row>
    <row r="21" spans="2:6" hidden="1" x14ac:dyDescent="0.25">
      <c r="B21" s="127">
        <f t="shared" si="1"/>
        <v>41409</v>
      </c>
      <c r="D21" s="146">
        <v>0.80489999999999995</v>
      </c>
      <c r="F21" s="135">
        <f t="shared" si="0"/>
        <v>558.95833300000004</v>
      </c>
    </row>
    <row r="22" spans="2:6" hidden="1" x14ac:dyDescent="0.25">
      <c r="B22" s="127">
        <f t="shared" si="1"/>
        <v>41410</v>
      </c>
      <c r="D22" s="146">
        <v>0.80489999999999995</v>
      </c>
      <c r="F22" s="135">
        <f t="shared" si="0"/>
        <v>558.95833300000004</v>
      </c>
    </row>
    <row r="23" spans="2:6" hidden="1" x14ac:dyDescent="0.25">
      <c r="B23" s="127">
        <f t="shared" si="1"/>
        <v>41411</v>
      </c>
      <c r="D23" s="146">
        <v>0.80489999999999995</v>
      </c>
      <c r="F23" s="135">
        <f t="shared" si="0"/>
        <v>558.95833300000004</v>
      </c>
    </row>
    <row r="24" spans="2:6" hidden="1" x14ac:dyDescent="0.25">
      <c r="B24" s="127">
        <f t="shared" si="1"/>
        <v>41412</v>
      </c>
      <c r="D24" s="146">
        <v>0.80489999999999995</v>
      </c>
      <c r="F24" s="135">
        <f t="shared" si="0"/>
        <v>558.95833300000004</v>
      </c>
    </row>
    <row r="25" spans="2:6" hidden="1" x14ac:dyDescent="0.25">
      <c r="B25" s="127">
        <f t="shared" si="1"/>
        <v>41413</v>
      </c>
      <c r="D25" s="146">
        <v>0.80489999999999995</v>
      </c>
      <c r="F25" s="135">
        <f t="shared" si="0"/>
        <v>558.95833300000004</v>
      </c>
    </row>
    <row r="26" spans="2:6" hidden="1" x14ac:dyDescent="0.25">
      <c r="B26" s="127">
        <f t="shared" si="1"/>
        <v>41414</v>
      </c>
      <c r="D26" s="146">
        <v>0.80489999999999995</v>
      </c>
      <c r="F26" s="135">
        <f t="shared" si="0"/>
        <v>558.95833300000004</v>
      </c>
    </row>
    <row r="27" spans="2:6" hidden="1" x14ac:dyDescent="0.25">
      <c r="B27" s="127">
        <f t="shared" si="1"/>
        <v>41415</v>
      </c>
      <c r="D27" s="146">
        <v>0.80489999999999995</v>
      </c>
      <c r="F27" s="135">
        <f t="shared" si="0"/>
        <v>558.95833300000004</v>
      </c>
    </row>
    <row r="28" spans="2:6" hidden="1" x14ac:dyDescent="0.25">
      <c r="B28" s="127">
        <f t="shared" si="1"/>
        <v>41416</v>
      </c>
      <c r="D28" s="146">
        <v>0.80489999999999995</v>
      </c>
      <c r="F28" s="135">
        <f t="shared" si="0"/>
        <v>558.95833300000004</v>
      </c>
    </row>
    <row r="29" spans="2:6" hidden="1" x14ac:dyDescent="0.25">
      <c r="B29" s="127">
        <f t="shared" si="1"/>
        <v>41417</v>
      </c>
      <c r="D29" s="146">
        <v>0.80489999999999995</v>
      </c>
      <c r="F29" s="135">
        <f t="shared" si="0"/>
        <v>558.95833300000004</v>
      </c>
    </row>
    <row r="30" spans="2:6" hidden="1" x14ac:dyDescent="0.25">
      <c r="B30" s="127">
        <f t="shared" si="1"/>
        <v>41418</v>
      </c>
      <c r="D30" s="146">
        <v>0.80489999999999995</v>
      </c>
      <c r="F30" s="135">
        <f t="shared" si="0"/>
        <v>558.95833300000004</v>
      </c>
    </row>
    <row r="31" spans="2:6" hidden="1" x14ac:dyDescent="0.25">
      <c r="B31" s="127">
        <f t="shared" si="1"/>
        <v>41419</v>
      </c>
      <c r="D31" s="146">
        <v>0.80489999999999995</v>
      </c>
      <c r="F31" s="135">
        <f t="shared" si="0"/>
        <v>558.95833300000004</v>
      </c>
    </row>
    <row r="32" spans="2:6" hidden="1" x14ac:dyDescent="0.25">
      <c r="B32" s="127">
        <f t="shared" si="1"/>
        <v>41420</v>
      </c>
      <c r="D32" s="146">
        <v>0.80489999999999995</v>
      </c>
      <c r="F32" s="135">
        <f t="shared" si="0"/>
        <v>558.95833300000004</v>
      </c>
    </row>
    <row r="33" spans="1:11" hidden="1" x14ac:dyDescent="0.25">
      <c r="B33" s="127">
        <f t="shared" si="1"/>
        <v>41421</v>
      </c>
      <c r="D33" s="146">
        <v>0.80489999999999995</v>
      </c>
      <c r="F33" s="135">
        <f t="shared" si="0"/>
        <v>558.95833300000004</v>
      </c>
    </row>
    <row r="34" spans="1:11" hidden="1" x14ac:dyDescent="0.25">
      <c r="B34" s="127">
        <f t="shared" si="1"/>
        <v>41422</v>
      </c>
      <c r="D34" s="146">
        <v>0.80489999999999995</v>
      </c>
      <c r="F34" s="135">
        <f t="shared" ref="F34:F100" si="2">ROUND(D34/100*$A$3/360,6)</f>
        <v>558.95833300000004</v>
      </c>
    </row>
    <row r="35" spans="1:11" hidden="1" x14ac:dyDescent="0.25">
      <c r="B35" s="127">
        <f t="shared" si="1"/>
        <v>41423</v>
      </c>
      <c r="D35" s="146">
        <v>0.80489999999999995</v>
      </c>
      <c r="F35" s="135">
        <f t="shared" si="2"/>
        <v>558.95833300000004</v>
      </c>
    </row>
    <row r="36" spans="1:11" hidden="1" x14ac:dyDescent="0.25">
      <c r="B36" s="127">
        <f t="shared" si="1"/>
        <v>41424</v>
      </c>
      <c r="D36" s="146">
        <v>0.80489999999999995</v>
      </c>
      <c r="F36" s="135">
        <f t="shared" si="2"/>
        <v>558.95833300000004</v>
      </c>
      <c r="H36" s="136">
        <f>SUM(F7:F36)</f>
        <v>16768.749990000011</v>
      </c>
      <c r="I36" s="148">
        <f>AVERAGE(D7:D36)</f>
        <v>0.80489999999999995</v>
      </c>
      <c r="J36" s="144">
        <f>AVERAGE(D7:D36)</f>
        <v>0.80489999999999995</v>
      </c>
      <c r="K36" s="149">
        <f>AVERAGE(D7:D36)</f>
        <v>0.80489999999999995</v>
      </c>
    </row>
    <row r="37" spans="1:11" hidden="1" x14ac:dyDescent="0.25">
      <c r="B37" s="127">
        <f t="shared" si="1"/>
        <v>41425</v>
      </c>
    </row>
    <row r="38" spans="1:11" hidden="1" x14ac:dyDescent="0.25">
      <c r="A38" s="126">
        <v>41426</v>
      </c>
      <c r="B38" s="127">
        <f t="shared" si="1"/>
        <v>41426</v>
      </c>
      <c r="D38" s="146">
        <v>0.80158499999999999</v>
      </c>
      <c r="F38" s="135">
        <f t="shared" si="2"/>
        <v>556.65625</v>
      </c>
    </row>
    <row r="39" spans="1:11" hidden="1" x14ac:dyDescent="0.25">
      <c r="B39" s="127">
        <f t="shared" si="1"/>
        <v>41427</v>
      </c>
      <c r="D39" s="146">
        <v>0.80158499999999999</v>
      </c>
      <c r="F39" s="135">
        <f t="shared" si="2"/>
        <v>556.65625</v>
      </c>
    </row>
    <row r="40" spans="1:11" hidden="1" x14ac:dyDescent="0.25">
      <c r="B40" s="127">
        <f t="shared" si="1"/>
        <v>41428</v>
      </c>
      <c r="D40" s="146">
        <v>0.80158499999999999</v>
      </c>
      <c r="F40" s="135">
        <f t="shared" si="2"/>
        <v>556.65625</v>
      </c>
    </row>
    <row r="41" spans="1:11" hidden="1" x14ac:dyDescent="0.25">
      <c r="B41" s="127">
        <f t="shared" si="1"/>
        <v>41429</v>
      </c>
      <c r="D41" s="146">
        <v>0.80158499999999999</v>
      </c>
      <c r="F41" s="135">
        <f t="shared" si="2"/>
        <v>556.65625</v>
      </c>
    </row>
    <row r="42" spans="1:11" hidden="1" x14ac:dyDescent="0.25">
      <c r="B42" s="127">
        <f t="shared" si="1"/>
        <v>41430</v>
      </c>
      <c r="D42" s="146">
        <v>0.80158499999999999</v>
      </c>
      <c r="F42" s="135">
        <f t="shared" si="2"/>
        <v>556.65625</v>
      </c>
    </row>
    <row r="43" spans="1:11" hidden="1" x14ac:dyDescent="0.25">
      <c r="B43" s="127">
        <f t="shared" si="1"/>
        <v>41431</v>
      </c>
      <c r="D43" s="146">
        <v>0.80158499999999999</v>
      </c>
      <c r="F43" s="135">
        <f t="shared" si="2"/>
        <v>556.65625</v>
      </c>
    </row>
    <row r="44" spans="1:11" hidden="1" x14ac:dyDescent="0.25">
      <c r="B44" s="127">
        <f t="shared" si="1"/>
        <v>41432</v>
      </c>
      <c r="D44" s="146">
        <v>0.80158499999999999</v>
      </c>
      <c r="F44" s="135">
        <f t="shared" si="2"/>
        <v>556.65625</v>
      </c>
    </row>
    <row r="45" spans="1:11" hidden="1" x14ac:dyDescent="0.25">
      <c r="B45" s="127">
        <f t="shared" si="1"/>
        <v>41433</v>
      </c>
      <c r="D45" s="146">
        <v>0.80158499999999999</v>
      </c>
      <c r="F45" s="135">
        <f t="shared" si="2"/>
        <v>556.65625</v>
      </c>
    </row>
    <row r="46" spans="1:11" hidden="1" x14ac:dyDescent="0.25">
      <c r="B46" s="127">
        <f t="shared" si="1"/>
        <v>41434</v>
      </c>
      <c r="D46" s="146">
        <v>0.80158499999999999</v>
      </c>
      <c r="F46" s="135">
        <f t="shared" si="2"/>
        <v>556.65625</v>
      </c>
    </row>
    <row r="47" spans="1:11" hidden="1" x14ac:dyDescent="0.25">
      <c r="B47" s="127">
        <f t="shared" si="1"/>
        <v>41435</v>
      </c>
      <c r="D47" s="146">
        <v>0.80158499999999999</v>
      </c>
      <c r="F47" s="135">
        <f t="shared" si="2"/>
        <v>556.65625</v>
      </c>
    </row>
    <row r="48" spans="1:11" hidden="1" x14ac:dyDescent="0.25">
      <c r="B48" s="127">
        <f t="shared" si="1"/>
        <v>41436</v>
      </c>
      <c r="D48" s="146">
        <v>0.80158499999999999</v>
      </c>
      <c r="F48" s="135">
        <f t="shared" si="2"/>
        <v>556.65625</v>
      </c>
    </row>
    <row r="49" spans="2:6" hidden="1" x14ac:dyDescent="0.25">
      <c r="B49" s="127">
        <f t="shared" si="1"/>
        <v>41437</v>
      </c>
      <c r="D49" s="146">
        <v>0.80158499999999999</v>
      </c>
      <c r="F49" s="135">
        <f t="shared" si="2"/>
        <v>556.65625</v>
      </c>
    </row>
    <row r="50" spans="2:6" hidden="1" x14ac:dyDescent="0.25">
      <c r="B50" s="127">
        <f t="shared" si="1"/>
        <v>41438</v>
      </c>
      <c r="D50" s="146">
        <v>0.80158499999999999</v>
      </c>
      <c r="F50" s="135">
        <f t="shared" si="2"/>
        <v>556.65625</v>
      </c>
    </row>
    <row r="51" spans="2:6" hidden="1" x14ac:dyDescent="0.25">
      <c r="B51" s="127">
        <f t="shared" si="1"/>
        <v>41439</v>
      </c>
      <c r="D51" s="146">
        <v>0.80158499999999999</v>
      </c>
      <c r="F51" s="135">
        <f t="shared" si="2"/>
        <v>556.65625</v>
      </c>
    </row>
    <row r="52" spans="2:6" hidden="1" x14ac:dyDescent="0.25">
      <c r="B52" s="127">
        <f t="shared" si="1"/>
        <v>41440</v>
      </c>
      <c r="D52" s="146">
        <v>0.80158499999999999</v>
      </c>
      <c r="F52" s="135">
        <f t="shared" si="2"/>
        <v>556.65625</v>
      </c>
    </row>
    <row r="53" spans="2:6" hidden="1" x14ac:dyDescent="0.25">
      <c r="B53" s="127">
        <f t="shared" si="1"/>
        <v>41441</v>
      </c>
      <c r="D53" s="146">
        <v>0.80158499999999999</v>
      </c>
      <c r="F53" s="135">
        <f t="shared" si="2"/>
        <v>556.65625</v>
      </c>
    </row>
    <row r="54" spans="2:6" hidden="1" x14ac:dyDescent="0.25">
      <c r="B54" s="127">
        <f t="shared" si="1"/>
        <v>41442</v>
      </c>
      <c r="D54" s="146">
        <v>0.80158499999999999</v>
      </c>
      <c r="F54" s="135">
        <f t="shared" si="2"/>
        <v>556.65625</v>
      </c>
    </row>
    <row r="55" spans="2:6" hidden="1" x14ac:dyDescent="0.25">
      <c r="B55" s="127">
        <f t="shared" si="1"/>
        <v>41443</v>
      </c>
      <c r="D55" s="146">
        <v>0.80158499999999999</v>
      </c>
      <c r="F55" s="135">
        <f t="shared" si="2"/>
        <v>556.65625</v>
      </c>
    </row>
    <row r="56" spans="2:6" hidden="1" x14ac:dyDescent="0.25">
      <c r="B56" s="127">
        <f t="shared" si="1"/>
        <v>41444</v>
      </c>
      <c r="D56" s="146">
        <v>0.80158499999999999</v>
      </c>
      <c r="F56" s="135">
        <f t="shared" si="2"/>
        <v>556.65625</v>
      </c>
    </row>
    <row r="57" spans="2:6" hidden="1" x14ac:dyDescent="0.25">
      <c r="B57" s="127">
        <f t="shared" si="1"/>
        <v>41445</v>
      </c>
      <c r="D57" s="146">
        <v>0.80158499999999999</v>
      </c>
      <c r="F57" s="135">
        <f t="shared" si="2"/>
        <v>556.65625</v>
      </c>
    </row>
    <row r="58" spans="2:6" hidden="1" x14ac:dyDescent="0.25">
      <c r="B58" s="127">
        <f t="shared" si="1"/>
        <v>41446</v>
      </c>
      <c r="D58" s="146">
        <v>0.80158499999999999</v>
      </c>
      <c r="F58" s="135">
        <f t="shared" si="2"/>
        <v>556.65625</v>
      </c>
    </row>
    <row r="59" spans="2:6" hidden="1" x14ac:dyDescent="0.25">
      <c r="B59" s="127">
        <f t="shared" si="1"/>
        <v>41447</v>
      </c>
      <c r="D59" s="146">
        <v>0.80158499999999999</v>
      </c>
      <c r="F59" s="135">
        <f t="shared" si="2"/>
        <v>556.65625</v>
      </c>
    </row>
    <row r="60" spans="2:6" hidden="1" x14ac:dyDescent="0.25">
      <c r="B60" s="127">
        <f t="shared" si="1"/>
        <v>41448</v>
      </c>
      <c r="D60" s="146">
        <v>0.80158499999999999</v>
      </c>
      <c r="F60" s="135">
        <f t="shared" si="2"/>
        <v>556.65625</v>
      </c>
    </row>
    <row r="61" spans="2:6" hidden="1" x14ac:dyDescent="0.25">
      <c r="B61" s="127">
        <f t="shared" si="1"/>
        <v>41449</v>
      </c>
      <c r="D61" s="146">
        <v>0.80158499999999999</v>
      </c>
      <c r="F61" s="135">
        <f t="shared" si="2"/>
        <v>556.65625</v>
      </c>
    </row>
    <row r="62" spans="2:6" hidden="1" x14ac:dyDescent="0.25">
      <c r="B62" s="127">
        <f t="shared" si="1"/>
        <v>41450</v>
      </c>
      <c r="D62" s="146">
        <v>0.80158499999999999</v>
      </c>
      <c r="F62" s="135">
        <f t="shared" si="2"/>
        <v>556.65625</v>
      </c>
    </row>
    <row r="63" spans="2:6" hidden="1" x14ac:dyDescent="0.25">
      <c r="B63" s="127">
        <f t="shared" si="1"/>
        <v>41451</v>
      </c>
      <c r="D63" s="146">
        <v>0.80158499999999999</v>
      </c>
      <c r="F63" s="135">
        <f t="shared" si="2"/>
        <v>556.65625</v>
      </c>
    </row>
    <row r="64" spans="2:6" hidden="1" x14ac:dyDescent="0.25">
      <c r="B64" s="127">
        <f t="shared" ref="B64:B127" si="3">B63+1</f>
        <v>41452</v>
      </c>
      <c r="D64" s="146">
        <v>0.80158499999999999</v>
      </c>
      <c r="F64" s="135">
        <f t="shared" si="2"/>
        <v>556.65625</v>
      </c>
    </row>
    <row r="65" spans="1:11" hidden="1" x14ac:dyDescent="0.25">
      <c r="B65" s="127">
        <f t="shared" si="3"/>
        <v>41453</v>
      </c>
      <c r="D65" s="146">
        <v>0.80158499999999999</v>
      </c>
      <c r="F65" s="135">
        <f t="shared" si="2"/>
        <v>556.65625</v>
      </c>
    </row>
    <row r="66" spans="1:11" hidden="1" x14ac:dyDescent="0.25">
      <c r="B66" s="127">
        <f t="shared" si="3"/>
        <v>41454</v>
      </c>
      <c r="D66" s="146">
        <v>0.80158499999999999</v>
      </c>
      <c r="F66" s="135">
        <f t="shared" si="2"/>
        <v>556.65625</v>
      </c>
    </row>
    <row r="67" spans="1:11" hidden="1" x14ac:dyDescent="0.25">
      <c r="B67" s="127">
        <f t="shared" si="3"/>
        <v>41455</v>
      </c>
      <c r="D67" s="146">
        <v>0.80158499999999999</v>
      </c>
      <c r="F67" s="135">
        <f t="shared" si="2"/>
        <v>556.65625</v>
      </c>
      <c r="H67" s="136">
        <f>SUM(F38:F67)</f>
        <v>16699.6875</v>
      </c>
      <c r="I67" s="148">
        <f>AVERAGE(D38:D67)</f>
        <v>0.80158499999999955</v>
      </c>
      <c r="J67" s="144">
        <f>AVERAGE(D7:D67)</f>
        <v>0.80324250000000086</v>
      </c>
      <c r="K67" s="149">
        <f>AVERAGE(D7:D67)</f>
        <v>0.80324250000000086</v>
      </c>
    </row>
    <row r="68" spans="1:11" hidden="1" x14ac:dyDescent="0.25">
      <c r="A68" s="126">
        <v>41456</v>
      </c>
      <c r="B68" s="127">
        <f t="shared" si="3"/>
        <v>41456</v>
      </c>
      <c r="D68" s="146">
        <v>0.80253750000000001</v>
      </c>
      <c r="F68" s="135">
        <f t="shared" si="2"/>
        <v>557.31770800000004</v>
      </c>
    </row>
    <row r="69" spans="1:11" hidden="1" x14ac:dyDescent="0.25">
      <c r="B69" s="127">
        <f t="shared" si="3"/>
        <v>41457</v>
      </c>
      <c r="D69" s="146">
        <v>0.80253750000000001</v>
      </c>
      <c r="F69" s="135">
        <f t="shared" si="2"/>
        <v>557.31770800000004</v>
      </c>
    </row>
    <row r="70" spans="1:11" hidden="1" x14ac:dyDescent="0.25">
      <c r="B70" s="127">
        <f t="shared" si="3"/>
        <v>41458</v>
      </c>
      <c r="D70" s="146">
        <v>0.80253750000000001</v>
      </c>
      <c r="F70" s="135">
        <f t="shared" si="2"/>
        <v>557.31770800000004</v>
      </c>
    </row>
    <row r="71" spans="1:11" hidden="1" x14ac:dyDescent="0.25">
      <c r="B71" s="127">
        <f t="shared" si="3"/>
        <v>41459</v>
      </c>
      <c r="D71" s="146">
        <v>0.80253750000000001</v>
      </c>
      <c r="F71" s="135">
        <f t="shared" si="2"/>
        <v>557.31770800000004</v>
      </c>
    </row>
    <row r="72" spans="1:11" hidden="1" x14ac:dyDescent="0.25">
      <c r="B72" s="127">
        <f t="shared" si="3"/>
        <v>41460</v>
      </c>
      <c r="D72" s="146">
        <v>0.80253750000000001</v>
      </c>
      <c r="F72" s="135">
        <f t="shared" si="2"/>
        <v>557.31770800000004</v>
      </c>
    </row>
    <row r="73" spans="1:11" hidden="1" x14ac:dyDescent="0.25">
      <c r="B73" s="127">
        <f t="shared" si="3"/>
        <v>41461</v>
      </c>
      <c r="D73" s="146">
        <v>0.80253750000000001</v>
      </c>
      <c r="F73" s="135">
        <f t="shared" si="2"/>
        <v>557.31770800000004</v>
      </c>
    </row>
    <row r="74" spans="1:11" hidden="1" x14ac:dyDescent="0.25">
      <c r="B74" s="127">
        <f t="shared" si="3"/>
        <v>41462</v>
      </c>
      <c r="D74" s="146">
        <v>0.80253750000000001</v>
      </c>
      <c r="F74" s="135">
        <f t="shared" si="2"/>
        <v>557.31770800000004</v>
      </c>
    </row>
    <row r="75" spans="1:11" hidden="1" x14ac:dyDescent="0.25">
      <c r="B75" s="127">
        <f t="shared" si="3"/>
        <v>41463</v>
      </c>
      <c r="D75" s="146">
        <v>0.80253750000000001</v>
      </c>
      <c r="F75" s="135">
        <f t="shared" si="2"/>
        <v>557.31770800000004</v>
      </c>
    </row>
    <row r="76" spans="1:11" hidden="1" x14ac:dyDescent="0.25">
      <c r="B76" s="127">
        <f t="shared" si="3"/>
        <v>41464</v>
      </c>
      <c r="D76" s="146">
        <v>0.80253750000000001</v>
      </c>
      <c r="F76" s="135">
        <f t="shared" si="2"/>
        <v>557.31770800000004</v>
      </c>
    </row>
    <row r="77" spans="1:11" hidden="1" x14ac:dyDescent="0.25">
      <c r="B77" s="127">
        <f t="shared" si="3"/>
        <v>41465</v>
      </c>
      <c r="D77" s="146">
        <v>0.80253750000000001</v>
      </c>
      <c r="F77" s="135">
        <f t="shared" si="2"/>
        <v>557.31770800000004</v>
      </c>
    </row>
    <row r="78" spans="1:11" hidden="1" x14ac:dyDescent="0.25">
      <c r="B78" s="127">
        <f t="shared" si="3"/>
        <v>41466</v>
      </c>
      <c r="D78" s="146">
        <v>0.80253750000000001</v>
      </c>
      <c r="F78" s="135">
        <f t="shared" si="2"/>
        <v>557.31770800000004</v>
      </c>
    </row>
    <row r="79" spans="1:11" hidden="1" x14ac:dyDescent="0.25">
      <c r="B79" s="127">
        <f t="shared" si="3"/>
        <v>41467</v>
      </c>
      <c r="D79" s="146">
        <v>0.80253750000000001</v>
      </c>
      <c r="F79" s="135">
        <f t="shared" si="2"/>
        <v>557.31770800000004</v>
      </c>
    </row>
    <row r="80" spans="1:11" hidden="1" x14ac:dyDescent="0.25">
      <c r="B80" s="127">
        <f t="shared" si="3"/>
        <v>41468</v>
      </c>
      <c r="D80" s="146">
        <v>0.80253750000000001</v>
      </c>
      <c r="F80" s="135">
        <f t="shared" si="2"/>
        <v>557.31770800000004</v>
      </c>
    </row>
    <row r="81" spans="2:6" hidden="1" x14ac:dyDescent="0.25">
      <c r="B81" s="127">
        <f t="shared" si="3"/>
        <v>41469</v>
      </c>
      <c r="D81" s="146">
        <v>0.80253750000000001</v>
      </c>
      <c r="F81" s="135">
        <f t="shared" si="2"/>
        <v>557.31770800000004</v>
      </c>
    </row>
    <row r="82" spans="2:6" hidden="1" x14ac:dyDescent="0.25">
      <c r="B82" s="127">
        <f t="shared" si="3"/>
        <v>41470</v>
      </c>
      <c r="D82" s="146">
        <v>0.80253750000000001</v>
      </c>
      <c r="F82" s="135">
        <f t="shared" si="2"/>
        <v>557.31770800000004</v>
      </c>
    </row>
    <row r="83" spans="2:6" hidden="1" x14ac:dyDescent="0.25">
      <c r="B83" s="127">
        <f t="shared" si="3"/>
        <v>41471</v>
      </c>
      <c r="D83" s="146">
        <v>0.80253750000000001</v>
      </c>
      <c r="F83" s="135">
        <f t="shared" si="2"/>
        <v>557.31770800000004</v>
      </c>
    </row>
    <row r="84" spans="2:6" hidden="1" x14ac:dyDescent="0.25">
      <c r="B84" s="127">
        <f t="shared" si="3"/>
        <v>41472</v>
      </c>
      <c r="D84" s="146">
        <v>0.80253750000000001</v>
      </c>
      <c r="F84" s="135">
        <f t="shared" si="2"/>
        <v>557.31770800000004</v>
      </c>
    </row>
    <row r="85" spans="2:6" hidden="1" x14ac:dyDescent="0.25">
      <c r="B85" s="127">
        <f t="shared" si="3"/>
        <v>41473</v>
      </c>
      <c r="D85" s="146">
        <v>0.80253750000000001</v>
      </c>
      <c r="F85" s="135">
        <f t="shared" si="2"/>
        <v>557.31770800000004</v>
      </c>
    </row>
    <row r="86" spans="2:6" hidden="1" x14ac:dyDescent="0.25">
      <c r="B86" s="127">
        <f t="shared" si="3"/>
        <v>41474</v>
      </c>
      <c r="D86" s="146">
        <v>0.80253750000000001</v>
      </c>
      <c r="F86" s="135">
        <f t="shared" si="2"/>
        <v>557.31770800000004</v>
      </c>
    </row>
    <row r="87" spans="2:6" hidden="1" x14ac:dyDescent="0.25">
      <c r="B87" s="127">
        <f t="shared" si="3"/>
        <v>41475</v>
      </c>
      <c r="D87" s="146">
        <v>0.80253750000000001</v>
      </c>
      <c r="F87" s="135">
        <f t="shared" si="2"/>
        <v>557.31770800000004</v>
      </c>
    </row>
    <row r="88" spans="2:6" hidden="1" x14ac:dyDescent="0.25">
      <c r="B88" s="127">
        <f t="shared" si="3"/>
        <v>41476</v>
      </c>
      <c r="D88" s="146">
        <v>0.80253750000000001</v>
      </c>
      <c r="F88" s="135">
        <f t="shared" si="2"/>
        <v>557.31770800000004</v>
      </c>
    </row>
    <row r="89" spans="2:6" hidden="1" x14ac:dyDescent="0.25">
      <c r="B89" s="127">
        <f t="shared" si="3"/>
        <v>41477</v>
      </c>
      <c r="D89" s="146">
        <v>0.80253750000000001</v>
      </c>
      <c r="F89" s="135">
        <f t="shared" si="2"/>
        <v>557.31770800000004</v>
      </c>
    </row>
    <row r="90" spans="2:6" hidden="1" x14ac:dyDescent="0.25">
      <c r="B90" s="127">
        <f t="shared" si="3"/>
        <v>41478</v>
      </c>
      <c r="D90" s="146">
        <v>0.80253750000000001</v>
      </c>
      <c r="F90" s="135">
        <f t="shared" si="2"/>
        <v>557.31770800000004</v>
      </c>
    </row>
    <row r="91" spans="2:6" hidden="1" x14ac:dyDescent="0.25">
      <c r="B91" s="127">
        <f t="shared" si="3"/>
        <v>41479</v>
      </c>
      <c r="D91" s="146">
        <v>0.80253750000000001</v>
      </c>
      <c r="F91" s="135">
        <f t="shared" si="2"/>
        <v>557.31770800000004</v>
      </c>
    </row>
    <row r="92" spans="2:6" hidden="1" x14ac:dyDescent="0.25">
      <c r="B92" s="127">
        <f t="shared" si="3"/>
        <v>41480</v>
      </c>
      <c r="D92" s="146">
        <v>0.80253750000000001</v>
      </c>
      <c r="F92" s="135">
        <f t="shared" si="2"/>
        <v>557.31770800000004</v>
      </c>
    </row>
    <row r="93" spans="2:6" hidden="1" x14ac:dyDescent="0.25">
      <c r="B93" s="127">
        <f t="shared" si="3"/>
        <v>41481</v>
      </c>
      <c r="D93" s="146">
        <v>0.80253750000000001</v>
      </c>
      <c r="F93" s="135">
        <f t="shared" si="2"/>
        <v>557.31770800000004</v>
      </c>
    </row>
    <row r="94" spans="2:6" hidden="1" x14ac:dyDescent="0.25">
      <c r="B94" s="127">
        <f t="shared" si="3"/>
        <v>41482</v>
      </c>
      <c r="D94" s="146">
        <v>0.80253750000000001</v>
      </c>
      <c r="F94" s="135">
        <f t="shared" si="2"/>
        <v>557.31770800000004</v>
      </c>
    </row>
    <row r="95" spans="2:6" hidden="1" x14ac:dyDescent="0.25">
      <c r="B95" s="127">
        <f t="shared" si="3"/>
        <v>41483</v>
      </c>
      <c r="D95" s="146">
        <v>0.80253750000000001</v>
      </c>
      <c r="F95" s="135">
        <f t="shared" si="2"/>
        <v>557.31770800000004</v>
      </c>
    </row>
    <row r="96" spans="2:6" hidden="1" x14ac:dyDescent="0.25">
      <c r="B96" s="127">
        <f t="shared" si="3"/>
        <v>41484</v>
      </c>
      <c r="D96" s="146">
        <v>0.80253750000000001</v>
      </c>
      <c r="F96" s="135">
        <f t="shared" si="2"/>
        <v>557.31770800000004</v>
      </c>
    </row>
    <row r="97" spans="1:11" hidden="1" x14ac:dyDescent="0.25">
      <c r="B97" s="127">
        <f t="shared" si="3"/>
        <v>41485</v>
      </c>
      <c r="D97" s="146">
        <v>0.80253750000000001</v>
      </c>
      <c r="F97" s="135">
        <f t="shared" si="2"/>
        <v>557.31770800000004</v>
      </c>
      <c r="H97" s="136">
        <f>SUM(F68:F97)</f>
        <v>16719.531240000011</v>
      </c>
      <c r="I97" s="140">
        <f>AVERAGE(D68:D97)</f>
        <v>0.80253749999999979</v>
      </c>
      <c r="J97" s="141">
        <f>AVERAGE(D7:D97)</f>
        <v>0.80300750000000043</v>
      </c>
      <c r="K97" s="142">
        <f>AVERAGE(D7:D97)</f>
        <v>0.80300750000000043</v>
      </c>
    </row>
    <row r="98" spans="1:11" hidden="1" x14ac:dyDescent="0.25">
      <c r="B98" s="127">
        <f t="shared" si="3"/>
        <v>41486</v>
      </c>
    </row>
    <row r="99" spans="1:11" hidden="1" x14ac:dyDescent="0.25">
      <c r="A99" s="126">
        <v>41487</v>
      </c>
      <c r="B99" s="127">
        <f t="shared" si="3"/>
        <v>41487</v>
      </c>
      <c r="D99" s="146">
        <v>0.79667250000000001</v>
      </c>
      <c r="F99" s="135">
        <f t="shared" si="2"/>
        <v>553.24479199999996</v>
      </c>
    </row>
    <row r="100" spans="1:11" hidden="1" x14ac:dyDescent="0.25">
      <c r="B100" s="127">
        <f t="shared" si="3"/>
        <v>41488</v>
      </c>
      <c r="D100" s="146">
        <v>0.79667250000000001</v>
      </c>
      <c r="F100" s="135">
        <f t="shared" si="2"/>
        <v>553.24479199999996</v>
      </c>
    </row>
    <row r="101" spans="1:11" hidden="1" x14ac:dyDescent="0.25">
      <c r="B101" s="127">
        <f t="shared" si="3"/>
        <v>41489</v>
      </c>
      <c r="D101" s="146">
        <v>0.79667250000000001</v>
      </c>
      <c r="F101" s="135">
        <f t="shared" ref="F101:F164" si="4">ROUND(D101/100*$A$3/360,6)</f>
        <v>553.24479199999996</v>
      </c>
    </row>
    <row r="102" spans="1:11" hidden="1" x14ac:dyDescent="0.25">
      <c r="B102" s="127">
        <f t="shared" si="3"/>
        <v>41490</v>
      </c>
      <c r="D102" s="146">
        <v>0.79667250000000001</v>
      </c>
      <c r="F102" s="135">
        <f t="shared" si="4"/>
        <v>553.24479199999996</v>
      </c>
    </row>
    <row r="103" spans="1:11" hidden="1" x14ac:dyDescent="0.25">
      <c r="B103" s="127">
        <f t="shared" si="3"/>
        <v>41491</v>
      </c>
      <c r="D103" s="146">
        <v>0.79667250000000001</v>
      </c>
      <c r="F103" s="135">
        <f t="shared" si="4"/>
        <v>553.24479199999996</v>
      </c>
    </row>
    <row r="104" spans="1:11" hidden="1" x14ac:dyDescent="0.25">
      <c r="B104" s="127">
        <f t="shared" si="3"/>
        <v>41492</v>
      </c>
      <c r="D104" s="146">
        <v>0.79667250000000001</v>
      </c>
      <c r="F104" s="135">
        <f t="shared" si="4"/>
        <v>553.24479199999996</v>
      </c>
    </row>
    <row r="105" spans="1:11" hidden="1" x14ac:dyDescent="0.25">
      <c r="B105" s="127">
        <f t="shared" si="3"/>
        <v>41493</v>
      </c>
      <c r="D105" s="146">
        <v>0.79667250000000001</v>
      </c>
      <c r="F105" s="135">
        <f t="shared" si="4"/>
        <v>553.24479199999996</v>
      </c>
    </row>
    <row r="106" spans="1:11" hidden="1" x14ac:dyDescent="0.25">
      <c r="B106" s="127">
        <f t="shared" si="3"/>
        <v>41494</v>
      </c>
      <c r="D106" s="146">
        <v>0.79667250000000001</v>
      </c>
      <c r="F106" s="135">
        <f t="shared" si="4"/>
        <v>553.24479199999996</v>
      </c>
    </row>
    <row r="107" spans="1:11" hidden="1" x14ac:dyDescent="0.25">
      <c r="B107" s="127">
        <f t="shared" si="3"/>
        <v>41495</v>
      </c>
      <c r="D107" s="146">
        <v>0.79667250000000001</v>
      </c>
      <c r="F107" s="135">
        <f t="shared" si="4"/>
        <v>553.24479199999996</v>
      </c>
    </row>
    <row r="108" spans="1:11" hidden="1" x14ac:dyDescent="0.25">
      <c r="B108" s="127">
        <f t="shared" si="3"/>
        <v>41496</v>
      </c>
      <c r="D108" s="146">
        <v>0.79667250000000001</v>
      </c>
      <c r="F108" s="135">
        <f t="shared" si="4"/>
        <v>553.24479199999996</v>
      </c>
    </row>
    <row r="109" spans="1:11" hidden="1" x14ac:dyDescent="0.25">
      <c r="B109" s="127">
        <f t="shared" si="3"/>
        <v>41497</v>
      </c>
      <c r="D109" s="146">
        <v>0.79667250000000001</v>
      </c>
      <c r="F109" s="135">
        <f t="shared" si="4"/>
        <v>553.24479199999996</v>
      </c>
    </row>
    <row r="110" spans="1:11" hidden="1" x14ac:dyDescent="0.25">
      <c r="B110" s="127">
        <f t="shared" si="3"/>
        <v>41498</v>
      </c>
      <c r="D110" s="146">
        <v>0.79667250000000001</v>
      </c>
      <c r="F110" s="135">
        <f t="shared" si="4"/>
        <v>553.24479199999996</v>
      </c>
    </row>
    <row r="111" spans="1:11" hidden="1" x14ac:dyDescent="0.25">
      <c r="B111" s="127">
        <f t="shared" si="3"/>
        <v>41499</v>
      </c>
      <c r="D111" s="146">
        <v>0.79667250000000001</v>
      </c>
      <c r="F111" s="135">
        <f t="shared" si="4"/>
        <v>553.24479199999996</v>
      </c>
    </row>
    <row r="112" spans="1:11" hidden="1" x14ac:dyDescent="0.25">
      <c r="B112" s="127">
        <f t="shared" si="3"/>
        <v>41500</v>
      </c>
      <c r="D112" s="146">
        <v>0.79667250000000001</v>
      </c>
      <c r="F112" s="135">
        <f t="shared" si="4"/>
        <v>553.24479199999996</v>
      </c>
    </row>
    <row r="113" spans="2:11" hidden="1" x14ac:dyDescent="0.25">
      <c r="B113" s="127">
        <f t="shared" si="3"/>
        <v>41501</v>
      </c>
      <c r="D113" s="146">
        <v>0.79667250000000001</v>
      </c>
      <c r="F113" s="135">
        <f t="shared" si="4"/>
        <v>553.24479199999996</v>
      </c>
    </row>
    <row r="114" spans="2:11" hidden="1" x14ac:dyDescent="0.25">
      <c r="B114" s="127">
        <f t="shared" si="3"/>
        <v>41502</v>
      </c>
      <c r="D114" s="146">
        <v>0.79667250000000001</v>
      </c>
      <c r="F114" s="135">
        <f t="shared" si="4"/>
        <v>553.24479199999996</v>
      </c>
    </row>
    <row r="115" spans="2:11" hidden="1" x14ac:dyDescent="0.25">
      <c r="B115" s="127">
        <f t="shared" si="3"/>
        <v>41503</v>
      </c>
      <c r="D115" s="146">
        <v>0.79667250000000001</v>
      </c>
      <c r="F115" s="135">
        <f t="shared" si="4"/>
        <v>553.24479199999996</v>
      </c>
    </row>
    <row r="116" spans="2:11" hidden="1" x14ac:dyDescent="0.25">
      <c r="B116" s="127">
        <f t="shared" si="3"/>
        <v>41504</v>
      </c>
      <c r="D116" s="146">
        <v>0.79667250000000001</v>
      </c>
      <c r="F116" s="135">
        <f t="shared" si="4"/>
        <v>553.24479199999996</v>
      </c>
    </row>
    <row r="117" spans="2:11" hidden="1" x14ac:dyDescent="0.25">
      <c r="B117" s="127">
        <f t="shared" si="3"/>
        <v>41505</v>
      </c>
      <c r="D117" s="146">
        <v>0.79667250000000001</v>
      </c>
      <c r="F117" s="135">
        <f t="shared" si="4"/>
        <v>553.24479199999996</v>
      </c>
    </row>
    <row r="118" spans="2:11" hidden="1" x14ac:dyDescent="0.25">
      <c r="B118" s="127">
        <f t="shared" si="3"/>
        <v>41506</v>
      </c>
      <c r="D118" s="146">
        <v>0.79667250000000001</v>
      </c>
      <c r="F118" s="135">
        <f t="shared" si="4"/>
        <v>553.24479199999996</v>
      </c>
    </row>
    <row r="119" spans="2:11" hidden="1" x14ac:dyDescent="0.25">
      <c r="B119" s="127">
        <f t="shared" si="3"/>
        <v>41507</v>
      </c>
      <c r="D119" s="146">
        <v>0.79667250000000001</v>
      </c>
      <c r="F119" s="135">
        <f t="shared" si="4"/>
        <v>553.24479199999996</v>
      </c>
    </row>
    <row r="120" spans="2:11" hidden="1" x14ac:dyDescent="0.25">
      <c r="B120" s="127">
        <f t="shared" si="3"/>
        <v>41508</v>
      </c>
      <c r="D120" s="146">
        <v>0.79667250000000001</v>
      </c>
      <c r="F120" s="135">
        <f t="shared" si="4"/>
        <v>553.24479199999996</v>
      </c>
    </row>
    <row r="121" spans="2:11" hidden="1" x14ac:dyDescent="0.25">
      <c r="B121" s="127">
        <f t="shared" si="3"/>
        <v>41509</v>
      </c>
      <c r="D121" s="146">
        <v>0.79667250000000001</v>
      </c>
      <c r="F121" s="135">
        <f t="shared" si="4"/>
        <v>553.24479199999996</v>
      </c>
    </row>
    <row r="122" spans="2:11" hidden="1" x14ac:dyDescent="0.25">
      <c r="B122" s="127">
        <f t="shared" si="3"/>
        <v>41510</v>
      </c>
      <c r="D122" s="146">
        <v>0.79667250000000001</v>
      </c>
      <c r="F122" s="135">
        <f t="shared" si="4"/>
        <v>553.24479199999996</v>
      </c>
    </row>
    <row r="123" spans="2:11" hidden="1" x14ac:dyDescent="0.25">
      <c r="B123" s="127">
        <f t="shared" si="3"/>
        <v>41511</v>
      </c>
      <c r="D123" s="146">
        <v>0.79667250000000001</v>
      </c>
      <c r="F123" s="135">
        <f t="shared" si="4"/>
        <v>553.24479199999996</v>
      </c>
    </row>
    <row r="124" spans="2:11" hidden="1" x14ac:dyDescent="0.25">
      <c r="B124" s="127">
        <f t="shared" si="3"/>
        <v>41512</v>
      </c>
      <c r="D124" s="146">
        <v>0.79667250000000001</v>
      </c>
      <c r="F124" s="135">
        <f t="shared" si="4"/>
        <v>553.24479199999996</v>
      </c>
    </row>
    <row r="125" spans="2:11" hidden="1" x14ac:dyDescent="0.25">
      <c r="B125" s="127">
        <f t="shared" si="3"/>
        <v>41513</v>
      </c>
      <c r="D125" s="146">
        <v>0.79667250000000001</v>
      </c>
      <c r="F125" s="135">
        <f t="shared" si="4"/>
        <v>553.24479199999996</v>
      </c>
    </row>
    <row r="126" spans="2:11" hidden="1" x14ac:dyDescent="0.25">
      <c r="B126" s="127">
        <f t="shared" si="3"/>
        <v>41514</v>
      </c>
      <c r="D126" s="146">
        <v>0.79667250000000001</v>
      </c>
      <c r="F126" s="135">
        <f t="shared" si="4"/>
        <v>553.24479199999996</v>
      </c>
    </row>
    <row r="127" spans="2:11" hidden="1" x14ac:dyDescent="0.25">
      <c r="B127" s="127">
        <f t="shared" si="3"/>
        <v>41515</v>
      </c>
      <c r="D127" s="146">
        <v>0.79667250000000001</v>
      </c>
      <c r="F127" s="135">
        <f t="shared" si="4"/>
        <v>553.24479199999996</v>
      </c>
    </row>
    <row r="128" spans="2:11" hidden="1" x14ac:dyDescent="0.25">
      <c r="B128" s="127">
        <f t="shared" ref="B128:B190" si="5">B127+1</f>
        <v>41516</v>
      </c>
      <c r="D128" s="146">
        <v>0.79667250000000001</v>
      </c>
      <c r="F128" s="135">
        <f t="shared" si="4"/>
        <v>553.24479199999996</v>
      </c>
      <c r="H128" s="136">
        <f>SUM(F99:F128)</f>
        <v>16597.343759999989</v>
      </c>
      <c r="I128" s="148">
        <f>AVERAGE(D99:D128)</f>
        <v>0.79667249999999978</v>
      </c>
      <c r="J128" s="144">
        <f>AVERAGE(D7:D128)</f>
        <v>0.80142375000000021</v>
      </c>
      <c r="K128" s="149">
        <f>AVERAGE(D7:D128)</f>
        <v>0.80142375000000021</v>
      </c>
    </row>
    <row r="129" spans="1:6" hidden="1" x14ac:dyDescent="0.25">
      <c r="B129" s="127">
        <f t="shared" si="5"/>
        <v>41517</v>
      </c>
    </row>
    <row r="130" spans="1:6" hidden="1" x14ac:dyDescent="0.25">
      <c r="A130" s="126">
        <v>41518</v>
      </c>
      <c r="B130" s="127">
        <f t="shared" si="5"/>
        <v>41518</v>
      </c>
      <c r="D130" s="146">
        <v>0.79317000000000004</v>
      </c>
      <c r="F130" s="135">
        <f t="shared" si="4"/>
        <v>550.8125</v>
      </c>
    </row>
    <row r="131" spans="1:6" hidden="1" x14ac:dyDescent="0.25">
      <c r="B131" s="127">
        <f t="shared" si="5"/>
        <v>41519</v>
      </c>
      <c r="D131" s="146">
        <f>D130</f>
        <v>0.79317000000000004</v>
      </c>
      <c r="F131" s="135">
        <f t="shared" si="4"/>
        <v>550.8125</v>
      </c>
    </row>
    <row r="132" spans="1:6" hidden="1" x14ac:dyDescent="0.25">
      <c r="B132" s="127">
        <f t="shared" si="5"/>
        <v>41520</v>
      </c>
      <c r="D132" s="146">
        <f t="shared" ref="D132:D159" si="6">D131</f>
        <v>0.79317000000000004</v>
      </c>
      <c r="F132" s="135">
        <f t="shared" si="4"/>
        <v>550.8125</v>
      </c>
    </row>
    <row r="133" spans="1:6" hidden="1" x14ac:dyDescent="0.25">
      <c r="B133" s="127">
        <f t="shared" si="5"/>
        <v>41521</v>
      </c>
      <c r="D133" s="146">
        <f t="shared" si="6"/>
        <v>0.79317000000000004</v>
      </c>
      <c r="F133" s="135">
        <f t="shared" si="4"/>
        <v>550.8125</v>
      </c>
    </row>
    <row r="134" spans="1:6" hidden="1" x14ac:dyDescent="0.25">
      <c r="B134" s="127">
        <f t="shared" si="5"/>
        <v>41522</v>
      </c>
      <c r="D134" s="146">
        <f t="shared" si="6"/>
        <v>0.79317000000000004</v>
      </c>
      <c r="F134" s="135">
        <f t="shared" si="4"/>
        <v>550.8125</v>
      </c>
    </row>
    <row r="135" spans="1:6" hidden="1" x14ac:dyDescent="0.25">
      <c r="B135" s="127">
        <f t="shared" si="5"/>
        <v>41523</v>
      </c>
      <c r="D135" s="146">
        <f t="shared" si="6"/>
        <v>0.79317000000000004</v>
      </c>
      <c r="F135" s="135">
        <f t="shared" si="4"/>
        <v>550.8125</v>
      </c>
    </row>
    <row r="136" spans="1:6" hidden="1" x14ac:dyDescent="0.25">
      <c r="B136" s="127">
        <f t="shared" si="5"/>
        <v>41524</v>
      </c>
      <c r="D136" s="146">
        <f t="shared" si="6"/>
        <v>0.79317000000000004</v>
      </c>
      <c r="F136" s="135">
        <f t="shared" si="4"/>
        <v>550.8125</v>
      </c>
    </row>
    <row r="137" spans="1:6" hidden="1" x14ac:dyDescent="0.25">
      <c r="B137" s="127">
        <f t="shared" si="5"/>
        <v>41525</v>
      </c>
      <c r="D137" s="146">
        <f t="shared" si="6"/>
        <v>0.79317000000000004</v>
      </c>
      <c r="F137" s="135">
        <f t="shared" si="4"/>
        <v>550.8125</v>
      </c>
    </row>
    <row r="138" spans="1:6" hidden="1" x14ac:dyDescent="0.25">
      <c r="B138" s="127">
        <f t="shared" si="5"/>
        <v>41526</v>
      </c>
      <c r="D138" s="146">
        <f t="shared" si="6"/>
        <v>0.79317000000000004</v>
      </c>
      <c r="F138" s="135">
        <f t="shared" si="4"/>
        <v>550.8125</v>
      </c>
    </row>
    <row r="139" spans="1:6" hidden="1" x14ac:dyDescent="0.25">
      <c r="B139" s="127">
        <f t="shared" si="5"/>
        <v>41527</v>
      </c>
      <c r="D139" s="146">
        <f t="shared" si="6"/>
        <v>0.79317000000000004</v>
      </c>
      <c r="F139" s="135">
        <f t="shared" si="4"/>
        <v>550.8125</v>
      </c>
    </row>
    <row r="140" spans="1:6" hidden="1" x14ac:dyDescent="0.25">
      <c r="B140" s="127">
        <f t="shared" si="5"/>
        <v>41528</v>
      </c>
      <c r="D140" s="146">
        <f t="shared" si="6"/>
        <v>0.79317000000000004</v>
      </c>
      <c r="F140" s="135">
        <f t="shared" si="4"/>
        <v>550.8125</v>
      </c>
    </row>
    <row r="141" spans="1:6" hidden="1" x14ac:dyDescent="0.25">
      <c r="B141" s="127">
        <f t="shared" si="5"/>
        <v>41529</v>
      </c>
      <c r="D141" s="146">
        <f t="shared" si="6"/>
        <v>0.79317000000000004</v>
      </c>
      <c r="F141" s="135">
        <f t="shared" si="4"/>
        <v>550.8125</v>
      </c>
    </row>
    <row r="142" spans="1:6" hidden="1" x14ac:dyDescent="0.25">
      <c r="B142" s="127">
        <f t="shared" si="5"/>
        <v>41530</v>
      </c>
      <c r="D142" s="146">
        <f t="shared" si="6"/>
        <v>0.79317000000000004</v>
      </c>
      <c r="F142" s="135">
        <f t="shared" si="4"/>
        <v>550.8125</v>
      </c>
    </row>
    <row r="143" spans="1:6" hidden="1" x14ac:dyDescent="0.25">
      <c r="B143" s="127">
        <f t="shared" si="5"/>
        <v>41531</v>
      </c>
      <c r="D143" s="146">
        <f t="shared" si="6"/>
        <v>0.79317000000000004</v>
      </c>
      <c r="F143" s="135">
        <f t="shared" si="4"/>
        <v>550.8125</v>
      </c>
    </row>
    <row r="144" spans="1:6" hidden="1" x14ac:dyDescent="0.25">
      <c r="B144" s="127">
        <f t="shared" si="5"/>
        <v>41532</v>
      </c>
      <c r="D144" s="146">
        <f t="shared" si="6"/>
        <v>0.79317000000000004</v>
      </c>
      <c r="F144" s="135">
        <f t="shared" si="4"/>
        <v>550.8125</v>
      </c>
    </row>
    <row r="145" spans="1:11" hidden="1" x14ac:dyDescent="0.25">
      <c r="B145" s="127">
        <f t="shared" si="5"/>
        <v>41533</v>
      </c>
      <c r="D145" s="146">
        <f t="shared" si="6"/>
        <v>0.79317000000000004</v>
      </c>
      <c r="F145" s="135">
        <f t="shared" si="4"/>
        <v>550.8125</v>
      </c>
    </row>
    <row r="146" spans="1:11" hidden="1" x14ac:dyDescent="0.25">
      <c r="B146" s="127">
        <f t="shared" si="5"/>
        <v>41534</v>
      </c>
      <c r="D146" s="146">
        <f t="shared" si="6"/>
        <v>0.79317000000000004</v>
      </c>
      <c r="F146" s="135">
        <f t="shared" si="4"/>
        <v>550.8125</v>
      </c>
    </row>
    <row r="147" spans="1:11" hidden="1" x14ac:dyDescent="0.25">
      <c r="B147" s="127">
        <f t="shared" si="5"/>
        <v>41535</v>
      </c>
      <c r="D147" s="146">
        <f t="shared" si="6"/>
        <v>0.79317000000000004</v>
      </c>
      <c r="F147" s="135">
        <f t="shared" si="4"/>
        <v>550.8125</v>
      </c>
    </row>
    <row r="148" spans="1:11" hidden="1" x14ac:dyDescent="0.25">
      <c r="B148" s="127">
        <f t="shared" si="5"/>
        <v>41536</v>
      </c>
      <c r="D148" s="146">
        <f t="shared" si="6"/>
        <v>0.79317000000000004</v>
      </c>
      <c r="F148" s="135">
        <f t="shared" si="4"/>
        <v>550.8125</v>
      </c>
    </row>
    <row r="149" spans="1:11" hidden="1" x14ac:dyDescent="0.25">
      <c r="B149" s="127">
        <f t="shared" si="5"/>
        <v>41537</v>
      </c>
      <c r="D149" s="146">
        <f t="shared" si="6"/>
        <v>0.79317000000000004</v>
      </c>
      <c r="F149" s="135">
        <f t="shared" si="4"/>
        <v>550.8125</v>
      </c>
    </row>
    <row r="150" spans="1:11" hidden="1" x14ac:dyDescent="0.25">
      <c r="B150" s="127">
        <f t="shared" si="5"/>
        <v>41538</v>
      </c>
      <c r="D150" s="146">
        <f t="shared" si="6"/>
        <v>0.79317000000000004</v>
      </c>
      <c r="F150" s="135">
        <f t="shared" si="4"/>
        <v>550.8125</v>
      </c>
    </row>
    <row r="151" spans="1:11" hidden="1" x14ac:dyDescent="0.25">
      <c r="B151" s="127">
        <f t="shared" si="5"/>
        <v>41539</v>
      </c>
      <c r="D151" s="146">
        <f t="shared" si="6"/>
        <v>0.79317000000000004</v>
      </c>
      <c r="F151" s="135">
        <f t="shared" si="4"/>
        <v>550.8125</v>
      </c>
    </row>
    <row r="152" spans="1:11" hidden="1" x14ac:dyDescent="0.25">
      <c r="B152" s="127">
        <f t="shared" si="5"/>
        <v>41540</v>
      </c>
      <c r="D152" s="146">
        <f t="shared" si="6"/>
        <v>0.79317000000000004</v>
      </c>
      <c r="F152" s="135">
        <f t="shared" si="4"/>
        <v>550.8125</v>
      </c>
    </row>
    <row r="153" spans="1:11" hidden="1" x14ac:dyDescent="0.25">
      <c r="B153" s="127">
        <f t="shared" si="5"/>
        <v>41541</v>
      </c>
      <c r="D153" s="146">
        <f t="shared" si="6"/>
        <v>0.79317000000000004</v>
      </c>
      <c r="F153" s="135">
        <f t="shared" si="4"/>
        <v>550.8125</v>
      </c>
    </row>
    <row r="154" spans="1:11" hidden="1" x14ac:dyDescent="0.25">
      <c r="B154" s="127">
        <f t="shared" si="5"/>
        <v>41542</v>
      </c>
      <c r="D154" s="146">
        <f t="shared" si="6"/>
        <v>0.79317000000000004</v>
      </c>
      <c r="F154" s="135">
        <f t="shared" si="4"/>
        <v>550.8125</v>
      </c>
    </row>
    <row r="155" spans="1:11" hidden="1" x14ac:dyDescent="0.25">
      <c r="B155" s="127">
        <f t="shared" si="5"/>
        <v>41543</v>
      </c>
      <c r="D155" s="146">
        <f t="shared" si="6"/>
        <v>0.79317000000000004</v>
      </c>
      <c r="F155" s="135">
        <f t="shared" si="4"/>
        <v>550.8125</v>
      </c>
    </row>
    <row r="156" spans="1:11" hidden="1" x14ac:dyDescent="0.25">
      <c r="B156" s="127">
        <f t="shared" si="5"/>
        <v>41544</v>
      </c>
      <c r="D156" s="146">
        <f t="shared" si="6"/>
        <v>0.79317000000000004</v>
      </c>
      <c r="F156" s="135">
        <f t="shared" si="4"/>
        <v>550.8125</v>
      </c>
    </row>
    <row r="157" spans="1:11" hidden="1" x14ac:dyDescent="0.25">
      <c r="B157" s="127">
        <f t="shared" si="5"/>
        <v>41545</v>
      </c>
      <c r="D157" s="146">
        <f t="shared" si="6"/>
        <v>0.79317000000000004</v>
      </c>
      <c r="F157" s="135">
        <f t="shared" si="4"/>
        <v>550.8125</v>
      </c>
    </row>
    <row r="158" spans="1:11" hidden="1" x14ac:dyDescent="0.25">
      <c r="B158" s="127">
        <f t="shared" si="5"/>
        <v>41546</v>
      </c>
      <c r="D158" s="146">
        <f t="shared" si="6"/>
        <v>0.79317000000000004</v>
      </c>
      <c r="F158" s="135">
        <f t="shared" si="4"/>
        <v>550.8125</v>
      </c>
    </row>
    <row r="159" spans="1:11" hidden="1" x14ac:dyDescent="0.25">
      <c r="B159" s="127">
        <f t="shared" si="5"/>
        <v>41547</v>
      </c>
      <c r="D159" s="146">
        <f t="shared" si="6"/>
        <v>0.79317000000000004</v>
      </c>
      <c r="F159" s="135">
        <f t="shared" si="4"/>
        <v>550.8125</v>
      </c>
      <c r="H159" s="136">
        <f>SUM(F130:F159)</f>
        <v>16524.375</v>
      </c>
      <c r="I159" s="148">
        <f>AVERAGE(D130:D159)</f>
        <v>0.79317000000000004</v>
      </c>
      <c r="J159" s="150">
        <f>AVERAGE(D7:D159)</f>
        <v>0.79977300000000084</v>
      </c>
      <c r="K159" s="149">
        <f>AVERAGE(D7:D159)</f>
        <v>0.79977300000000084</v>
      </c>
    </row>
    <row r="160" spans="1:11" x14ac:dyDescent="0.25">
      <c r="A160" s="126">
        <v>41548</v>
      </c>
      <c r="B160" s="127">
        <f t="shared" si="5"/>
        <v>41548</v>
      </c>
      <c r="D160" s="125">
        <v>0.79098749999999995</v>
      </c>
      <c r="F160" s="135">
        <f t="shared" si="4"/>
        <v>549.296875</v>
      </c>
    </row>
    <row r="161" spans="2:6" x14ac:dyDescent="0.25">
      <c r="B161" s="127">
        <f t="shared" si="5"/>
        <v>41549</v>
      </c>
      <c r="D161" s="125">
        <v>0.79098749999999995</v>
      </c>
      <c r="F161" s="135">
        <f t="shared" si="4"/>
        <v>549.296875</v>
      </c>
    </row>
    <row r="162" spans="2:6" x14ac:dyDescent="0.25">
      <c r="B162" s="127">
        <f t="shared" si="5"/>
        <v>41550</v>
      </c>
      <c r="D162" s="125">
        <v>0.79098749999999995</v>
      </c>
      <c r="F162" s="135">
        <f t="shared" si="4"/>
        <v>549.296875</v>
      </c>
    </row>
    <row r="163" spans="2:6" x14ac:dyDescent="0.25">
      <c r="B163" s="127">
        <f t="shared" si="5"/>
        <v>41551</v>
      </c>
      <c r="D163" s="125">
        <v>0.79098749999999995</v>
      </c>
      <c r="F163" s="135">
        <f t="shared" si="4"/>
        <v>549.296875</v>
      </c>
    </row>
    <row r="164" spans="2:6" x14ac:dyDescent="0.25">
      <c r="B164" s="127">
        <f t="shared" si="5"/>
        <v>41552</v>
      </c>
      <c r="D164" s="125">
        <v>0.79098749999999995</v>
      </c>
      <c r="F164" s="135">
        <f t="shared" si="4"/>
        <v>549.296875</v>
      </c>
    </row>
    <row r="165" spans="2:6" x14ac:dyDescent="0.25">
      <c r="B165" s="127">
        <f t="shared" si="5"/>
        <v>41553</v>
      </c>
      <c r="D165" s="125">
        <v>0.79098749999999995</v>
      </c>
      <c r="F165" s="135">
        <f t="shared" ref="F165:F189" si="7">ROUND(D165/100*$A$3/360,6)</f>
        <v>549.296875</v>
      </c>
    </row>
    <row r="166" spans="2:6" x14ac:dyDescent="0.25">
      <c r="B166" s="127">
        <f t="shared" si="5"/>
        <v>41554</v>
      </c>
      <c r="D166" s="125">
        <v>0.79098749999999995</v>
      </c>
      <c r="F166" s="135">
        <f t="shared" si="7"/>
        <v>549.296875</v>
      </c>
    </row>
    <row r="167" spans="2:6" x14ac:dyDescent="0.25">
      <c r="B167" s="127">
        <f t="shared" si="5"/>
        <v>41555</v>
      </c>
      <c r="D167" s="125">
        <v>0.79098749999999995</v>
      </c>
      <c r="F167" s="135">
        <f t="shared" si="7"/>
        <v>549.296875</v>
      </c>
    </row>
    <row r="168" spans="2:6" x14ac:dyDescent="0.25">
      <c r="B168" s="127">
        <f t="shared" si="5"/>
        <v>41556</v>
      </c>
      <c r="D168" s="125">
        <v>0.79098749999999995</v>
      </c>
      <c r="F168" s="135">
        <f t="shared" si="7"/>
        <v>549.296875</v>
      </c>
    </row>
    <row r="169" spans="2:6" x14ac:dyDescent="0.25">
      <c r="B169" s="127">
        <f t="shared" si="5"/>
        <v>41557</v>
      </c>
      <c r="D169" s="125">
        <v>0.79098749999999995</v>
      </c>
      <c r="F169" s="135">
        <f t="shared" si="7"/>
        <v>549.296875</v>
      </c>
    </row>
    <row r="170" spans="2:6" x14ac:dyDescent="0.25">
      <c r="B170" s="127">
        <f t="shared" si="5"/>
        <v>41558</v>
      </c>
      <c r="D170" s="125">
        <v>0.79098749999999995</v>
      </c>
      <c r="F170" s="135">
        <f t="shared" si="7"/>
        <v>549.296875</v>
      </c>
    </row>
    <row r="171" spans="2:6" x14ac:dyDescent="0.25">
      <c r="B171" s="127">
        <f t="shared" si="5"/>
        <v>41559</v>
      </c>
      <c r="D171" s="125">
        <v>0.79098749999999995</v>
      </c>
      <c r="F171" s="135">
        <f t="shared" si="7"/>
        <v>549.296875</v>
      </c>
    </row>
    <row r="172" spans="2:6" x14ac:dyDescent="0.25">
      <c r="B172" s="127">
        <f t="shared" si="5"/>
        <v>41560</v>
      </c>
      <c r="D172" s="125">
        <v>0.79098749999999995</v>
      </c>
      <c r="F172" s="135">
        <f t="shared" si="7"/>
        <v>549.296875</v>
      </c>
    </row>
    <row r="173" spans="2:6" x14ac:dyDescent="0.25">
      <c r="B173" s="127">
        <f t="shared" si="5"/>
        <v>41561</v>
      </c>
      <c r="D173" s="125">
        <v>0.79098749999999995</v>
      </c>
      <c r="F173" s="135">
        <f t="shared" si="7"/>
        <v>549.296875</v>
      </c>
    </row>
    <row r="174" spans="2:6" x14ac:dyDescent="0.25">
      <c r="B174" s="127">
        <f t="shared" si="5"/>
        <v>41562</v>
      </c>
      <c r="D174" s="125">
        <v>0.79098749999999995</v>
      </c>
      <c r="F174" s="135">
        <f t="shared" si="7"/>
        <v>549.296875</v>
      </c>
    </row>
    <row r="175" spans="2:6" x14ac:dyDescent="0.25">
      <c r="B175" s="127">
        <f t="shared" si="5"/>
        <v>41563</v>
      </c>
      <c r="D175" s="125">
        <v>0.79098749999999995</v>
      </c>
      <c r="F175" s="135">
        <f t="shared" si="7"/>
        <v>549.296875</v>
      </c>
    </row>
    <row r="176" spans="2:6" x14ac:dyDescent="0.25">
      <c r="B176" s="127">
        <f t="shared" si="5"/>
        <v>41564</v>
      </c>
      <c r="D176" s="125">
        <v>0.79098749999999995</v>
      </c>
      <c r="F176" s="135">
        <f t="shared" si="7"/>
        <v>549.296875</v>
      </c>
    </row>
    <row r="177" spans="2:11" x14ac:dyDescent="0.25">
      <c r="B177" s="127">
        <f t="shared" si="5"/>
        <v>41565</v>
      </c>
      <c r="D177" s="125">
        <v>0.79098749999999995</v>
      </c>
      <c r="F177" s="135">
        <f t="shared" si="7"/>
        <v>549.296875</v>
      </c>
    </row>
    <row r="178" spans="2:11" x14ac:dyDescent="0.25">
      <c r="B178" s="127">
        <f t="shared" si="5"/>
        <v>41566</v>
      </c>
      <c r="D178" s="125">
        <v>0.79098749999999995</v>
      </c>
      <c r="F178" s="135">
        <f t="shared" si="7"/>
        <v>549.296875</v>
      </c>
    </row>
    <row r="179" spans="2:11" x14ac:dyDescent="0.25">
      <c r="B179" s="127">
        <f t="shared" si="5"/>
        <v>41567</v>
      </c>
      <c r="D179" s="125">
        <v>0.79098749999999995</v>
      </c>
      <c r="F179" s="135">
        <f t="shared" si="7"/>
        <v>549.296875</v>
      </c>
    </row>
    <row r="180" spans="2:11" x14ac:dyDescent="0.25">
      <c r="B180" s="127">
        <f t="shared" si="5"/>
        <v>41568</v>
      </c>
      <c r="D180" s="125">
        <v>0.79098749999999995</v>
      </c>
      <c r="F180" s="135">
        <f t="shared" si="7"/>
        <v>549.296875</v>
      </c>
    </row>
    <row r="181" spans="2:11" x14ac:dyDescent="0.25">
      <c r="B181" s="127">
        <f t="shared" si="5"/>
        <v>41569</v>
      </c>
      <c r="D181" s="125">
        <v>0.79098749999999995</v>
      </c>
      <c r="F181" s="135">
        <f t="shared" si="7"/>
        <v>549.296875</v>
      </c>
    </row>
    <row r="182" spans="2:11" x14ac:dyDescent="0.25">
      <c r="B182" s="127">
        <f t="shared" si="5"/>
        <v>41570</v>
      </c>
      <c r="D182" s="125">
        <v>0.79098749999999995</v>
      </c>
      <c r="F182" s="135">
        <f t="shared" si="7"/>
        <v>549.296875</v>
      </c>
    </row>
    <row r="183" spans="2:11" x14ac:dyDescent="0.25">
      <c r="B183" s="127">
        <f t="shared" si="5"/>
        <v>41571</v>
      </c>
      <c r="D183" s="125">
        <v>0.79098749999999995</v>
      </c>
      <c r="F183" s="135">
        <f t="shared" si="7"/>
        <v>549.296875</v>
      </c>
    </row>
    <row r="184" spans="2:11" x14ac:dyDescent="0.25">
      <c r="B184" s="127">
        <f t="shared" si="5"/>
        <v>41572</v>
      </c>
      <c r="D184" s="125">
        <v>0.79098749999999995</v>
      </c>
      <c r="F184" s="135">
        <f t="shared" si="7"/>
        <v>549.296875</v>
      </c>
    </row>
    <row r="185" spans="2:11" x14ac:dyDescent="0.25">
      <c r="B185" s="127">
        <f t="shared" si="5"/>
        <v>41573</v>
      </c>
      <c r="D185" s="125">
        <v>0.79098749999999995</v>
      </c>
      <c r="F185" s="135">
        <f t="shared" si="7"/>
        <v>549.296875</v>
      </c>
    </row>
    <row r="186" spans="2:11" x14ac:dyDescent="0.25">
      <c r="B186" s="127">
        <f t="shared" si="5"/>
        <v>41574</v>
      </c>
      <c r="D186" s="125">
        <v>0.79098749999999995</v>
      </c>
      <c r="F186" s="135">
        <f t="shared" si="7"/>
        <v>549.296875</v>
      </c>
    </row>
    <row r="187" spans="2:11" x14ac:dyDescent="0.25">
      <c r="B187" s="127">
        <f t="shared" si="5"/>
        <v>41575</v>
      </c>
      <c r="D187" s="125">
        <v>0.79098749999999995</v>
      </c>
      <c r="F187" s="135">
        <f t="shared" si="7"/>
        <v>549.296875</v>
      </c>
    </row>
    <row r="188" spans="2:11" x14ac:dyDescent="0.25">
      <c r="B188" s="127">
        <f t="shared" si="5"/>
        <v>41576</v>
      </c>
      <c r="D188" s="125">
        <v>0.79098749999999995</v>
      </c>
      <c r="F188" s="135">
        <f t="shared" si="7"/>
        <v>549.296875</v>
      </c>
    </row>
    <row r="189" spans="2:11" x14ac:dyDescent="0.25">
      <c r="B189" s="127">
        <f t="shared" si="5"/>
        <v>41577</v>
      </c>
      <c r="D189" s="125">
        <v>0.79098749999999995</v>
      </c>
      <c r="F189" s="135">
        <f t="shared" si="7"/>
        <v>549.296875</v>
      </c>
      <c r="H189" s="136">
        <f>SUM(F160:F189)</f>
        <v>16478.90625</v>
      </c>
      <c r="I189" s="147">
        <f>AVERAGE(D160:D189)</f>
        <v>0.79098749999999995</v>
      </c>
      <c r="J189" s="144">
        <f>AVERAGE(D7:D189)</f>
        <v>0.79830875000000079</v>
      </c>
      <c r="K189" s="149">
        <f>AVERAGE(D7:D189)</f>
        <v>0.79830875000000079</v>
      </c>
    </row>
    <row r="190" spans="2:11" x14ac:dyDescent="0.25">
      <c r="B190" s="127">
        <f t="shared" si="5"/>
        <v>41578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>
    <pageSetUpPr fitToPage="1"/>
  </sheetPr>
  <dimension ref="A1:N190"/>
  <sheetViews>
    <sheetView zoomScaleNormal="100" workbookViewId="0">
      <pane ySplit="5" topLeftCell="A6" activePane="bottomLeft" state="frozen"/>
      <selection activeCell="M22" sqref="M22"/>
      <selection pane="bottomLeft" activeCell="D164" sqref="D164"/>
    </sheetView>
  </sheetViews>
  <sheetFormatPr defaultRowHeight="15" x14ac:dyDescent="0.25"/>
  <cols>
    <col min="1" max="1" width="8.5703125" style="126" customWidth="1"/>
    <col min="2" max="2" width="9.7109375" style="151" bestFit="1" customWidth="1"/>
    <col min="3" max="3" width="5.7109375" style="125" customWidth="1"/>
    <col min="4" max="4" width="10.7109375" style="125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53" customWidth="1"/>
    <col min="9" max="9" width="11.7109375" style="137" customWidth="1"/>
    <col min="10" max="10" width="11.7109375" style="138" customWidth="1"/>
    <col min="11" max="11" width="9.140625" style="124"/>
    <col min="12" max="16384" width="9.140625" style="125"/>
  </cols>
  <sheetData>
    <row r="1" spans="1:14" ht="12.75" x14ac:dyDescent="0.2">
      <c r="A1" s="636" t="s">
        <v>137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133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83335000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237129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1.75" x14ac:dyDescent="0.25">
      <c r="B5" s="127"/>
      <c r="D5" s="128"/>
      <c r="H5" s="152" t="s">
        <v>134</v>
      </c>
      <c r="I5" s="130" t="s">
        <v>135</v>
      </c>
      <c r="J5" s="131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52"/>
      <c r="I6" s="130"/>
      <c r="J6" s="131"/>
      <c r="K6" s="134"/>
      <c r="L6" s="133"/>
      <c r="M6" s="133"/>
      <c r="N6" s="133"/>
    </row>
    <row r="7" spans="1:14" hidden="1" x14ac:dyDescent="0.25">
      <c r="A7" s="126">
        <v>41395</v>
      </c>
      <c r="B7" s="127">
        <v>41395</v>
      </c>
      <c r="D7" s="139">
        <v>0.12</v>
      </c>
      <c r="F7" s="135">
        <f t="shared" ref="F7:F52" si="0">ROUND(D7/100*$A$3/360,6)</f>
        <v>277.78333300000003</v>
      </c>
    </row>
    <row r="8" spans="1:14" hidden="1" x14ac:dyDescent="0.25">
      <c r="B8" s="127">
        <f t="shared" ref="B8:B66" si="1">B7+1</f>
        <v>41396</v>
      </c>
      <c r="D8" s="139">
        <v>0.12</v>
      </c>
      <c r="F8" s="135">
        <f t="shared" si="0"/>
        <v>277.78333300000003</v>
      </c>
    </row>
    <row r="9" spans="1:14" hidden="1" x14ac:dyDescent="0.25">
      <c r="B9" s="127">
        <f t="shared" si="1"/>
        <v>41397</v>
      </c>
      <c r="D9" s="139">
        <v>0.12</v>
      </c>
      <c r="F9" s="135">
        <f t="shared" si="0"/>
        <v>277.78333300000003</v>
      </c>
    </row>
    <row r="10" spans="1:14" hidden="1" x14ac:dyDescent="0.25">
      <c r="B10" s="127">
        <f t="shared" si="1"/>
        <v>41398</v>
      </c>
      <c r="D10" s="139">
        <v>0.12</v>
      </c>
      <c r="F10" s="135">
        <f t="shared" si="0"/>
        <v>277.78333300000003</v>
      </c>
    </row>
    <row r="11" spans="1:14" hidden="1" x14ac:dyDescent="0.25">
      <c r="B11" s="127">
        <f t="shared" si="1"/>
        <v>41399</v>
      </c>
      <c r="D11" s="139">
        <v>0.12</v>
      </c>
      <c r="F11" s="135">
        <f t="shared" si="0"/>
        <v>277.78333300000003</v>
      </c>
    </row>
    <row r="12" spans="1:14" hidden="1" x14ac:dyDescent="0.25">
      <c r="B12" s="127">
        <f t="shared" si="1"/>
        <v>41400</v>
      </c>
      <c r="D12" s="139">
        <v>0.12</v>
      </c>
      <c r="F12" s="135">
        <f t="shared" si="0"/>
        <v>277.78333300000003</v>
      </c>
    </row>
    <row r="13" spans="1:14" hidden="1" x14ac:dyDescent="0.25">
      <c r="B13" s="127">
        <f t="shared" si="1"/>
        <v>41401</v>
      </c>
      <c r="D13" s="139">
        <v>0.12</v>
      </c>
      <c r="F13" s="135">
        <f t="shared" si="0"/>
        <v>277.78333300000003</v>
      </c>
    </row>
    <row r="14" spans="1:14" hidden="1" x14ac:dyDescent="0.25">
      <c r="B14" s="127">
        <f t="shared" si="1"/>
        <v>41402</v>
      </c>
      <c r="D14" s="139">
        <v>0.14000000000000001</v>
      </c>
      <c r="F14" s="135">
        <f t="shared" si="0"/>
        <v>324.080556</v>
      </c>
    </row>
    <row r="15" spans="1:14" hidden="1" x14ac:dyDescent="0.25">
      <c r="B15" s="127">
        <f t="shared" si="1"/>
        <v>41403</v>
      </c>
      <c r="D15" s="139">
        <v>0.14000000000000001</v>
      </c>
      <c r="F15" s="135">
        <f t="shared" si="0"/>
        <v>324.080556</v>
      </c>
    </row>
    <row r="16" spans="1:14" hidden="1" x14ac:dyDescent="0.25">
      <c r="B16" s="127">
        <f t="shared" si="1"/>
        <v>41404</v>
      </c>
      <c r="D16" s="139">
        <v>0.14000000000000001</v>
      </c>
      <c r="F16" s="135">
        <f t="shared" si="0"/>
        <v>324.080556</v>
      </c>
    </row>
    <row r="17" spans="2:6" hidden="1" x14ac:dyDescent="0.25">
      <c r="B17" s="127">
        <f t="shared" si="1"/>
        <v>41405</v>
      </c>
      <c r="D17" s="139">
        <v>0.14000000000000001</v>
      </c>
      <c r="F17" s="135">
        <f t="shared" si="0"/>
        <v>324.080556</v>
      </c>
    </row>
    <row r="18" spans="2:6" hidden="1" x14ac:dyDescent="0.25">
      <c r="B18" s="127">
        <f t="shared" si="1"/>
        <v>41406</v>
      </c>
      <c r="D18" s="139">
        <v>0.14000000000000001</v>
      </c>
      <c r="F18" s="135">
        <f t="shared" si="0"/>
        <v>324.080556</v>
      </c>
    </row>
    <row r="19" spans="2:6" hidden="1" x14ac:dyDescent="0.25">
      <c r="B19" s="127">
        <f t="shared" si="1"/>
        <v>41407</v>
      </c>
      <c r="D19" s="139">
        <v>0.14000000000000001</v>
      </c>
      <c r="F19" s="135">
        <f t="shared" si="0"/>
        <v>324.080556</v>
      </c>
    </row>
    <row r="20" spans="2:6" hidden="1" x14ac:dyDescent="0.25">
      <c r="B20" s="127">
        <f t="shared" si="1"/>
        <v>41408</v>
      </c>
      <c r="D20" s="139">
        <v>0.14000000000000001</v>
      </c>
      <c r="F20" s="135">
        <f t="shared" si="0"/>
        <v>324.080556</v>
      </c>
    </row>
    <row r="21" spans="2:6" hidden="1" x14ac:dyDescent="0.25">
      <c r="B21" s="127">
        <f t="shared" si="1"/>
        <v>41409</v>
      </c>
      <c r="D21" s="139">
        <v>0.14000000000000001</v>
      </c>
      <c r="F21" s="135">
        <f t="shared" si="0"/>
        <v>324.080556</v>
      </c>
    </row>
    <row r="22" spans="2:6" hidden="1" x14ac:dyDescent="0.25">
      <c r="B22" s="127">
        <f t="shared" si="1"/>
        <v>41410</v>
      </c>
      <c r="D22" s="139">
        <v>0.14000000000000001</v>
      </c>
      <c r="F22" s="135">
        <f t="shared" si="0"/>
        <v>324.080556</v>
      </c>
    </row>
    <row r="23" spans="2:6" hidden="1" x14ac:dyDescent="0.25">
      <c r="B23" s="127">
        <f t="shared" si="1"/>
        <v>41411</v>
      </c>
      <c r="D23" s="139">
        <v>0.14000000000000001</v>
      </c>
      <c r="F23" s="135">
        <f t="shared" si="0"/>
        <v>324.080556</v>
      </c>
    </row>
    <row r="24" spans="2:6" hidden="1" x14ac:dyDescent="0.25">
      <c r="B24" s="127">
        <f t="shared" si="1"/>
        <v>41412</v>
      </c>
      <c r="D24" s="139">
        <v>0.14000000000000001</v>
      </c>
      <c r="F24" s="135">
        <f t="shared" si="0"/>
        <v>324.080556</v>
      </c>
    </row>
    <row r="25" spans="2:6" hidden="1" x14ac:dyDescent="0.25">
      <c r="B25" s="127">
        <f t="shared" si="1"/>
        <v>41413</v>
      </c>
      <c r="D25" s="139">
        <v>0.14000000000000001</v>
      </c>
      <c r="F25" s="135">
        <f t="shared" si="0"/>
        <v>324.080556</v>
      </c>
    </row>
    <row r="26" spans="2:6" hidden="1" x14ac:dyDescent="0.25">
      <c r="B26" s="127">
        <f t="shared" si="1"/>
        <v>41414</v>
      </c>
      <c r="D26" s="139">
        <v>0.14000000000000001</v>
      </c>
      <c r="F26" s="135">
        <f t="shared" si="0"/>
        <v>324.080556</v>
      </c>
    </row>
    <row r="27" spans="2:6" hidden="1" x14ac:dyDescent="0.25">
      <c r="B27" s="127">
        <f t="shared" si="1"/>
        <v>41415</v>
      </c>
      <c r="D27" s="139">
        <v>0.14000000000000001</v>
      </c>
      <c r="F27" s="135">
        <f t="shared" si="0"/>
        <v>324.080556</v>
      </c>
    </row>
    <row r="28" spans="2:6" hidden="1" x14ac:dyDescent="0.25">
      <c r="B28" s="127">
        <f t="shared" si="1"/>
        <v>41416</v>
      </c>
      <c r="D28" s="139">
        <v>0.14000000000000001</v>
      </c>
      <c r="F28" s="135">
        <f t="shared" si="0"/>
        <v>324.080556</v>
      </c>
    </row>
    <row r="29" spans="2:6" hidden="1" x14ac:dyDescent="0.25">
      <c r="B29" s="127">
        <f t="shared" si="1"/>
        <v>41417</v>
      </c>
      <c r="D29" s="139">
        <v>0.14000000000000001</v>
      </c>
      <c r="F29" s="135">
        <f t="shared" si="0"/>
        <v>324.080556</v>
      </c>
    </row>
    <row r="30" spans="2:6" hidden="1" x14ac:dyDescent="0.25">
      <c r="B30" s="127">
        <f t="shared" si="1"/>
        <v>41418</v>
      </c>
      <c r="D30" s="139">
        <v>0.14000000000000001</v>
      </c>
      <c r="F30" s="135">
        <f t="shared" si="0"/>
        <v>324.080556</v>
      </c>
    </row>
    <row r="31" spans="2:6" hidden="1" x14ac:dyDescent="0.25">
      <c r="B31" s="127">
        <f t="shared" si="1"/>
        <v>41419</v>
      </c>
      <c r="D31" s="139">
        <v>0.14000000000000001</v>
      </c>
      <c r="F31" s="135">
        <f t="shared" si="0"/>
        <v>324.080556</v>
      </c>
    </row>
    <row r="32" spans="2:6" hidden="1" x14ac:dyDescent="0.25">
      <c r="B32" s="127">
        <f t="shared" si="1"/>
        <v>41420</v>
      </c>
      <c r="D32" s="139">
        <v>0.14000000000000001</v>
      </c>
      <c r="F32" s="135">
        <f t="shared" si="0"/>
        <v>324.080556</v>
      </c>
    </row>
    <row r="33" spans="1:11" hidden="1" x14ac:dyDescent="0.25">
      <c r="B33" s="127">
        <f t="shared" si="1"/>
        <v>41421</v>
      </c>
      <c r="D33" s="139">
        <v>0.14000000000000001</v>
      </c>
      <c r="F33" s="135">
        <f t="shared" si="0"/>
        <v>324.080556</v>
      </c>
    </row>
    <row r="34" spans="1:11" hidden="1" x14ac:dyDescent="0.25">
      <c r="B34" s="127">
        <f t="shared" si="1"/>
        <v>41422</v>
      </c>
      <c r="D34" s="139">
        <v>0.14000000000000001</v>
      </c>
      <c r="F34" s="135">
        <f t="shared" si="0"/>
        <v>324.080556</v>
      </c>
    </row>
    <row r="35" spans="1:11" hidden="1" x14ac:dyDescent="0.25">
      <c r="B35" s="127">
        <f t="shared" si="1"/>
        <v>41423</v>
      </c>
      <c r="D35" s="139">
        <v>0.14000000000000001</v>
      </c>
      <c r="F35" s="135">
        <f t="shared" si="0"/>
        <v>324.080556</v>
      </c>
    </row>
    <row r="36" spans="1:11" hidden="1" x14ac:dyDescent="0.25">
      <c r="B36" s="127">
        <f t="shared" si="1"/>
        <v>41424</v>
      </c>
      <c r="D36" s="139">
        <v>0.14000000000000001</v>
      </c>
      <c r="F36" s="135">
        <f t="shared" si="0"/>
        <v>324.080556</v>
      </c>
      <c r="I36" s="147"/>
      <c r="J36" s="144"/>
      <c r="K36" s="145"/>
    </row>
    <row r="37" spans="1:11" hidden="1" x14ac:dyDescent="0.25">
      <c r="B37" s="127">
        <f t="shared" si="1"/>
        <v>41425</v>
      </c>
      <c r="D37" s="139">
        <v>0.14000000000000001</v>
      </c>
      <c r="F37" s="135">
        <f t="shared" si="0"/>
        <v>324.080556</v>
      </c>
      <c r="H37" s="136">
        <f>SUM(F7:F37)</f>
        <v>9722.4166750000022</v>
      </c>
      <c r="I37" s="140">
        <f>AVERAGE(D7:D37)</f>
        <v>0.135483870967742</v>
      </c>
      <c r="J37" s="141">
        <f>AVERAGE(D7:D37)</f>
        <v>0.135483870967742</v>
      </c>
      <c r="K37" s="142">
        <f>AVERAGE(D7:D37)</f>
        <v>0.135483870967742</v>
      </c>
    </row>
    <row r="38" spans="1:11" hidden="1" x14ac:dyDescent="0.25">
      <c r="A38" s="126">
        <v>41426</v>
      </c>
      <c r="B38" s="127">
        <f t="shared" si="1"/>
        <v>41426</v>
      </c>
      <c r="D38" s="139">
        <v>0.14000000000000001</v>
      </c>
      <c r="F38" s="135">
        <f t="shared" si="0"/>
        <v>324.080556</v>
      </c>
    </row>
    <row r="39" spans="1:11" hidden="1" x14ac:dyDescent="0.25">
      <c r="B39" s="127">
        <f t="shared" si="1"/>
        <v>41427</v>
      </c>
      <c r="D39" s="139">
        <v>0.14000000000000001</v>
      </c>
      <c r="F39" s="135">
        <f t="shared" si="0"/>
        <v>324.080556</v>
      </c>
    </row>
    <row r="40" spans="1:11" hidden="1" x14ac:dyDescent="0.25">
      <c r="B40" s="127">
        <f t="shared" si="1"/>
        <v>41428</v>
      </c>
      <c r="D40" s="139">
        <v>0.14000000000000001</v>
      </c>
      <c r="F40" s="135">
        <f t="shared" si="0"/>
        <v>324.080556</v>
      </c>
    </row>
    <row r="41" spans="1:11" hidden="1" x14ac:dyDescent="0.25">
      <c r="B41" s="127">
        <f t="shared" si="1"/>
        <v>41429</v>
      </c>
      <c r="D41" s="139">
        <v>0.14000000000000001</v>
      </c>
      <c r="F41" s="135">
        <f t="shared" si="0"/>
        <v>324.080556</v>
      </c>
    </row>
    <row r="42" spans="1:11" hidden="1" x14ac:dyDescent="0.25">
      <c r="B42" s="127">
        <f t="shared" si="1"/>
        <v>41430</v>
      </c>
      <c r="D42" s="139">
        <v>0.14000000000000001</v>
      </c>
      <c r="F42" s="135">
        <f t="shared" si="0"/>
        <v>324.080556</v>
      </c>
    </row>
    <row r="43" spans="1:11" hidden="1" x14ac:dyDescent="0.25">
      <c r="B43" s="127">
        <f t="shared" si="1"/>
        <v>41431</v>
      </c>
      <c r="D43" s="139">
        <v>0.14000000000000001</v>
      </c>
      <c r="F43" s="135">
        <f t="shared" si="0"/>
        <v>324.080556</v>
      </c>
    </row>
    <row r="44" spans="1:11" hidden="1" x14ac:dyDescent="0.25">
      <c r="B44" s="127">
        <f t="shared" si="1"/>
        <v>41432</v>
      </c>
      <c r="D44" s="139">
        <v>0.14000000000000001</v>
      </c>
      <c r="F44" s="135">
        <f t="shared" si="0"/>
        <v>324.080556</v>
      </c>
    </row>
    <row r="45" spans="1:11" hidden="1" x14ac:dyDescent="0.25">
      <c r="B45" s="127">
        <f t="shared" si="1"/>
        <v>41433</v>
      </c>
      <c r="D45" s="139">
        <v>0.14000000000000001</v>
      </c>
      <c r="F45" s="135">
        <f t="shared" si="0"/>
        <v>324.080556</v>
      </c>
    </row>
    <row r="46" spans="1:11" hidden="1" x14ac:dyDescent="0.25">
      <c r="B46" s="127">
        <f t="shared" si="1"/>
        <v>41434</v>
      </c>
      <c r="D46" s="139">
        <v>0.14000000000000001</v>
      </c>
      <c r="F46" s="135">
        <f t="shared" si="0"/>
        <v>324.080556</v>
      </c>
    </row>
    <row r="47" spans="1:11" hidden="1" x14ac:dyDescent="0.25">
      <c r="B47" s="127">
        <f t="shared" si="1"/>
        <v>41435</v>
      </c>
      <c r="D47" s="139">
        <v>0.14000000000000001</v>
      </c>
      <c r="F47" s="135">
        <f t="shared" si="0"/>
        <v>324.080556</v>
      </c>
    </row>
    <row r="48" spans="1:11" hidden="1" x14ac:dyDescent="0.25">
      <c r="B48" s="127">
        <f t="shared" si="1"/>
        <v>41436</v>
      </c>
      <c r="D48" s="139">
        <v>0.14000000000000001</v>
      </c>
      <c r="F48" s="135">
        <f t="shared" si="0"/>
        <v>324.080556</v>
      </c>
    </row>
    <row r="49" spans="2:6" hidden="1" x14ac:dyDescent="0.25">
      <c r="B49" s="127">
        <f t="shared" si="1"/>
        <v>41437</v>
      </c>
      <c r="D49" s="139">
        <v>0.1</v>
      </c>
      <c r="F49" s="135">
        <f t="shared" si="0"/>
        <v>231.48611099999999</v>
      </c>
    </row>
    <row r="50" spans="2:6" hidden="1" x14ac:dyDescent="0.25">
      <c r="B50" s="127">
        <f t="shared" si="1"/>
        <v>41438</v>
      </c>
      <c r="D50" s="139">
        <v>0.1</v>
      </c>
      <c r="F50" s="135">
        <f t="shared" si="0"/>
        <v>231.48611099999999</v>
      </c>
    </row>
    <row r="51" spans="2:6" hidden="1" x14ac:dyDescent="0.25">
      <c r="B51" s="127">
        <f t="shared" si="1"/>
        <v>41439</v>
      </c>
      <c r="D51" s="139">
        <v>0.1</v>
      </c>
      <c r="F51" s="135">
        <f t="shared" si="0"/>
        <v>231.48611099999999</v>
      </c>
    </row>
    <row r="52" spans="2:6" hidden="1" x14ac:dyDescent="0.25">
      <c r="B52" s="127">
        <f t="shared" si="1"/>
        <v>41440</v>
      </c>
      <c r="D52" s="139">
        <v>0.1</v>
      </c>
      <c r="F52" s="135">
        <f t="shared" si="0"/>
        <v>231.48611099999999</v>
      </c>
    </row>
    <row r="53" spans="2:6" hidden="1" x14ac:dyDescent="0.25">
      <c r="B53" s="127">
        <f t="shared" si="1"/>
        <v>41441</v>
      </c>
      <c r="D53" s="139">
        <v>0.1</v>
      </c>
      <c r="F53" s="135">
        <f t="shared" ref="F53:F116" si="2">ROUND(D53/100*$A$3/360,6)</f>
        <v>231.48611099999999</v>
      </c>
    </row>
    <row r="54" spans="2:6" hidden="1" x14ac:dyDescent="0.25">
      <c r="B54" s="127">
        <f t="shared" si="1"/>
        <v>41442</v>
      </c>
      <c r="D54" s="139">
        <v>0.1</v>
      </c>
      <c r="F54" s="135">
        <f t="shared" si="2"/>
        <v>231.48611099999999</v>
      </c>
    </row>
    <row r="55" spans="2:6" hidden="1" x14ac:dyDescent="0.25">
      <c r="B55" s="127">
        <f t="shared" si="1"/>
        <v>41443</v>
      </c>
      <c r="D55" s="139">
        <v>0.1</v>
      </c>
      <c r="F55" s="135">
        <f t="shared" si="2"/>
        <v>231.48611099999999</v>
      </c>
    </row>
    <row r="56" spans="2:6" hidden="1" x14ac:dyDescent="0.25">
      <c r="B56" s="127">
        <f t="shared" si="1"/>
        <v>41444</v>
      </c>
      <c r="D56" s="139">
        <v>0.1</v>
      </c>
      <c r="F56" s="135">
        <f t="shared" si="2"/>
        <v>231.48611099999999</v>
      </c>
    </row>
    <row r="57" spans="2:6" hidden="1" x14ac:dyDescent="0.25">
      <c r="B57" s="127">
        <f t="shared" si="1"/>
        <v>41445</v>
      </c>
      <c r="D57" s="139">
        <v>0.1</v>
      </c>
      <c r="F57" s="135">
        <f t="shared" si="2"/>
        <v>231.48611099999999</v>
      </c>
    </row>
    <row r="58" spans="2:6" hidden="1" x14ac:dyDescent="0.25">
      <c r="B58" s="127">
        <f t="shared" si="1"/>
        <v>41446</v>
      </c>
      <c r="D58" s="139">
        <v>0.1</v>
      </c>
      <c r="F58" s="135">
        <f t="shared" si="2"/>
        <v>231.48611099999999</v>
      </c>
    </row>
    <row r="59" spans="2:6" hidden="1" x14ac:dyDescent="0.25">
      <c r="B59" s="127">
        <f t="shared" si="1"/>
        <v>41447</v>
      </c>
      <c r="D59" s="139">
        <v>0.1</v>
      </c>
      <c r="F59" s="135">
        <f t="shared" si="2"/>
        <v>231.48611099999999</v>
      </c>
    </row>
    <row r="60" spans="2:6" hidden="1" x14ac:dyDescent="0.25">
      <c r="B60" s="127">
        <f t="shared" si="1"/>
        <v>41448</v>
      </c>
      <c r="D60" s="139">
        <v>0.1</v>
      </c>
      <c r="F60" s="135">
        <f t="shared" si="2"/>
        <v>231.48611099999999</v>
      </c>
    </row>
    <row r="61" spans="2:6" hidden="1" x14ac:dyDescent="0.25">
      <c r="B61" s="127">
        <f t="shared" si="1"/>
        <v>41449</v>
      </c>
      <c r="D61" s="139">
        <v>0.1</v>
      </c>
      <c r="F61" s="135">
        <f t="shared" si="2"/>
        <v>231.48611099999999</v>
      </c>
    </row>
    <row r="62" spans="2:6" hidden="1" x14ac:dyDescent="0.25">
      <c r="B62" s="127">
        <f t="shared" si="1"/>
        <v>41450</v>
      </c>
      <c r="D62" s="139">
        <v>0.1</v>
      </c>
      <c r="F62" s="135">
        <f t="shared" si="2"/>
        <v>231.48611099999999</v>
      </c>
    </row>
    <row r="63" spans="2:6" hidden="1" x14ac:dyDescent="0.25">
      <c r="B63" s="127">
        <f t="shared" si="1"/>
        <v>41451</v>
      </c>
      <c r="D63" s="139">
        <v>0.1</v>
      </c>
      <c r="F63" s="135">
        <f t="shared" si="2"/>
        <v>231.48611099999999</v>
      </c>
    </row>
    <row r="64" spans="2:6" hidden="1" x14ac:dyDescent="0.25">
      <c r="B64" s="127">
        <f t="shared" si="1"/>
        <v>41452</v>
      </c>
      <c r="D64" s="139">
        <v>0.1</v>
      </c>
      <c r="F64" s="135">
        <f t="shared" si="2"/>
        <v>231.48611099999999</v>
      </c>
    </row>
    <row r="65" spans="1:11" hidden="1" x14ac:dyDescent="0.25">
      <c r="B65" s="127">
        <f t="shared" si="1"/>
        <v>41453</v>
      </c>
      <c r="D65" s="139">
        <v>0.1</v>
      </c>
      <c r="F65" s="135">
        <f t="shared" si="2"/>
        <v>231.48611099999999</v>
      </c>
    </row>
    <row r="66" spans="1:11" hidden="1" x14ac:dyDescent="0.25">
      <c r="B66" s="127">
        <f t="shared" si="1"/>
        <v>41454</v>
      </c>
      <c r="D66" s="139">
        <v>0.1</v>
      </c>
      <c r="F66" s="135">
        <f t="shared" si="2"/>
        <v>231.48611099999999</v>
      </c>
    </row>
    <row r="67" spans="1:11" hidden="1" x14ac:dyDescent="0.25">
      <c r="B67" s="127">
        <f t="shared" ref="B67:B130" si="3">B66+1</f>
        <v>41455</v>
      </c>
      <c r="D67" s="139">
        <v>0.1</v>
      </c>
      <c r="F67" s="135">
        <f t="shared" si="2"/>
        <v>231.48611099999999</v>
      </c>
      <c r="H67" s="136">
        <f>SUM(F38:F67)</f>
        <v>7963.1222250000019</v>
      </c>
      <c r="I67" s="140">
        <f>AVERAGE(D38:D67)</f>
        <v>0.11466666666666674</v>
      </c>
      <c r="J67" s="141">
        <f>AVERAGE(D7:D67)</f>
        <v>0.12524590163934413</v>
      </c>
      <c r="K67" s="142">
        <f>AVERAGE(D7:D67)</f>
        <v>0.12524590163934413</v>
      </c>
    </row>
    <row r="68" spans="1:11" hidden="1" x14ac:dyDescent="0.25">
      <c r="A68" s="126">
        <v>41456</v>
      </c>
      <c r="B68" s="127">
        <f t="shared" si="3"/>
        <v>41456</v>
      </c>
      <c r="D68" s="139">
        <v>0.1</v>
      </c>
      <c r="F68" s="135">
        <f t="shared" si="2"/>
        <v>231.48611099999999</v>
      </c>
    </row>
    <row r="69" spans="1:11" hidden="1" x14ac:dyDescent="0.25">
      <c r="B69" s="127">
        <f t="shared" si="3"/>
        <v>41457</v>
      </c>
      <c r="D69" s="139">
        <v>0.1</v>
      </c>
      <c r="F69" s="135">
        <f t="shared" si="2"/>
        <v>231.48611099999999</v>
      </c>
    </row>
    <row r="70" spans="1:11" hidden="1" x14ac:dyDescent="0.25">
      <c r="B70" s="127">
        <f t="shared" si="3"/>
        <v>41458</v>
      </c>
      <c r="D70" s="139">
        <v>0.1</v>
      </c>
      <c r="F70" s="135">
        <f t="shared" si="2"/>
        <v>231.48611099999999</v>
      </c>
    </row>
    <row r="71" spans="1:11" hidden="1" x14ac:dyDescent="0.25">
      <c r="B71" s="127">
        <f t="shared" si="3"/>
        <v>41459</v>
      </c>
      <c r="D71" s="139">
        <v>0.1</v>
      </c>
      <c r="F71" s="135">
        <f t="shared" si="2"/>
        <v>231.48611099999999</v>
      </c>
    </row>
    <row r="72" spans="1:11" hidden="1" x14ac:dyDescent="0.25">
      <c r="B72" s="127">
        <f t="shared" si="3"/>
        <v>41460</v>
      </c>
      <c r="D72" s="139">
        <v>0.1</v>
      </c>
      <c r="F72" s="135">
        <f t="shared" si="2"/>
        <v>231.48611099999999</v>
      </c>
    </row>
    <row r="73" spans="1:11" hidden="1" x14ac:dyDescent="0.25">
      <c r="B73" s="127">
        <f t="shared" si="3"/>
        <v>41461</v>
      </c>
      <c r="D73" s="139">
        <v>0.1</v>
      </c>
      <c r="F73" s="135">
        <f t="shared" si="2"/>
        <v>231.48611099999999</v>
      </c>
    </row>
    <row r="74" spans="1:11" hidden="1" x14ac:dyDescent="0.25">
      <c r="B74" s="127">
        <f t="shared" si="3"/>
        <v>41462</v>
      </c>
      <c r="D74" s="139">
        <v>0.1</v>
      </c>
      <c r="F74" s="135">
        <f t="shared" si="2"/>
        <v>231.48611099999999</v>
      </c>
    </row>
    <row r="75" spans="1:11" hidden="1" x14ac:dyDescent="0.25">
      <c r="B75" s="127">
        <f t="shared" si="3"/>
        <v>41463</v>
      </c>
      <c r="D75" s="139">
        <v>0.1</v>
      </c>
      <c r="F75" s="135">
        <f t="shared" si="2"/>
        <v>231.48611099999999</v>
      </c>
    </row>
    <row r="76" spans="1:11" hidden="1" x14ac:dyDescent="0.25">
      <c r="B76" s="127">
        <f t="shared" si="3"/>
        <v>41464</v>
      </c>
      <c r="D76" s="139">
        <v>0.1</v>
      </c>
      <c r="F76" s="135">
        <f t="shared" si="2"/>
        <v>231.48611099999999</v>
      </c>
    </row>
    <row r="77" spans="1:11" hidden="1" x14ac:dyDescent="0.25">
      <c r="B77" s="127">
        <f t="shared" si="3"/>
        <v>41465</v>
      </c>
      <c r="D77" s="139">
        <v>0.1</v>
      </c>
      <c r="F77" s="135">
        <f t="shared" si="2"/>
        <v>231.48611099999999</v>
      </c>
    </row>
    <row r="78" spans="1:11" hidden="1" x14ac:dyDescent="0.25">
      <c r="B78" s="127">
        <f t="shared" si="3"/>
        <v>41466</v>
      </c>
      <c r="D78" s="139">
        <v>0.1</v>
      </c>
      <c r="F78" s="135">
        <f t="shared" si="2"/>
        <v>231.48611099999999</v>
      </c>
    </row>
    <row r="79" spans="1:11" hidden="1" x14ac:dyDescent="0.25">
      <c r="B79" s="127">
        <f t="shared" si="3"/>
        <v>41467</v>
      </c>
      <c r="D79" s="139">
        <v>0.1</v>
      </c>
      <c r="F79" s="135">
        <f t="shared" si="2"/>
        <v>231.48611099999999</v>
      </c>
    </row>
    <row r="80" spans="1:11" hidden="1" x14ac:dyDescent="0.25">
      <c r="B80" s="127">
        <f t="shared" si="3"/>
        <v>41468</v>
      </c>
      <c r="D80" s="139">
        <v>0.1</v>
      </c>
      <c r="F80" s="135">
        <f t="shared" si="2"/>
        <v>231.48611099999999</v>
      </c>
    </row>
    <row r="81" spans="2:6" hidden="1" x14ac:dyDescent="0.25">
      <c r="B81" s="127">
        <f t="shared" si="3"/>
        <v>41469</v>
      </c>
      <c r="D81" s="139">
        <v>0.1</v>
      </c>
      <c r="F81" s="135">
        <f t="shared" si="2"/>
        <v>231.48611099999999</v>
      </c>
    </row>
    <row r="82" spans="2:6" hidden="1" x14ac:dyDescent="0.25">
      <c r="B82" s="127">
        <f t="shared" si="3"/>
        <v>41470</v>
      </c>
      <c r="D82" s="139">
        <v>0.1</v>
      </c>
      <c r="F82" s="135">
        <f t="shared" si="2"/>
        <v>231.48611099999999</v>
      </c>
    </row>
    <row r="83" spans="2:6" hidden="1" x14ac:dyDescent="0.25">
      <c r="B83" s="127">
        <f t="shared" si="3"/>
        <v>41471</v>
      </c>
      <c r="D83" s="139">
        <v>0.1</v>
      </c>
      <c r="F83" s="135">
        <f t="shared" si="2"/>
        <v>231.48611099999999</v>
      </c>
    </row>
    <row r="84" spans="2:6" hidden="1" x14ac:dyDescent="0.25">
      <c r="B84" s="127">
        <f t="shared" si="3"/>
        <v>41472</v>
      </c>
      <c r="D84" s="139">
        <v>0.16</v>
      </c>
      <c r="F84" s="135">
        <f t="shared" si="2"/>
        <v>370.37777799999998</v>
      </c>
    </row>
    <row r="85" spans="2:6" hidden="1" x14ac:dyDescent="0.25">
      <c r="B85" s="127">
        <f t="shared" si="3"/>
        <v>41473</v>
      </c>
      <c r="D85" s="139">
        <v>0.16</v>
      </c>
      <c r="F85" s="135">
        <f t="shared" si="2"/>
        <v>370.37777799999998</v>
      </c>
    </row>
    <row r="86" spans="2:6" hidden="1" x14ac:dyDescent="0.25">
      <c r="B86" s="127">
        <f t="shared" si="3"/>
        <v>41474</v>
      </c>
      <c r="D86" s="139">
        <v>0.16</v>
      </c>
      <c r="F86" s="135">
        <f t="shared" si="2"/>
        <v>370.37777799999998</v>
      </c>
    </row>
    <row r="87" spans="2:6" hidden="1" x14ac:dyDescent="0.25">
      <c r="B87" s="127">
        <f t="shared" si="3"/>
        <v>41475</v>
      </c>
      <c r="D87" s="139">
        <v>0.16</v>
      </c>
      <c r="F87" s="135">
        <f t="shared" si="2"/>
        <v>370.37777799999998</v>
      </c>
    </row>
    <row r="88" spans="2:6" hidden="1" x14ac:dyDescent="0.25">
      <c r="B88" s="127">
        <f t="shared" si="3"/>
        <v>41476</v>
      </c>
      <c r="D88" s="139">
        <v>0.16</v>
      </c>
      <c r="F88" s="135">
        <f t="shared" si="2"/>
        <v>370.37777799999998</v>
      </c>
    </row>
    <row r="89" spans="2:6" hidden="1" x14ac:dyDescent="0.25">
      <c r="B89" s="127">
        <f t="shared" si="3"/>
        <v>41477</v>
      </c>
      <c r="D89" s="139">
        <v>0.16</v>
      </c>
      <c r="F89" s="135">
        <f t="shared" si="2"/>
        <v>370.37777799999998</v>
      </c>
    </row>
    <row r="90" spans="2:6" hidden="1" x14ac:dyDescent="0.25">
      <c r="B90" s="127">
        <f t="shared" si="3"/>
        <v>41478</v>
      </c>
      <c r="D90" s="139">
        <v>0.16</v>
      </c>
      <c r="F90" s="135">
        <f t="shared" si="2"/>
        <v>370.37777799999998</v>
      </c>
    </row>
    <row r="91" spans="2:6" hidden="1" x14ac:dyDescent="0.25">
      <c r="B91" s="127">
        <f t="shared" si="3"/>
        <v>41479</v>
      </c>
      <c r="D91" s="139">
        <v>0.16</v>
      </c>
      <c r="F91" s="135">
        <f t="shared" si="2"/>
        <v>370.37777799999998</v>
      </c>
    </row>
    <row r="92" spans="2:6" hidden="1" x14ac:dyDescent="0.25">
      <c r="B92" s="127">
        <f t="shared" si="3"/>
        <v>41480</v>
      </c>
      <c r="D92" s="139">
        <v>0.16</v>
      </c>
      <c r="F92" s="135">
        <f t="shared" si="2"/>
        <v>370.37777799999998</v>
      </c>
    </row>
    <row r="93" spans="2:6" hidden="1" x14ac:dyDescent="0.25">
      <c r="B93" s="127">
        <f t="shared" si="3"/>
        <v>41481</v>
      </c>
      <c r="D93" s="139">
        <v>0.16</v>
      </c>
      <c r="F93" s="135">
        <f t="shared" si="2"/>
        <v>370.37777799999998</v>
      </c>
    </row>
    <row r="94" spans="2:6" hidden="1" x14ac:dyDescent="0.25">
      <c r="B94" s="127">
        <f t="shared" si="3"/>
        <v>41482</v>
      </c>
      <c r="D94" s="139">
        <v>0.16</v>
      </c>
      <c r="F94" s="135">
        <f t="shared" si="2"/>
        <v>370.37777799999998</v>
      </c>
    </row>
    <row r="95" spans="2:6" hidden="1" x14ac:dyDescent="0.25">
      <c r="B95" s="127">
        <f t="shared" si="3"/>
        <v>41483</v>
      </c>
      <c r="D95" s="139">
        <v>0.16</v>
      </c>
      <c r="F95" s="135">
        <f t="shared" si="2"/>
        <v>370.37777799999998</v>
      </c>
    </row>
    <row r="96" spans="2:6" hidden="1" x14ac:dyDescent="0.25">
      <c r="B96" s="127">
        <f t="shared" si="3"/>
        <v>41484</v>
      </c>
      <c r="D96" s="139">
        <v>0.16</v>
      </c>
      <c r="F96" s="135">
        <f t="shared" si="2"/>
        <v>370.37777799999998</v>
      </c>
    </row>
    <row r="97" spans="1:11" hidden="1" x14ac:dyDescent="0.25">
      <c r="B97" s="127">
        <f t="shared" si="3"/>
        <v>41485</v>
      </c>
      <c r="D97" s="139">
        <v>0.16</v>
      </c>
      <c r="F97" s="135">
        <f t="shared" si="2"/>
        <v>370.37777799999998</v>
      </c>
    </row>
    <row r="98" spans="1:11" hidden="1" x14ac:dyDescent="0.25">
      <c r="B98" s="127">
        <f t="shared" si="3"/>
        <v>41486</v>
      </c>
      <c r="D98" s="139">
        <v>0.16</v>
      </c>
      <c r="F98" s="135">
        <f t="shared" si="2"/>
        <v>370.37777799999998</v>
      </c>
      <c r="H98" s="136">
        <f>SUM(F68:F98)</f>
        <v>9259.4444460000013</v>
      </c>
      <c r="I98" s="140">
        <f>AVERAGE(D68:D98)</f>
        <v>0.12903225806451618</v>
      </c>
      <c r="J98" s="141">
        <f>AVERAGE(D7:D98)</f>
        <v>0.12652173913043466</v>
      </c>
      <c r="K98" s="142">
        <f>AVERAGE(D7:D98)</f>
        <v>0.12652173913043466</v>
      </c>
    </row>
    <row r="99" spans="1:11" hidden="1" x14ac:dyDescent="0.25">
      <c r="A99" s="126">
        <v>41487</v>
      </c>
      <c r="B99" s="127">
        <f t="shared" si="3"/>
        <v>41487</v>
      </c>
      <c r="D99" s="139">
        <v>0.16</v>
      </c>
      <c r="F99" s="135">
        <f t="shared" si="2"/>
        <v>370.37777799999998</v>
      </c>
    </row>
    <row r="100" spans="1:11" hidden="1" x14ac:dyDescent="0.25">
      <c r="B100" s="127">
        <f t="shared" si="3"/>
        <v>41488</v>
      </c>
      <c r="D100" s="139">
        <v>0.16</v>
      </c>
      <c r="F100" s="135">
        <f t="shared" si="2"/>
        <v>370.37777799999998</v>
      </c>
    </row>
    <row r="101" spans="1:11" hidden="1" x14ac:dyDescent="0.25">
      <c r="B101" s="127">
        <f t="shared" si="3"/>
        <v>41489</v>
      </c>
      <c r="D101" s="139">
        <v>0.16</v>
      </c>
      <c r="F101" s="135">
        <f t="shared" si="2"/>
        <v>370.37777799999998</v>
      </c>
    </row>
    <row r="102" spans="1:11" hidden="1" x14ac:dyDescent="0.25">
      <c r="B102" s="127">
        <f t="shared" si="3"/>
        <v>41490</v>
      </c>
      <c r="D102" s="139">
        <v>0.16</v>
      </c>
      <c r="F102" s="135">
        <f t="shared" si="2"/>
        <v>370.37777799999998</v>
      </c>
    </row>
    <row r="103" spans="1:11" hidden="1" x14ac:dyDescent="0.25">
      <c r="B103" s="127">
        <f t="shared" si="3"/>
        <v>41491</v>
      </c>
      <c r="D103" s="139">
        <v>0.16</v>
      </c>
      <c r="F103" s="135">
        <f t="shared" si="2"/>
        <v>370.37777799999998</v>
      </c>
    </row>
    <row r="104" spans="1:11" hidden="1" x14ac:dyDescent="0.25">
      <c r="B104" s="127">
        <f t="shared" si="3"/>
        <v>41492</v>
      </c>
      <c r="D104" s="139">
        <v>0.16</v>
      </c>
      <c r="F104" s="135">
        <f t="shared" si="2"/>
        <v>370.37777799999998</v>
      </c>
    </row>
    <row r="105" spans="1:11" hidden="1" x14ac:dyDescent="0.25">
      <c r="B105" s="127">
        <f t="shared" si="3"/>
        <v>41493</v>
      </c>
      <c r="D105" s="139">
        <v>0.16</v>
      </c>
      <c r="F105" s="135">
        <f t="shared" si="2"/>
        <v>370.37777799999998</v>
      </c>
    </row>
    <row r="106" spans="1:11" hidden="1" x14ac:dyDescent="0.25">
      <c r="B106" s="127">
        <f t="shared" si="3"/>
        <v>41494</v>
      </c>
      <c r="D106" s="139">
        <v>0.16</v>
      </c>
      <c r="F106" s="135">
        <f t="shared" si="2"/>
        <v>370.37777799999998</v>
      </c>
    </row>
    <row r="107" spans="1:11" hidden="1" x14ac:dyDescent="0.25">
      <c r="B107" s="127">
        <f t="shared" si="3"/>
        <v>41495</v>
      </c>
      <c r="D107" s="139">
        <v>0.16</v>
      </c>
      <c r="F107" s="135">
        <f t="shared" si="2"/>
        <v>370.37777799999998</v>
      </c>
    </row>
    <row r="108" spans="1:11" hidden="1" x14ac:dyDescent="0.25">
      <c r="B108" s="127">
        <f t="shared" si="3"/>
        <v>41496</v>
      </c>
      <c r="D108" s="139">
        <v>0.16</v>
      </c>
      <c r="F108" s="135">
        <f t="shared" si="2"/>
        <v>370.37777799999998</v>
      </c>
    </row>
    <row r="109" spans="1:11" hidden="1" x14ac:dyDescent="0.25">
      <c r="B109" s="127">
        <f t="shared" si="3"/>
        <v>41497</v>
      </c>
      <c r="D109" s="139">
        <v>0.16</v>
      </c>
      <c r="F109" s="135">
        <f t="shared" si="2"/>
        <v>370.37777799999998</v>
      </c>
    </row>
    <row r="110" spans="1:11" hidden="1" x14ac:dyDescent="0.25">
      <c r="B110" s="127">
        <f t="shared" si="3"/>
        <v>41498</v>
      </c>
      <c r="D110" s="139">
        <v>0.16</v>
      </c>
      <c r="F110" s="135">
        <f t="shared" si="2"/>
        <v>370.37777799999998</v>
      </c>
    </row>
    <row r="111" spans="1:11" hidden="1" x14ac:dyDescent="0.25">
      <c r="B111" s="127">
        <f t="shared" si="3"/>
        <v>41499</v>
      </c>
      <c r="D111" s="139">
        <v>0.16</v>
      </c>
      <c r="F111" s="135">
        <f t="shared" si="2"/>
        <v>370.37777799999998</v>
      </c>
    </row>
    <row r="112" spans="1:11" hidden="1" x14ac:dyDescent="0.25">
      <c r="B112" s="127">
        <f t="shared" si="3"/>
        <v>41500</v>
      </c>
      <c r="D112" s="139">
        <v>0.16</v>
      </c>
      <c r="F112" s="135">
        <f t="shared" si="2"/>
        <v>370.37777799999998</v>
      </c>
    </row>
    <row r="113" spans="2:6" hidden="1" x14ac:dyDescent="0.25">
      <c r="B113" s="127">
        <f t="shared" si="3"/>
        <v>41501</v>
      </c>
      <c r="D113" s="139">
        <v>0.16</v>
      </c>
      <c r="F113" s="135">
        <f t="shared" si="2"/>
        <v>370.37777799999998</v>
      </c>
    </row>
    <row r="114" spans="2:6" hidden="1" x14ac:dyDescent="0.25">
      <c r="B114" s="127">
        <f t="shared" si="3"/>
        <v>41502</v>
      </c>
      <c r="D114" s="139">
        <v>0.16</v>
      </c>
      <c r="F114" s="135">
        <f t="shared" si="2"/>
        <v>370.37777799999998</v>
      </c>
    </row>
    <row r="115" spans="2:6" hidden="1" x14ac:dyDescent="0.25">
      <c r="B115" s="127">
        <f t="shared" si="3"/>
        <v>41503</v>
      </c>
      <c r="D115" s="139">
        <v>0.16</v>
      </c>
      <c r="F115" s="135">
        <f t="shared" si="2"/>
        <v>370.37777799999998</v>
      </c>
    </row>
    <row r="116" spans="2:6" hidden="1" x14ac:dyDescent="0.25">
      <c r="B116" s="127">
        <f t="shared" si="3"/>
        <v>41504</v>
      </c>
      <c r="D116" s="139">
        <v>0.16</v>
      </c>
      <c r="F116" s="135">
        <f t="shared" si="2"/>
        <v>370.37777799999998</v>
      </c>
    </row>
    <row r="117" spans="2:6" hidden="1" x14ac:dyDescent="0.25">
      <c r="B117" s="127">
        <f t="shared" si="3"/>
        <v>41505</v>
      </c>
      <c r="D117" s="139">
        <v>0.16</v>
      </c>
      <c r="F117" s="135">
        <f t="shared" ref="F117:F180" si="4">ROUND(D117/100*$A$3/360,6)</f>
        <v>370.37777799999998</v>
      </c>
    </row>
    <row r="118" spans="2:6" hidden="1" x14ac:dyDescent="0.25">
      <c r="B118" s="127">
        <f t="shared" si="3"/>
        <v>41506</v>
      </c>
      <c r="D118" s="139">
        <v>0.16</v>
      </c>
      <c r="F118" s="135">
        <f t="shared" si="4"/>
        <v>370.37777799999998</v>
      </c>
    </row>
    <row r="119" spans="2:6" hidden="1" x14ac:dyDescent="0.25">
      <c r="B119" s="127">
        <f t="shared" si="3"/>
        <v>41507</v>
      </c>
      <c r="D119" s="139">
        <v>0.14000000000000001</v>
      </c>
      <c r="F119" s="135">
        <f t="shared" si="4"/>
        <v>324.080556</v>
      </c>
    </row>
    <row r="120" spans="2:6" hidden="1" x14ac:dyDescent="0.25">
      <c r="B120" s="127">
        <f t="shared" si="3"/>
        <v>41508</v>
      </c>
      <c r="D120" s="139">
        <v>0.14000000000000001</v>
      </c>
      <c r="F120" s="135">
        <f t="shared" si="4"/>
        <v>324.080556</v>
      </c>
    </row>
    <row r="121" spans="2:6" hidden="1" x14ac:dyDescent="0.25">
      <c r="B121" s="127">
        <f t="shared" si="3"/>
        <v>41509</v>
      </c>
      <c r="D121" s="139">
        <v>0.14000000000000001</v>
      </c>
      <c r="F121" s="135">
        <f t="shared" si="4"/>
        <v>324.080556</v>
      </c>
    </row>
    <row r="122" spans="2:6" hidden="1" x14ac:dyDescent="0.25">
      <c r="B122" s="127">
        <f t="shared" si="3"/>
        <v>41510</v>
      </c>
      <c r="D122" s="139">
        <v>0.14000000000000001</v>
      </c>
      <c r="F122" s="135">
        <f t="shared" si="4"/>
        <v>324.080556</v>
      </c>
    </row>
    <row r="123" spans="2:6" hidden="1" x14ac:dyDescent="0.25">
      <c r="B123" s="127">
        <f t="shared" si="3"/>
        <v>41511</v>
      </c>
      <c r="D123" s="139">
        <v>0.14000000000000001</v>
      </c>
      <c r="F123" s="135">
        <f t="shared" si="4"/>
        <v>324.080556</v>
      </c>
    </row>
    <row r="124" spans="2:6" hidden="1" x14ac:dyDescent="0.25">
      <c r="B124" s="127">
        <f t="shared" si="3"/>
        <v>41512</v>
      </c>
      <c r="D124" s="139">
        <v>0.14000000000000001</v>
      </c>
      <c r="F124" s="135">
        <f t="shared" si="4"/>
        <v>324.080556</v>
      </c>
    </row>
    <row r="125" spans="2:6" hidden="1" x14ac:dyDescent="0.25">
      <c r="B125" s="127">
        <f t="shared" si="3"/>
        <v>41513</v>
      </c>
      <c r="D125" s="139">
        <v>0.14000000000000001</v>
      </c>
      <c r="F125" s="135">
        <f t="shared" si="4"/>
        <v>324.080556</v>
      </c>
    </row>
    <row r="126" spans="2:6" hidden="1" x14ac:dyDescent="0.25">
      <c r="B126" s="127">
        <f t="shared" si="3"/>
        <v>41514</v>
      </c>
      <c r="D126" s="139">
        <v>0.14000000000000001</v>
      </c>
      <c r="F126" s="135">
        <f t="shared" si="4"/>
        <v>324.080556</v>
      </c>
    </row>
    <row r="127" spans="2:6" hidden="1" x14ac:dyDescent="0.25">
      <c r="B127" s="127">
        <f t="shared" si="3"/>
        <v>41515</v>
      </c>
      <c r="D127" s="139">
        <v>0.14000000000000001</v>
      </c>
      <c r="F127" s="135">
        <f t="shared" si="4"/>
        <v>324.080556</v>
      </c>
    </row>
    <row r="128" spans="2:6" hidden="1" x14ac:dyDescent="0.25">
      <c r="B128" s="127">
        <f t="shared" si="3"/>
        <v>41516</v>
      </c>
      <c r="D128" s="139">
        <v>0.14000000000000001</v>
      </c>
      <c r="F128" s="135">
        <f t="shared" si="4"/>
        <v>324.080556</v>
      </c>
    </row>
    <row r="129" spans="1:11" hidden="1" x14ac:dyDescent="0.25">
      <c r="B129" s="127">
        <f t="shared" si="3"/>
        <v>41517</v>
      </c>
      <c r="D129" s="139">
        <v>0.14000000000000001</v>
      </c>
      <c r="F129" s="135">
        <f t="shared" si="4"/>
        <v>324.080556</v>
      </c>
      <c r="H129" s="136">
        <f>SUM(F99:F129)</f>
        <v>10972.441676000006</v>
      </c>
      <c r="I129" s="140">
        <f>AVERAGE(D99:D129)</f>
        <v>0.1529032258064516</v>
      </c>
      <c r="J129" s="141">
        <f>AVERAGE(D7:D129)</f>
        <v>0.13317073170731702</v>
      </c>
      <c r="K129" s="142">
        <f>AVERAGE(D7:D129)</f>
        <v>0.13317073170731702</v>
      </c>
    </row>
    <row r="130" spans="1:11" hidden="1" x14ac:dyDescent="0.25">
      <c r="A130" s="126">
        <v>41518</v>
      </c>
      <c r="B130" s="127">
        <f t="shared" si="3"/>
        <v>41518</v>
      </c>
      <c r="D130" s="139">
        <v>0.14000000000000001</v>
      </c>
      <c r="F130" s="135">
        <f t="shared" si="4"/>
        <v>324.080556</v>
      </c>
    </row>
    <row r="131" spans="1:11" hidden="1" x14ac:dyDescent="0.25">
      <c r="B131" s="127">
        <f t="shared" ref="B131:B190" si="5">B130+1</f>
        <v>41519</v>
      </c>
      <c r="D131" s="139">
        <v>0.14000000000000001</v>
      </c>
      <c r="F131" s="135">
        <f t="shared" si="4"/>
        <v>324.080556</v>
      </c>
    </row>
    <row r="132" spans="1:11" hidden="1" x14ac:dyDescent="0.25">
      <c r="B132" s="127">
        <f t="shared" si="5"/>
        <v>41520</v>
      </c>
      <c r="D132" s="139">
        <v>0.14000000000000001</v>
      </c>
      <c r="F132" s="135">
        <f t="shared" si="4"/>
        <v>324.080556</v>
      </c>
    </row>
    <row r="133" spans="1:11" hidden="1" x14ac:dyDescent="0.25">
      <c r="B133" s="127">
        <f t="shared" si="5"/>
        <v>41521</v>
      </c>
      <c r="D133" s="139">
        <v>0.14000000000000001</v>
      </c>
      <c r="F133" s="135">
        <f t="shared" si="4"/>
        <v>324.080556</v>
      </c>
    </row>
    <row r="134" spans="1:11" hidden="1" x14ac:dyDescent="0.25">
      <c r="B134" s="127">
        <f t="shared" si="5"/>
        <v>41522</v>
      </c>
      <c r="D134" s="139">
        <v>0.14000000000000001</v>
      </c>
      <c r="F134" s="135">
        <f t="shared" si="4"/>
        <v>324.080556</v>
      </c>
    </row>
    <row r="135" spans="1:11" hidden="1" x14ac:dyDescent="0.25">
      <c r="B135" s="127">
        <f t="shared" si="5"/>
        <v>41523</v>
      </c>
      <c r="D135" s="139">
        <v>0.14000000000000001</v>
      </c>
      <c r="F135" s="135">
        <f t="shared" si="4"/>
        <v>324.080556</v>
      </c>
    </row>
    <row r="136" spans="1:11" hidden="1" x14ac:dyDescent="0.25">
      <c r="B136" s="127">
        <f t="shared" si="5"/>
        <v>41524</v>
      </c>
      <c r="D136" s="139">
        <v>0.14000000000000001</v>
      </c>
      <c r="F136" s="135">
        <f t="shared" si="4"/>
        <v>324.080556</v>
      </c>
    </row>
    <row r="137" spans="1:11" hidden="1" x14ac:dyDescent="0.25">
      <c r="B137" s="127">
        <f t="shared" si="5"/>
        <v>41525</v>
      </c>
      <c r="D137" s="139">
        <v>0.14000000000000001</v>
      </c>
      <c r="F137" s="135">
        <f t="shared" si="4"/>
        <v>324.080556</v>
      </c>
    </row>
    <row r="138" spans="1:11" hidden="1" x14ac:dyDescent="0.25">
      <c r="B138" s="127">
        <f t="shared" si="5"/>
        <v>41526</v>
      </c>
      <c r="D138" s="139">
        <v>0.14000000000000001</v>
      </c>
      <c r="F138" s="135">
        <f t="shared" si="4"/>
        <v>324.080556</v>
      </c>
    </row>
    <row r="139" spans="1:11" hidden="1" x14ac:dyDescent="0.25">
      <c r="B139" s="127">
        <f t="shared" si="5"/>
        <v>41527</v>
      </c>
      <c r="D139" s="139">
        <v>0.14000000000000001</v>
      </c>
      <c r="F139" s="135">
        <f t="shared" si="4"/>
        <v>324.080556</v>
      </c>
    </row>
    <row r="140" spans="1:11" hidden="1" x14ac:dyDescent="0.25">
      <c r="B140" s="127">
        <f t="shared" si="5"/>
        <v>41528</v>
      </c>
      <c r="D140" s="139">
        <v>0.14000000000000001</v>
      </c>
      <c r="F140" s="135">
        <f t="shared" si="4"/>
        <v>324.080556</v>
      </c>
    </row>
    <row r="141" spans="1:11" hidden="1" x14ac:dyDescent="0.25">
      <c r="B141" s="127">
        <f t="shared" si="5"/>
        <v>41529</v>
      </c>
      <c r="D141" s="139">
        <v>0.14000000000000001</v>
      </c>
      <c r="F141" s="135">
        <f t="shared" si="4"/>
        <v>324.080556</v>
      </c>
    </row>
    <row r="142" spans="1:11" hidden="1" x14ac:dyDescent="0.25">
      <c r="B142" s="127">
        <f t="shared" si="5"/>
        <v>41530</v>
      </c>
      <c r="D142" s="139">
        <v>0.14000000000000001</v>
      </c>
      <c r="F142" s="135">
        <f t="shared" si="4"/>
        <v>324.080556</v>
      </c>
    </row>
    <row r="143" spans="1:11" hidden="1" x14ac:dyDescent="0.25">
      <c r="B143" s="127">
        <f t="shared" si="5"/>
        <v>41531</v>
      </c>
      <c r="D143" s="139">
        <v>0.14000000000000001</v>
      </c>
      <c r="F143" s="135">
        <f t="shared" si="4"/>
        <v>324.080556</v>
      </c>
    </row>
    <row r="144" spans="1:11" hidden="1" x14ac:dyDescent="0.25">
      <c r="B144" s="127">
        <f t="shared" si="5"/>
        <v>41532</v>
      </c>
      <c r="D144" s="139">
        <v>0.14000000000000001</v>
      </c>
      <c r="F144" s="135">
        <f t="shared" si="4"/>
        <v>324.080556</v>
      </c>
    </row>
    <row r="145" spans="1:11" hidden="1" x14ac:dyDescent="0.25">
      <c r="B145" s="127">
        <f t="shared" si="5"/>
        <v>41533</v>
      </c>
      <c r="D145" s="139">
        <v>0.14000000000000001</v>
      </c>
      <c r="F145" s="135">
        <f t="shared" si="4"/>
        <v>324.080556</v>
      </c>
    </row>
    <row r="146" spans="1:11" hidden="1" x14ac:dyDescent="0.25">
      <c r="B146" s="127">
        <f t="shared" si="5"/>
        <v>41534</v>
      </c>
      <c r="D146" s="139">
        <v>0.14000000000000001</v>
      </c>
      <c r="F146" s="135">
        <f t="shared" si="4"/>
        <v>324.080556</v>
      </c>
    </row>
    <row r="147" spans="1:11" hidden="1" x14ac:dyDescent="0.25">
      <c r="B147" s="127">
        <f t="shared" si="5"/>
        <v>41535</v>
      </c>
      <c r="D147" s="139">
        <v>0.14000000000000001</v>
      </c>
      <c r="F147" s="135">
        <f t="shared" si="4"/>
        <v>324.080556</v>
      </c>
    </row>
    <row r="148" spans="1:11" hidden="1" x14ac:dyDescent="0.25">
      <c r="B148" s="127">
        <f t="shared" si="5"/>
        <v>41536</v>
      </c>
      <c r="D148" s="139">
        <v>0.14000000000000001</v>
      </c>
      <c r="F148" s="135">
        <f t="shared" si="4"/>
        <v>324.080556</v>
      </c>
    </row>
    <row r="149" spans="1:11" hidden="1" x14ac:dyDescent="0.25">
      <c r="B149" s="127">
        <f t="shared" si="5"/>
        <v>41537</v>
      </c>
      <c r="D149" s="139">
        <v>0.14000000000000001</v>
      </c>
      <c r="F149" s="135">
        <f t="shared" si="4"/>
        <v>324.080556</v>
      </c>
    </row>
    <row r="150" spans="1:11" hidden="1" x14ac:dyDescent="0.25">
      <c r="B150" s="127">
        <f t="shared" si="5"/>
        <v>41538</v>
      </c>
      <c r="D150" s="139">
        <v>0.14000000000000001</v>
      </c>
      <c r="F150" s="135">
        <f t="shared" si="4"/>
        <v>324.080556</v>
      </c>
    </row>
    <row r="151" spans="1:11" hidden="1" x14ac:dyDescent="0.25">
      <c r="B151" s="127">
        <f t="shared" si="5"/>
        <v>41539</v>
      </c>
      <c r="D151" s="139">
        <v>0.14000000000000001</v>
      </c>
      <c r="F151" s="135">
        <f t="shared" si="4"/>
        <v>324.080556</v>
      </c>
    </row>
    <row r="152" spans="1:11" hidden="1" x14ac:dyDescent="0.25">
      <c r="B152" s="127">
        <f t="shared" si="5"/>
        <v>41540</v>
      </c>
      <c r="D152" s="139">
        <v>0.14000000000000001</v>
      </c>
      <c r="F152" s="135">
        <f t="shared" si="4"/>
        <v>324.080556</v>
      </c>
    </row>
    <row r="153" spans="1:11" hidden="1" x14ac:dyDescent="0.25">
      <c r="B153" s="127">
        <f t="shared" si="5"/>
        <v>41541</v>
      </c>
      <c r="D153" s="139">
        <v>0.14000000000000001</v>
      </c>
      <c r="F153" s="135">
        <f t="shared" si="4"/>
        <v>324.080556</v>
      </c>
    </row>
    <row r="154" spans="1:11" hidden="1" x14ac:dyDescent="0.25">
      <c r="B154" s="127">
        <f t="shared" si="5"/>
        <v>41542</v>
      </c>
      <c r="D154" s="139">
        <v>0.16</v>
      </c>
      <c r="F154" s="135">
        <f t="shared" si="4"/>
        <v>370.37777799999998</v>
      </c>
    </row>
    <row r="155" spans="1:11" hidden="1" x14ac:dyDescent="0.25">
      <c r="B155" s="127">
        <f t="shared" si="5"/>
        <v>41543</v>
      </c>
      <c r="D155" s="139">
        <v>0.16</v>
      </c>
      <c r="F155" s="135">
        <f t="shared" si="4"/>
        <v>370.37777799999998</v>
      </c>
    </row>
    <row r="156" spans="1:11" hidden="1" x14ac:dyDescent="0.25">
      <c r="B156" s="127">
        <f t="shared" si="5"/>
        <v>41544</v>
      </c>
      <c r="D156" s="139">
        <v>0.16</v>
      </c>
      <c r="F156" s="135">
        <f t="shared" si="4"/>
        <v>370.37777799999998</v>
      </c>
    </row>
    <row r="157" spans="1:11" hidden="1" x14ac:dyDescent="0.25">
      <c r="B157" s="127">
        <f t="shared" si="5"/>
        <v>41545</v>
      </c>
      <c r="D157" s="139">
        <v>0.16</v>
      </c>
      <c r="F157" s="135">
        <f t="shared" si="4"/>
        <v>370.37777799999998</v>
      </c>
    </row>
    <row r="158" spans="1:11" hidden="1" x14ac:dyDescent="0.25">
      <c r="B158" s="127">
        <f t="shared" si="5"/>
        <v>41546</v>
      </c>
      <c r="D158" s="139">
        <v>0.16</v>
      </c>
      <c r="F158" s="135">
        <f t="shared" si="4"/>
        <v>370.37777799999998</v>
      </c>
    </row>
    <row r="159" spans="1:11" hidden="1" x14ac:dyDescent="0.25">
      <c r="B159" s="127">
        <f t="shared" si="5"/>
        <v>41547</v>
      </c>
      <c r="D159" s="139">
        <v>0.16</v>
      </c>
      <c r="F159" s="135">
        <f t="shared" si="4"/>
        <v>370.37777799999998</v>
      </c>
      <c r="H159" s="136">
        <f>SUM(F130:F159)</f>
        <v>10000.200011999998</v>
      </c>
      <c r="I159" s="140">
        <f>AVERAGE(D130:D159)</f>
        <v>0.1440000000000001</v>
      </c>
      <c r="J159" s="141">
        <f>AVERAGE(D7:D159)</f>
        <v>0.1352941176470589</v>
      </c>
      <c r="K159" s="142">
        <f>AVERAGE(D7:D159)</f>
        <v>0.1352941176470589</v>
      </c>
    </row>
    <row r="160" spans="1:11" x14ac:dyDescent="0.25">
      <c r="A160" s="126">
        <v>41548</v>
      </c>
      <c r="B160" s="127">
        <f t="shared" si="5"/>
        <v>41548</v>
      </c>
      <c r="D160" s="139">
        <v>0.16</v>
      </c>
      <c r="F160" s="135">
        <f t="shared" si="4"/>
        <v>370.37777799999998</v>
      </c>
    </row>
    <row r="161" spans="2:6" x14ac:dyDescent="0.25">
      <c r="B161" s="127">
        <f t="shared" si="5"/>
        <v>41549</v>
      </c>
      <c r="D161" s="139">
        <v>0.16</v>
      </c>
      <c r="F161" s="135">
        <f t="shared" si="4"/>
        <v>370.37777799999998</v>
      </c>
    </row>
    <row r="162" spans="2:6" x14ac:dyDescent="0.25">
      <c r="B162" s="127">
        <f t="shared" si="5"/>
        <v>41550</v>
      </c>
      <c r="D162" s="139">
        <v>0.16</v>
      </c>
      <c r="F162" s="135">
        <f t="shared" si="4"/>
        <v>370.37777799999998</v>
      </c>
    </row>
    <row r="163" spans="2:6" x14ac:dyDescent="0.25">
      <c r="B163" s="127">
        <f t="shared" si="5"/>
        <v>41551</v>
      </c>
      <c r="D163" s="139">
        <v>0.16</v>
      </c>
      <c r="F163" s="135">
        <f t="shared" si="4"/>
        <v>370.37777799999998</v>
      </c>
    </row>
    <row r="164" spans="2:6" x14ac:dyDescent="0.25">
      <c r="B164" s="127">
        <f t="shared" si="5"/>
        <v>41552</v>
      </c>
      <c r="D164" s="139">
        <v>0.16</v>
      </c>
      <c r="F164" s="135">
        <f t="shared" si="4"/>
        <v>370.37777799999998</v>
      </c>
    </row>
    <row r="165" spans="2:6" x14ac:dyDescent="0.25">
      <c r="B165" s="127">
        <f t="shared" si="5"/>
        <v>41553</v>
      </c>
      <c r="D165" s="139">
        <v>0.16</v>
      </c>
      <c r="F165" s="135">
        <f t="shared" si="4"/>
        <v>370.37777799999998</v>
      </c>
    </row>
    <row r="166" spans="2:6" x14ac:dyDescent="0.25">
      <c r="B166" s="127">
        <f t="shared" si="5"/>
        <v>41554</v>
      </c>
      <c r="D166" s="139">
        <v>0.16</v>
      </c>
      <c r="F166" s="135">
        <f t="shared" si="4"/>
        <v>370.37777799999998</v>
      </c>
    </row>
    <row r="167" spans="2:6" x14ac:dyDescent="0.25">
      <c r="B167" s="127">
        <f t="shared" si="5"/>
        <v>41555</v>
      </c>
      <c r="D167" s="139">
        <v>0.16</v>
      </c>
      <c r="F167" s="135">
        <f t="shared" si="4"/>
        <v>370.37777799999998</v>
      </c>
    </row>
    <row r="168" spans="2:6" x14ac:dyDescent="0.25">
      <c r="B168" s="127">
        <f t="shared" si="5"/>
        <v>41556</v>
      </c>
      <c r="D168" s="139">
        <v>0.16</v>
      </c>
      <c r="F168" s="135">
        <f t="shared" si="4"/>
        <v>370.37777799999998</v>
      </c>
    </row>
    <row r="169" spans="2:6" x14ac:dyDescent="0.25">
      <c r="B169" s="127">
        <f t="shared" si="5"/>
        <v>41557</v>
      </c>
      <c r="D169" s="139">
        <v>0.16</v>
      </c>
      <c r="F169" s="135">
        <f t="shared" si="4"/>
        <v>370.37777799999998</v>
      </c>
    </row>
    <row r="170" spans="2:6" x14ac:dyDescent="0.25">
      <c r="B170" s="127">
        <f t="shared" si="5"/>
        <v>41558</v>
      </c>
      <c r="D170" s="139">
        <v>0.16</v>
      </c>
      <c r="F170" s="135">
        <f t="shared" si="4"/>
        <v>370.37777799999998</v>
      </c>
    </row>
    <row r="171" spans="2:6" x14ac:dyDescent="0.25">
      <c r="B171" s="127">
        <f t="shared" si="5"/>
        <v>41559</v>
      </c>
      <c r="D171" s="139">
        <v>0.16</v>
      </c>
      <c r="F171" s="135">
        <f t="shared" si="4"/>
        <v>370.37777799999998</v>
      </c>
    </row>
    <row r="172" spans="2:6" x14ac:dyDescent="0.25">
      <c r="B172" s="127">
        <f t="shared" si="5"/>
        <v>41560</v>
      </c>
      <c r="D172" s="139">
        <v>0.16</v>
      </c>
      <c r="F172" s="135">
        <f t="shared" si="4"/>
        <v>370.37777799999998</v>
      </c>
    </row>
    <row r="173" spans="2:6" x14ac:dyDescent="0.25">
      <c r="B173" s="127">
        <f t="shared" si="5"/>
        <v>41561</v>
      </c>
      <c r="D173" s="139">
        <v>0.16</v>
      </c>
      <c r="F173" s="135">
        <f t="shared" si="4"/>
        <v>370.37777799999998</v>
      </c>
    </row>
    <row r="174" spans="2:6" x14ac:dyDescent="0.25">
      <c r="B174" s="127">
        <f t="shared" si="5"/>
        <v>41562</v>
      </c>
      <c r="D174" s="139">
        <v>0.16</v>
      </c>
      <c r="F174" s="135">
        <f t="shared" si="4"/>
        <v>370.37777799999998</v>
      </c>
    </row>
    <row r="175" spans="2:6" x14ac:dyDescent="0.25">
      <c r="B175" s="127">
        <f t="shared" si="5"/>
        <v>41563</v>
      </c>
      <c r="D175" s="139">
        <v>0.16</v>
      </c>
      <c r="F175" s="135">
        <f t="shared" si="4"/>
        <v>370.37777799999998</v>
      </c>
    </row>
    <row r="176" spans="2:6" x14ac:dyDescent="0.25">
      <c r="B176" s="127">
        <f t="shared" si="5"/>
        <v>41564</v>
      </c>
      <c r="D176" s="139">
        <v>0.16</v>
      </c>
      <c r="F176" s="135">
        <f t="shared" si="4"/>
        <v>370.37777799999998</v>
      </c>
    </row>
    <row r="177" spans="2:11" x14ac:dyDescent="0.25">
      <c r="B177" s="127">
        <f t="shared" si="5"/>
        <v>41565</v>
      </c>
      <c r="D177" s="139">
        <v>0.16</v>
      </c>
      <c r="F177" s="135">
        <f t="shared" si="4"/>
        <v>370.37777799999998</v>
      </c>
    </row>
    <row r="178" spans="2:11" x14ac:dyDescent="0.25">
      <c r="B178" s="127">
        <f t="shared" si="5"/>
        <v>41566</v>
      </c>
      <c r="D178" s="139">
        <v>0.16</v>
      </c>
      <c r="F178" s="135">
        <f t="shared" si="4"/>
        <v>370.37777799999998</v>
      </c>
    </row>
    <row r="179" spans="2:11" x14ac:dyDescent="0.25">
      <c r="B179" s="127">
        <f t="shared" si="5"/>
        <v>41567</v>
      </c>
      <c r="D179" s="139">
        <v>0.16</v>
      </c>
      <c r="F179" s="135">
        <f t="shared" si="4"/>
        <v>370.37777799999998</v>
      </c>
    </row>
    <row r="180" spans="2:11" x14ac:dyDescent="0.25">
      <c r="B180" s="127">
        <f t="shared" si="5"/>
        <v>41568</v>
      </c>
      <c r="D180" s="139">
        <v>0.16</v>
      </c>
      <c r="F180" s="135">
        <f t="shared" si="4"/>
        <v>370.37777799999998</v>
      </c>
    </row>
    <row r="181" spans="2:11" x14ac:dyDescent="0.25">
      <c r="B181" s="127">
        <f t="shared" si="5"/>
        <v>41569</v>
      </c>
      <c r="D181" s="139">
        <v>0.16</v>
      </c>
      <c r="F181" s="135">
        <f t="shared" ref="F181:F190" si="6">ROUND(D181/100*$A$3/360,6)</f>
        <v>370.37777799999998</v>
      </c>
    </row>
    <row r="182" spans="2:11" x14ac:dyDescent="0.25">
      <c r="B182" s="127">
        <f t="shared" si="5"/>
        <v>41570</v>
      </c>
      <c r="D182" s="139">
        <v>0.16</v>
      </c>
      <c r="F182" s="135">
        <f t="shared" si="6"/>
        <v>370.37777799999998</v>
      </c>
    </row>
    <row r="183" spans="2:11" x14ac:dyDescent="0.25">
      <c r="B183" s="127">
        <f t="shared" si="5"/>
        <v>41571</v>
      </c>
      <c r="D183" s="139">
        <v>0.16</v>
      </c>
      <c r="F183" s="135">
        <f t="shared" si="6"/>
        <v>370.37777799999998</v>
      </c>
    </row>
    <row r="184" spans="2:11" x14ac:dyDescent="0.25">
      <c r="B184" s="127">
        <f t="shared" si="5"/>
        <v>41572</v>
      </c>
      <c r="D184" s="139">
        <v>0.16</v>
      </c>
      <c r="F184" s="135">
        <f t="shared" si="6"/>
        <v>370.37777799999998</v>
      </c>
    </row>
    <row r="185" spans="2:11" x14ac:dyDescent="0.25">
      <c r="B185" s="127">
        <f t="shared" si="5"/>
        <v>41573</v>
      </c>
      <c r="D185" s="139">
        <v>0.16</v>
      </c>
      <c r="F185" s="135">
        <f t="shared" si="6"/>
        <v>370.37777799999998</v>
      </c>
    </row>
    <row r="186" spans="2:11" x14ac:dyDescent="0.25">
      <c r="B186" s="127">
        <f t="shared" si="5"/>
        <v>41574</v>
      </c>
      <c r="D186" s="139">
        <v>0.16</v>
      </c>
      <c r="F186" s="135">
        <f t="shared" si="6"/>
        <v>370.37777799999998</v>
      </c>
    </row>
    <row r="187" spans="2:11" x14ac:dyDescent="0.25">
      <c r="B187" s="127">
        <f t="shared" si="5"/>
        <v>41575</v>
      </c>
      <c r="D187" s="139">
        <v>0.16</v>
      </c>
      <c r="F187" s="135">
        <f t="shared" si="6"/>
        <v>370.37777799999998</v>
      </c>
    </row>
    <row r="188" spans="2:11" x14ac:dyDescent="0.25">
      <c r="B188" s="127">
        <f t="shared" si="5"/>
        <v>41576</v>
      </c>
      <c r="D188" s="139">
        <v>0.16</v>
      </c>
      <c r="F188" s="135">
        <f t="shared" si="6"/>
        <v>370.37777799999998</v>
      </c>
    </row>
    <row r="189" spans="2:11" x14ac:dyDescent="0.25">
      <c r="B189" s="127">
        <f t="shared" si="5"/>
        <v>41577</v>
      </c>
      <c r="D189" s="139">
        <v>0.12</v>
      </c>
      <c r="F189" s="135">
        <f t="shared" si="6"/>
        <v>277.78333300000003</v>
      </c>
    </row>
    <row r="190" spans="2:11" x14ac:dyDescent="0.25">
      <c r="B190" s="127">
        <f t="shared" si="5"/>
        <v>41578</v>
      </c>
      <c r="D190" s="139">
        <v>0.12</v>
      </c>
      <c r="F190" s="135">
        <f t="shared" si="6"/>
        <v>277.78333300000003</v>
      </c>
      <c r="H190" s="136">
        <f>SUM(F160:F190)</f>
        <v>11296.522227999998</v>
      </c>
      <c r="I190" s="140">
        <f>AVERAGE(D160:D190)</f>
        <v>0.15741935483870972</v>
      </c>
      <c r="J190" s="141">
        <f>AVERAGE(D7:D190)</f>
        <v>0.13902173913043486</v>
      </c>
      <c r="K190" s="142">
        <f>AVERAGE(D7:D190)</f>
        <v>0.13902173913043486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>
    <pageSetUpPr fitToPage="1"/>
  </sheetPr>
  <dimension ref="A1:N190"/>
  <sheetViews>
    <sheetView zoomScaleNormal="100" workbookViewId="0">
      <pane ySplit="5" topLeftCell="A6" activePane="bottomLeft" state="frozen"/>
      <selection activeCell="M22" sqref="M22"/>
      <selection pane="bottomLeft" activeCell="A191" sqref="A191:XFD665"/>
    </sheetView>
  </sheetViews>
  <sheetFormatPr defaultRowHeight="15" x14ac:dyDescent="0.25"/>
  <cols>
    <col min="1" max="1" width="8.5703125" style="126" customWidth="1"/>
    <col min="2" max="2" width="9.7109375" style="151" bestFit="1" customWidth="1"/>
    <col min="3" max="3" width="5.7109375" style="125" customWidth="1"/>
    <col min="4" max="4" width="10.7109375" style="125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53" customWidth="1"/>
    <col min="9" max="9" width="11.7109375" style="137" customWidth="1"/>
    <col min="10" max="10" width="11.7109375" style="138" customWidth="1"/>
    <col min="11" max="11" width="9.5703125" style="124" bestFit="1" customWidth="1"/>
    <col min="12" max="16384" width="9.140625" style="125"/>
  </cols>
  <sheetData>
    <row r="1" spans="1:14" ht="12.75" x14ac:dyDescent="0.2">
      <c r="A1" s="636" t="s">
        <v>138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133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10104000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237131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1.75" x14ac:dyDescent="0.25">
      <c r="B5" s="127"/>
      <c r="D5" s="128"/>
      <c r="H5" s="152" t="s">
        <v>134</v>
      </c>
      <c r="I5" s="130" t="s">
        <v>135</v>
      </c>
      <c r="J5" s="131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52"/>
      <c r="I6" s="130"/>
      <c r="J6" s="131"/>
      <c r="K6" s="134"/>
      <c r="L6" s="133"/>
      <c r="M6" s="133"/>
      <c r="N6" s="133"/>
    </row>
    <row r="7" spans="1:14" hidden="1" x14ac:dyDescent="0.25">
      <c r="A7" s="126">
        <v>41395</v>
      </c>
      <c r="B7" s="127">
        <v>41395</v>
      </c>
      <c r="D7" s="128">
        <v>2.3E-2</v>
      </c>
      <c r="F7" s="135">
        <f t="shared" ref="F7:F52" si="0">ROUND(D7/100*$A$3/360,6)</f>
        <v>6.4553330000000004</v>
      </c>
    </row>
    <row r="8" spans="1:14" hidden="1" x14ac:dyDescent="0.25">
      <c r="B8" s="127">
        <f t="shared" ref="B8:B66" si="1">B7+1</f>
        <v>41396</v>
      </c>
      <c r="D8" s="128">
        <v>2.3E-2</v>
      </c>
      <c r="F8" s="135">
        <f t="shared" si="0"/>
        <v>6.4553330000000004</v>
      </c>
    </row>
    <row r="9" spans="1:14" hidden="1" x14ac:dyDescent="0.25">
      <c r="B9" s="127">
        <f t="shared" si="1"/>
        <v>41397</v>
      </c>
      <c r="D9" s="128">
        <v>2.3E-2</v>
      </c>
      <c r="F9" s="135">
        <f t="shared" si="0"/>
        <v>6.4553330000000004</v>
      </c>
    </row>
    <row r="10" spans="1:14" hidden="1" x14ac:dyDescent="0.25">
      <c r="B10" s="127">
        <f t="shared" si="1"/>
        <v>41398</v>
      </c>
      <c r="D10" s="128">
        <v>2.3E-2</v>
      </c>
      <c r="F10" s="135">
        <f t="shared" si="0"/>
        <v>6.4553330000000004</v>
      </c>
    </row>
    <row r="11" spans="1:14" hidden="1" x14ac:dyDescent="0.25">
      <c r="B11" s="127">
        <f t="shared" si="1"/>
        <v>41399</v>
      </c>
      <c r="D11" s="128">
        <v>2.3E-2</v>
      </c>
      <c r="F11" s="135">
        <f t="shared" si="0"/>
        <v>6.4553330000000004</v>
      </c>
    </row>
    <row r="12" spans="1:14" hidden="1" x14ac:dyDescent="0.25">
      <c r="B12" s="127">
        <f t="shared" si="1"/>
        <v>41400</v>
      </c>
      <c r="D12" s="128">
        <v>2.3E-2</v>
      </c>
      <c r="F12" s="135">
        <f t="shared" si="0"/>
        <v>6.4553330000000004</v>
      </c>
    </row>
    <row r="13" spans="1:14" hidden="1" x14ac:dyDescent="0.25">
      <c r="B13" s="127">
        <f t="shared" si="1"/>
        <v>41401</v>
      </c>
      <c r="D13" s="128">
        <v>0.14000000000000001</v>
      </c>
      <c r="F13" s="135">
        <f t="shared" si="0"/>
        <v>39.293332999999997</v>
      </c>
    </row>
    <row r="14" spans="1:14" hidden="1" x14ac:dyDescent="0.25">
      <c r="B14" s="127">
        <f t="shared" si="1"/>
        <v>41402</v>
      </c>
      <c r="D14" s="128">
        <v>0.14000000000000001</v>
      </c>
      <c r="F14" s="135">
        <f t="shared" si="0"/>
        <v>39.293332999999997</v>
      </c>
    </row>
    <row r="15" spans="1:14" hidden="1" x14ac:dyDescent="0.25">
      <c r="B15" s="127">
        <f t="shared" si="1"/>
        <v>41403</v>
      </c>
      <c r="D15" s="128">
        <v>0.14000000000000001</v>
      </c>
      <c r="F15" s="135">
        <f t="shared" si="0"/>
        <v>39.293332999999997</v>
      </c>
    </row>
    <row r="16" spans="1:14" hidden="1" x14ac:dyDescent="0.25">
      <c r="B16" s="127">
        <f t="shared" si="1"/>
        <v>41404</v>
      </c>
      <c r="D16" s="128">
        <v>0.14000000000000001</v>
      </c>
      <c r="F16" s="135">
        <f t="shared" si="0"/>
        <v>39.293332999999997</v>
      </c>
    </row>
    <row r="17" spans="2:6" hidden="1" x14ac:dyDescent="0.25">
      <c r="B17" s="127">
        <f t="shared" si="1"/>
        <v>41405</v>
      </c>
      <c r="D17" s="128">
        <v>0.14000000000000001</v>
      </c>
      <c r="F17" s="135">
        <f t="shared" si="0"/>
        <v>39.293332999999997</v>
      </c>
    </row>
    <row r="18" spans="2:6" hidden="1" x14ac:dyDescent="0.25">
      <c r="B18" s="127">
        <f t="shared" si="1"/>
        <v>41406</v>
      </c>
      <c r="D18" s="128">
        <v>0.14000000000000001</v>
      </c>
      <c r="F18" s="135">
        <f t="shared" si="0"/>
        <v>39.293332999999997</v>
      </c>
    </row>
    <row r="19" spans="2:6" hidden="1" x14ac:dyDescent="0.25">
      <c r="B19" s="127">
        <f t="shared" si="1"/>
        <v>41407</v>
      </c>
      <c r="D19" s="128">
        <v>0.14000000000000001</v>
      </c>
      <c r="F19" s="135">
        <f t="shared" si="0"/>
        <v>39.293332999999997</v>
      </c>
    </row>
    <row r="20" spans="2:6" hidden="1" x14ac:dyDescent="0.25">
      <c r="B20" s="127">
        <f t="shared" si="1"/>
        <v>41408</v>
      </c>
      <c r="D20" s="139">
        <v>0.08</v>
      </c>
      <c r="F20" s="135">
        <f t="shared" si="0"/>
        <v>22.453333000000001</v>
      </c>
    </row>
    <row r="21" spans="2:6" hidden="1" x14ac:dyDescent="0.25">
      <c r="B21" s="127">
        <f t="shared" si="1"/>
        <v>41409</v>
      </c>
      <c r="D21" s="139">
        <v>0.08</v>
      </c>
      <c r="F21" s="135">
        <f t="shared" si="0"/>
        <v>22.453333000000001</v>
      </c>
    </row>
    <row r="22" spans="2:6" hidden="1" x14ac:dyDescent="0.25">
      <c r="B22" s="127">
        <f t="shared" si="1"/>
        <v>41410</v>
      </c>
      <c r="D22" s="139">
        <v>0.08</v>
      </c>
      <c r="F22" s="135">
        <f t="shared" si="0"/>
        <v>22.453333000000001</v>
      </c>
    </row>
    <row r="23" spans="2:6" hidden="1" x14ac:dyDescent="0.25">
      <c r="B23" s="127">
        <f t="shared" si="1"/>
        <v>41411</v>
      </c>
      <c r="D23" s="139">
        <v>0.08</v>
      </c>
      <c r="F23" s="135">
        <f t="shared" si="0"/>
        <v>22.453333000000001</v>
      </c>
    </row>
    <row r="24" spans="2:6" hidden="1" x14ac:dyDescent="0.25">
      <c r="B24" s="127">
        <f t="shared" si="1"/>
        <v>41412</v>
      </c>
      <c r="D24" s="139">
        <v>0.08</v>
      </c>
      <c r="F24" s="135">
        <f t="shared" si="0"/>
        <v>22.453333000000001</v>
      </c>
    </row>
    <row r="25" spans="2:6" hidden="1" x14ac:dyDescent="0.25">
      <c r="B25" s="127">
        <f t="shared" si="1"/>
        <v>41413</v>
      </c>
      <c r="D25" s="139">
        <v>0.08</v>
      </c>
      <c r="F25" s="135">
        <f t="shared" si="0"/>
        <v>22.453333000000001</v>
      </c>
    </row>
    <row r="26" spans="2:6" hidden="1" x14ac:dyDescent="0.25">
      <c r="B26" s="127">
        <f t="shared" si="1"/>
        <v>41414</v>
      </c>
      <c r="D26" s="139">
        <v>0.08</v>
      </c>
      <c r="F26" s="135">
        <f t="shared" si="0"/>
        <v>22.453333000000001</v>
      </c>
    </row>
    <row r="27" spans="2:6" hidden="1" x14ac:dyDescent="0.25">
      <c r="B27" s="127">
        <f t="shared" si="1"/>
        <v>41415</v>
      </c>
      <c r="D27" s="139">
        <v>0.06</v>
      </c>
      <c r="F27" s="135">
        <f t="shared" si="0"/>
        <v>16.84</v>
      </c>
    </row>
    <row r="28" spans="2:6" hidden="1" x14ac:dyDescent="0.25">
      <c r="B28" s="127">
        <f t="shared" si="1"/>
        <v>41416</v>
      </c>
      <c r="D28" s="139">
        <v>0.06</v>
      </c>
      <c r="F28" s="135">
        <f t="shared" si="0"/>
        <v>16.84</v>
      </c>
    </row>
    <row r="29" spans="2:6" hidden="1" x14ac:dyDescent="0.25">
      <c r="B29" s="127">
        <f t="shared" si="1"/>
        <v>41417</v>
      </c>
      <c r="D29" s="139">
        <v>0.06</v>
      </c>
      <c r="F29" s="135">
        <f t="shared" si="0"/>
        <v>16.84</v>
      </c>
    </row>
    <row r="30" spans="2:6" hidden="1" x14ac:dyDescent="0.25">
      <c r="B30" s="127">
        <f t="shared" si="1"/>
        <v>41418</v>
      </c>
      <c r="D30" s="139">
        <v>0.06</v>
      </c>
      <c r="F30" s="135">
        <f t="shared" si="0"/>
        <v>16.84</v>
      </c>
    </row>
    <row r="31" spans="2:6" hidden="1" x14ac:dyDescent="0.25">
      <c r="B31" s="127">
        <f t="shared" si="1"/>
        <v>41419</v>
      </c>
      <c r="D31" s="139">
        <v>0.06</v>
      </c>
      <c r="F31" s="135">
        <f t="shared" si="0"/>
        <v>16.84</v>
      </c>
    </row>
    <row r="32" spans="2:6" hidden="1" x14ac:dyDescent="0.25">
      <c r="B32" s="127">
        <f t="shared" si="1"/>
        <v>41420</v>
      </c>
      <c r="D32" s="139">
        <v>0.06</v>
      </c>
      <c r="F32" s="135">
        <f t="shared" si="0"/>
        <v>16.84</v>
      </c>
    </row>
    <row r="33" spans="1:11" hidden="1" x14ac:dyDescent="0.25">
      <c r="B33" s="127">
        <f t="shared" si="1"/>
        <v>41421</v>
      </c>
      <c r="D33" s="139">
        <v>0.06</v>
      </c>
      <c r="F33" s="135">
        <f t="shared" si="0"/>
        <v>16.84</v>
      </c>
    </row>
    <row r="34" spans="1:11" hidden="1" x14ac:dyDescent="0.25">
      <c r="B34" s="127">
        <f t="shared" si="1"/>
        <v>41422</v>
      </c>
      <c r="D34" s="139">
        <v>0.06</v>
      </c>
      <c r="F34" s="135">
        <f t="shared" si="0"/>
        <v>16.84</v>
      </c>
    </row>
    <row r="35" spans="1:11" hidden="1" x14ac:dyDescent="0.25">
      <c r="B35" s="127">
        <f t="shared" si="1"/>
        <v>41423</v>
      </c>
      <c r="D35" s="139">
        <v>0.08</v>
      </c>
      <c r="F35" s="135">
        <f t="shared" si="0"/>
        <v>22.453333000000001</v>
      </c>
    </row>
    <row r="36" spans="1:11" hidden="1" x14ac:dyDescent="0.25">
      <c r="B36" s="127">
        <f t="shared" si="1"/>
        <v>41424</v>
      </c>
      <c r="D36" s="139">
        <v>0.08</v>
      </c>
      <c r="F36" s="135">
        <f t="shared" si="0"/>
        <v>22.453333000000001</v>
      </c>
    </row>
    <row r="37" spans="1:11" hidden="1" x14ac:dyDescent="0.25">
      <c r="B37" s="127">
        <f t="shared" si="1"/>
        <v>41425</v>
      </c>
      <c r="D37" s="139">
        <v>0.08</v>
      </c>
      <c r="F37" s="135">
        <f t="shared" si="0"/>
        <v>22.453333000000001</v>
      </c>
      <c r="H37" s="136">
        <f>SUM(F7:F37)</f>
        <v>673.03865900000017</v>
      </c>
      <c r="I37" s="155">
        <f>AVERAGE(D7:D37)</f>
        <v>7.7354838709677451E-2</v>
      </c>
      <c r="J37" s="156">
        <f>AVERAGE(D7:D37)</f>
        <v>7.7354838709677451E-2</v>
      </c>
      <c r="K37" s="154">
        <f>AVERAGE(D7:D37)</f>
        <v>7.7354838709677451E-2</v>
      </c>
    </row>
    <row r="38" spans="1:11" hidden="1" x14ac:dyDescent="0.25">
      <c r="A38" s="126">
        <v>41426</v>
      </c>
      <c r="B38" s="127">
        <f t="shared" si="1"/>
        <v>41426</v>
      </c>
      <c r="D38" s="139">
        <v>0.08</v>
      </c>
      <c r="F38" s="135">
        <f t="shared" si="0"/>
        <v>22.453333000000001</v>
      </c>
    </row>
    <row r="39" spans="1:11" hidden="1" x14ac:dyDescent="0.25">
      <c r="B39" s="127">
        <f t="shared" si="1"/>
        <v>41427</v>
      </c>
      <c r="D39" s="139">
        <v>0.08</v>
      </c>
      <c r="F39" s="135">
        <f t="shared" si="0"/>
        <v>22.453333000000001</v>
      </c>
    </row>
    <row r="40" spans="1:11" hidden="1" x14ac:dyDescent="0.25">
      <c r="B40" s="127">
        <f t="shared" si="1"/>
        <v>41428</v>
      </c>
      <c r="D40" s="139">
        <v>0.08</v>
      </c>
      <c r="F40" s="135">
        <f t="shared" si="0"/>
        <v>22.453333000000001</v>
      </c>
    </row>
    <row r="41" spans="1:11" hidden="1" x14ac:dyDescent="0.25">
      <c r="B41" s="127">
        <f t="shared" si="1"/>
        <v>41429</v>
      </c>
      <c r="D41" s="139">
        <v>0.08</v>
      </c>
      <c r="F41" s="135">
        <f t="shared" si="0"/>
        <v>22.453333000000001</v>
      </c>
    </row>
    <row r="42" spans="1:11" hidden="1" x14ac:dyDescent="0.25">
      <c r="B42" s="127">
        <f t="shared" si="1"/>
        <v>41430</v>
      </c>
      <c r="D42" s="139">
        <v>0.08</v>
      </c>
      <c r="F42" s="135">
        <f t="shared" si="0"/>
        <v>22.453333000000001</v>
      </c>
    </row>
    <row r="43" spans="1:11" hidden="1" x14ac:dyDescent="0.25">
      <c r="B43" s="127">
        <f t="shared" si="1"/>
        <v>41431</v>
      </c>
      <c r="D43" s="139">
        <v>0.08</v>
      </c>
      <c r="F43" s="135">
        <f t="shared" si="0"/>
        <v>22.453333000000001</v>
      </c>
    </row>
    <row r="44" spans="1:11" hidden="1" x14ac:dyDescent="0.25">
      <c r="B44" s="127">
        <f t="shared" si="1"/>
        <v>41432</v>
      </c>
      <c r="D44" s="139">
        <v>0.08</v>
      </c>
      <c r="F44" s="135">
        <f t="shared" si="0"/>
        <v>22.453333000000001</v>
      </c>
    </row>
    <row r="45" spans="1:11" hidden="1" x14ac:dyDescent="0.25">
      <c r="B45" s="127">
        <f t="shared" si="1"/>
        <v>41433</v>
      </c>
      <c r="D45" s="139">
        <v>0.08</v>
      </c>
      <c r="F45" s="135">
        <f t="shared" si="0"/>
        <v>22.453333000000001</v>
      </c>
    </row>
    <row r="46" spans="1:11" hidden="1" x14ac:dyDescent="0.25">
      <c r="B46" s="127">
        <f t="shared" si="1"/>
        <v>41434</v>
      </c>
      <c r="D46" s="139">
        <v>0.08</v>
      </c>
      <c r="F46" s="135">
        <f t="shared" si="0"/>
        <v>22.453333000000001</v>
      </c>
    </row>
    <row r="47" spans="1:11" hidden="1" x14ac:dyDescent="0.25">
      <c r="B47" s="127">
        <f t="shared" si="1"/>
        <v>41435</v>
      </c>
      <c r="D47" s="139">
        <v>0.08</v>
      </c>
      <c r="F47" s="135">
        <f t="shared" si="0"/>
        <v>22.453333000000001</v>
      </c>
    </row>
    <row r="48" spans="1:11" hidden="1" x14ac:dyDescent="0.25">
      <c r="B48" s="127">
        <f t="shared" si="1"/>
        <v>41436</v>
      </c>
      <c r="D48" s="139">
        <v>0.16</v>
      </c>
      <c r="F48" s="135">
        <f t="shared" si="0"/>
        <v>44.906666999999999</v>
      </c>
    </row>
    <row r="49" spans="2:6" hidden="1" x14ac:dyDescent="0.25">
      <c r="B49" s="127">
        <f t="shared" si="1"/>
        <v>41437</v>
      </c>
      <c r="D49" s="139">
        <v>0.16</v>
      </c>
      <c r="F49" s="135">
        <f t="shared" si="0"/>
        <v>44.906666999999999</v>
      </c>
    </row>
    <row r="50" spans="2:6" hidden="1" x14ac:dyDescent="0.25">
      <c r="B50" s="127">
        <f t="shared" si="1"/>
        <v>41438</v>
      </c>
      <c r="D50" s="139">
        <v>0.16</v>
      </c>
      <c r="F50" s="135">
        <f t="shared" si="0"/>
        <v>44.906666999999999</v>
      </c>
    </row>
    <row r="51" spans="2:6" hidden="1" x14ac:dyDescent="0.25">
      <c r="B51" s="127">
        <f t="shared" si="1"/>
        <v>41439</v>
      </c>
      <c r="D51" s="139">
        <v>0.16</v>
      </c>
      <c r="F51" s="135">
        <f t="shared" si="0"/>
        <v>44.906666999999999</v>
      </c>
    </row>
    <row r="52" spans="2:6" hidden="1" x14ac:dyDescent="0.25">
      <c r="B52" s="127">
        <f t="shared" si="1"/>
        <v>41440</v>
      </c>
      <c r="D52" s="139">
        <v>0.16</v>
      </c>
      <c r="F52" s="135">
        <f t="shared" si="0"/>
        <v>44.906666999999999</v>
      </c>
    </row>
    <row r="53" spans="2:6" hidden="1" x14ac:dyDescent="0.25">
      <c r="B53" s="127">
        <f t="shared" si="1"/>
        <v>41441</v>
      </c>
      <c r="D53" s="139">
        <v>0.16</v>
      </c>
      <c r="F53" s="135">
        <f t="shared" ref="F53:F116" si="2">ROUND(D53/100*$A$3/360,6)</f>
        <v>44.906666999999999</v>
      </c>
    </row>
    <row r="54" spans="2:6" hidden="1" x14ac:dyDescent="0.25">
      <c r="B54" s="127">
        <f t="shared" si="1"/>
        <v>41442</v>
      </c>
      <c r="D54" s="139">
        <v>0.16</v>
      </c>
      <c r="F54" s="135">
        <f t="shared" si="2"/>
        <v>44.906666999999999</v>
      </c>
    </row>
    <row r="55" spans="2:6" hidden="1" x14ac:dyDescent="0.25">
      <c r="B55" s="127">
        <f t="shared" si="1"/>
        <v>41443</v>
      </c>
      <c r="D55" s="139">
        <v>0.2</v>
      </c>
      <c r="F55" s="135">
        <f t="shared" si="2"/>
        <v>56.133333</v>
      </c>
    </row>
    <row r="56" spans="2:6" hidden="1" x14ac:dyDescent="0.25">
      <c r="B56" s="127">
        <f t="shared" si="1"/>
        <v>41444</v>
      </c>
      <c r="D56" s="139">
        <v>0.2</v>
      </c>
      <c r="F56" s="135">
        <f t="shared" si="2"/>
        <v>56.133333</v>
      </c>
    </row>
    <row r="57" spans="2:6" hidden="1" x14ac:dyDescent="0.25">
      <c r="B57" s="127">
        <f t="shared" si="1"/>
        <v>41445</v>
      </c>
      <c r="D57" s="139">
        <v>0.2</v>
      </c>
      <c r="F57" s="135">
        <f t="shared" si="2"/>
        <v>56.133333</v>
      </c>
    </row>
    <row r="58" spans="2:6" hidden="1" x14ac:dyDescent="0.25">
      <c r="B58" s="127">
        <f t="shared" si="1"/>
        <v>41446</v>
      </c>
      <c r="D58" s="139">
        <v>0.2</v>
      </c>
      <c r="F58" s="135">
        <f t="shared" si="2"/>
        <v>56.133333</v>
      </c>
    </row>
    <row r="59" spans="2:6" hidden="1" x14ac:dyDescent="0.25">
      <c r="B59" s="127">
        <f t="shared" si="1"/>
        <v>41447</v>
      </c>
      <c r="D59" s="139">
        <v>0.2</v>
      </c>
      <c r="F59" s="135">
        <f t="shared" si="2"/>
        <v>56.133333</v>
      </c>
    </row>
    <row r="60" spans="2:6" hidden="1" x14ac:dyDescent="0.25">
      <c r="B60" s="127">
        <f t="shared" si="1"/>
        <v>41448</v>
      </c>
      <c r="D60" s="139">
        <v>0.2</v>
      </c>
      <c r="F60" s="135">
        <f t="shared" si="2"/>
        <v>56.133333</v>
      </c>
    </row>
    <row r="61" spans="2:6" hidden="1" x14ac:dyDescent="0.25">
      <c r="B61" s="127">
        <f t="shared" si="1"/>
        <v>41449</v>
      </c>
      <c r="D61" s="139">
        <v>0.2</v>
      </c>
      <c r="F61" s="135">
        <f t="shared" si="2"/>
        <v>56.133333</v>
      </c>
    </row>
    <row r="62" spans="2:6" hidden="1" x14ac:dyDescent="0.25">
      <c r="B62" s="127">
        <f t="shared" si="1"/>
        <v>41450</v>
      </c>
      <c r="D62" s="139">
        <v>0.18</v>
      </c>
      <c r="F62" s="135">
        <f t="shared" si="2"/>
        <v>50.52</v>
      </c>
    </row>
    <row r="63" spans="2:6" hidden="1" x14ac:dyDescent="0.25">
      <c r="B63" s="127">
        <f t="shared" si="1"/>
        <v>41451</v>
      </c>
      <c r="D63" s="139">
        <v>0.18</v>
      </c>
      <c r="F63" s="135">
        <f t="shared" si="2"/>
        <v>50.52</v>
      </c>
    </row>
    <row r="64" spans="2:6" hidden="1" x14ac:dyDescent="0.25">
      <c r="B64" s="127">
        <f t="shared" si="1"/>
        <v>41452</v>
      </c>
      <c r="D64" s="139">
        <v>0.18</v>
      </c>
      <c r="F64" s="135">
        <f t="shared" si="2"/>
        <v>50.52</v>
      </c>
    </row>
    <row r="65" spans="1:11" hidden="1" x14ac:dyDescent="0.25">
      <c r="B65" s="127">
        <f t="shared" si="1"/>
        <v>41453</v>
      </c>
      <c r="D65" s="139">
        <v>0.18</v>
      </c>
      <c r="F65" s="135">
        <f t="shared" si="2"/>
        <v>50.52</v>
      </c>
    </row>
    <row r="66" spans="1:11" hidden="1" x14ac:dyDescent="0.25">
      <c r="B66" s="127">
        <f t="shared" si="1"/>
        <v>41454</v>
      </c>
      <c r="D66" s="139">
        <v>0.18</v>
      </c>
      <c r="F66" s="135">
        <f t="shared" si="2"/>
        <v>50.52</v>
      </c>
    </row>
    <row r="67" spans="1:11" hidden="1" x14ac:dyDescent="0.25">
      <c r="B67" s="127">
        <f t="shared" ref="B67:B130" si="3">B66+1</f>
        <v>41455</v>
      </c>
      <c r="D67" s="139">
        <v>0.18</v>
      </c>
      <c r="F67" s="135">
        <f t="shared" si="2"/>
        <v>50.52</v>
      </c>
      <c r="H67" s="136">
        <f>SUM(F38:F67)</f>
        <v>1234.9333299999996</v>
      </c>
      <c r="I67" s="140">
        <f>AVERAGE(D38:D67)</f>
        <v>0.14666666666666667</v>
      </c>
      <c r="J67" s="156">
        <f>AVERAGE(D7:D67)</f>
        <v>0.11144262295081971</v>
      </c>
      <c r="K67" s="154">
        <f>AVERAGE(D7:D67)</f>
        <v>0.11144262295081971</v>
      </c>
    </row>
    <row r="68" spans="1:11" hidden="1" x14ac:dyDescent="0.25">
      <c r="A68" s="126">
        <v>41456</v>
      </c>
      <c r="B68" s="127">
        <f t="shared" si="3"/>
        <v>41456</v>
      </c>
      <c r="D68" s="139">
        <v>0.18</v>
      </c>
      <c r="F68" s="135">
        <f t="shared" si="2"/>
        <v>50.52</v>
      </c>
    </row>
    <row r="69" spans="1:11" hidden="1" x14ac:dyDescent="0.25">
      <c r="B69" s="127">
        <f t="shared" si="3"/>
        <v>41457</v>
      </c>
      <c r="D69" s="139">
        <v>0.1</v>
      </c>
      <c r="F69" s="135">
        <f t="shared" si="2"/>
        <v>28.066666999999999</v>
      </c>
    </row>
    <row r="70" spans="1:11" hidden="1" x14ac:dyDescent="0.25">
      <c r="B70" s="127">
        <f t="shared" si="3"/>
        <v>41458</v>
      </c>
      <c r="D70" s="139">
        <v>0.1</v>
      </c>
      <c r="F70" s="135">
        <f t="shared" si="2"/>
        <v>28.066666999999999</v>
      </c>
    </row>
    <row r="71" spans="1:11" hidden="1" x14ac:dyDescent="0.25">
      <c r="B71" s="127">
        <f t="shared" si="3"/>
        <v>41459</v>
      </c>
      <c r="D71" s="139">
        <v>0.1</v>
      </c>
      <c r="F71" s="135">
        <f t="shared" si="2"/>
        <v>28.066666999999999</v>
      </c>
    </row>
    <row r="72" spans="1:11" hidden="1" x14ac:dyDescent="0.25">
      <c r="B72" s="127">
        <f t="shared" si="3"/>
        <v>41460</v>
      </c>
      <c r="D72" s="139">
        <v>0.1</v>
      </c>
      <c r="F72" s="135">
        <f t="shared" si="2"/>
        <v>28.066666999999999</v>
      </c>
    </row>
    <row r="73" spans="1:11" hidden="1" x14ac:dyDescent="0.25">
      <c r="B73" s="127">
        <f t="shared" si="3"/>
        <v>41461</v>
      </c>
      <c r="D73" s="139">
        <v>0.1</v>
      </c>
      <c r="F73" s="135">
        <f t="shared" si="2"/>
        <v>28.066666999999999</v>
      </c>
    </row>
    <row r="74" spans="1:11" hidden="1" x14ac:dyDescent="0.25">
      <c r="B74" s="127">
        <f t="shared" si="3"/>
        <v>41462</v>
      </c>
      <c r="D74" s="139">
        <v>0.1</v>
      </c>
      <c r="F74" s="135">
        <f t="shared" si="2"/>
        <v>28.066666999999999</v>
      </c>
    </row>
    <row r="75" spans="1:11" hidden="1" x14ac:dyDescent="0.25">
      <c r="B75" s="127">
        <f t="shared" si="3"/>
        <v>41463</v>
      </c>
      <c r="D75" s="139">
        <v>0.1</v>
      </c>
      <c r="F75" s="135">
        <f t="shared" si="2"/>
        <v>28.066666999999999</v>
      </c>
    </row>
    <row r="76" spans="1:11" hidden="1" x14ac:dyDescent="0.25">
      <c r="B76" s="127">
        <f t="shared" si="3"/>
        <v>41464</v>
      </c>
      <c r="D76" s="139">
        <v>0.16</v>
      </c>
      <c r="F76" s="135">
        <f t="shared" si="2"/>
        <v>44.906666999999999</v>
      </c>
    </row>
    <row r="77" spans="1:11" hidden="1" x14ac:dyDescent="0.25">
      <c r="B77" s="127">
        <f t="shared" si="3"/>
        <v>41465</v>
      </c>
      <c r="D77" s="139">
        <v>0.16</v>
      </c>
      <c r="F77" s="135">
        <f t="shared" si="2"/>
        <v>44.906666999999999</v>
      </c>
    </row>
    <row r="78" spans="1:11" hidden="1" x14ac:dyDescent="0.25">
      <c r="B78" s="127">
        <f t="shared" si="3"/>
        <v>41466</v>
      </c>
      <c r="D78" s="139">
        <v>0.16</v>
      </c>
      <c r="F78" s="135">
        <f t="shared" si="2"/>
        <v>44.906666999999999</v>
      </c>
    </row>
    <row r="79" spans="1:11" hidden="1" x14ac:dyDescent="0.25">
      <c r="B79" s="127">
        <f t="shared" si="3"/>
        <v>41467</v>
      </c>
      <c r="D79" s="139">
        <v>0.16</v>
      </c>
      <c r="F79" s="135">
        <f t="shared" si="2"/>
        <v>44.906666999999999</v>
      </c>
    </row>
    <row r="80" spans="1:11" hidden="1" x14ac:dyDescent="0.25">
      <c r="B80" s="127">
        <f t="shared" si="3"/>
        <v>41468</v>
      </c>
      <c r="D80" s="139">
        <v>0.16</v>
      </c>
      <c r="F80" s="135">
        <f t="shared" si="2"/>
        <v>44.906666999999999</v>
      </c>
    </row>
    <row r="81" spans="2:6" hidden="1" x14ac:dyDescent="0.25">
      <c r="B81" s="127">
        <f t="shared" si="3"/>
        <v>41469</v>
      </c>
      <c r="D81" s="139">
        <v>0.16</v>
      </c>
      <c r="F81" s="135">
        <f t="shared" si="2"/>
        <v>44.906666999999999</v>
      </c>
    </row>
    <row r="82" spans="2:6" hidden="1" x14ac:dyDescent="0.25">
      <c r="B82" s="127">
        <f t="shared" si="3"/>
        <v>41470</v>
      </c>
      <c r="D82" s="139">
        <v>0.16</v>
      </c>
      <c r="F82" s="135">
        <f t="shared" si="2"/>
        <v>44.906666999999999</v>
      </c>
    </row>
    <row r="83" spans="2:6" hidden="1" x14ac:dyDescent="0.25">
      <c r="B83" s="127">
        <f t="shared" si="3"/>
        <v>41471</v>
      </c>
      <c r="D83" s="139">
        <v>0.08</v>
      </c>
      <c r="F83" s="135">
        <f t="shared" si="2"/>
        <v>22.453333000000001</v>
      </c>
    </row>
    <row r="84" spans="2:6" hidden="1" x14ac:dyDescent="0.25">
      <c r="B84" s="127">
        <f t="shared" si="3"/>
        <v>41472</v>
      </c>
      <c r="D84" s="139">
        <v>0.08</v>
      </c>
      <c r="F84" s="135">
        <f t="shared" si="2"/>
        <v>22.453333000000001</v>
      </c>
    </row>
    <row r="85" spans="2:6" hidden="1" x14ac:dyDescent="0.25">
      <c r="B85" s="127">
        <f t="shared" si="3"/>
        <v>41473</v>
      </c>
      <c r="D85" s="139">
        <v>0.08</v>
      </c>
      <c r="F85" s="135">
        <f t="shared" si="2"/>
        <v>22.453333000000001</v>
      </c>
    </row>
    <row r="86" spans="2:6" hidden="1" x14ac:dyDescent="0.25">
      <c r="B86" s="127">
        <f t="shared" si="3"/>
        <v>41474</v>
      </c>
      <c r="D86" s="139">
        <v>0.08</v>
      </c>
      <c r="F86" s="135">
        <f t="shared" si="2"/>
        <v>22.453333000000001</v>
      </c>
    </row>
    <row r="87" spans="2:6" hidden="1" x14ac:dyDescent="0.25">
      <c r="B87" s="127">
        <f t="shared" si="3"/>
        <v>41475</v>
      </c>
      <c r="D87" s="139">
        <v>0.08</v>
      </c>
      <c r="F87" s="135">
        <f t="shared" si="2"/>
        <v>22.453333000000001</v>
      </c>
    </row>
    <row r="88" spans="2:6" hidden="1" x14ac:dyDescent="0.25">
      <c r="B88" s="127">
        <f t="shared" si="3"/>
        <v>41476</v>
      </c>
      <c r="D88" s="139">
        <v>0.08</v>
      </c>
      <c r="F88" s="135">
        <f t="shared" si="2"/>
        <v>22.453333000000001</v>
      </c>
    </row>
    <row r="89" spans="2:6" hidden="1" x14ac:dyDescent="0.25">
      <c r="B89" s="127">
        <f t="shared" si="3"/>
        <v>41477</v>
      </c>
      <c r="D89" s="139">
        <v>0.08</v>
      </c>
      <c r="F89" s="135">
        <f t="shared" si="2"/>
        <v>22.453333000000001</v>
      </c>
    </row>
    <row r="90" spans="2:6" hidden="1" x14ac:dyDescent="0.25">
      <c r="B90" s="127">
        <f t="shared" si="3"/>
        <v>41478</v>
      </c>
      <c r="D90" s="139">
        <v>0.1</v>
      </c>
      <c r="F90" s="135">
        <f t="shared" si="2"/>
        <v>28.066666999999999</v>
      </c>
    </row>
    <row r="91" spans="2:6" hidden="1" x14ac:dyDescent="0.25">
      <c r="B91" s="127">
        <f t="shared" si="3"/>
        <v>41479</v>
      </c>
      <c r="D91" s="139">
        <v>0.1</v>
      </c>
      <c r="F91" s="135">
        <f t="shared" si="2"/>
        <v>28.066666999999999</v>
      </c>
    </row>
    <row r="92" spans="2:6" hidden="1" x14ac:dyDescent="0.25">
      <c r="B92" s="127">
        <f t="shared" si="3"/>
        <v>41480</v>
      </c>
      <c r="D92" s="139">
        <v>0.1</v>
      </c>
      <c r="F92" s="135">
        <f t="shared" si="2"/>
        <v>28.066666999999999</v>
      </c>
    </row>
    <row r="93" spans="2:6" hidden="1" x14ac:dyDescent="0.25">
      <c r="B93" s="127">
        <f t="shared" si="3"/>
        <v>41481</v>
      </c>
      <c r="D93" s="139">
        <v>0.1</v>
      </c>
      <c r="F93" s="135">
        <f t="shared" si="2"/>
        <v>28.066666999999999</v>
      </c>
    </row>
    <row r="94" spans="2:6" hidden="1" x14ac:dyDescent="0.25">
      <c r="B94" s="127">
        <f t="shared" si="3"/>
        <v>41482</v>
      </c>
      <c r="D94" s="139">
        <v>0.1</v>
      </c>
      <c r="F94" s="135">
        <f t="shared" si="2"/>
        <v>28.066666999999999</v>
      </c>
    </row>
    <row r="95" spans="2:6" hidden="1" x14ac:dyDescent="0.25">
      <c r="B95" s="127">
        <f t="shared" si="3"/>
        <v>41483</v>
      </c>
      <c r="D95" s="139">
        <v>0.1</v>
      </c>
      <c r="F95" s="135">
        <f t="shared" si="2"/>
        <v>28.066666999999999</v>
      </c>
    </row>
    <row r="96" spans="2:6" hidden="1" x14ac:dyDescent="0.25">
      <c r="B96" s="127">
        <f t="shared" si="3"/>
        <v>41484</v>
      </c>
      <c r="D96" s="139">
        <v>0.1</v>
      </c>
      <c r="F96" s="135">
        <f t="shared" si="2"/>
        <v>28.066666999999999</v>
      </c>
    </row>
    <row r="97" spans="1:11" hidden="1" x14ac:dyDescent="0.25">
      <c r="B97" s="127">
        <f t="shared" si="3"/>
        <v>41485</v>
      </c>
      <c r="D97" s="139">
        <v>0.1</v>
      </c>
      <c r="F97" s="135">
        <f t="shared" si="2"/>
        <v>28.066666999999999</v>
      </c>
    </row>
    <row r="98" spans="1:11" hidden="1" x14ac:dyDescent="0.25">
      <c r="B98" s="127">
        <f t="shared" si="3"/>
        <v>41486</v>
      </c>
      <c r="D98" s="139">
        <v>0.1</v>
      </c>
      <c r="F98" s="135">
        <f t="shared" si="2"/>
        <v>28.066666999999999</v>
      </c>
      <c r="H98" s="136">
        <f>SUM(F68:F98)</f>
        <v>971.10667200000057</v>
      </c>
      <c r="I98" s="140">
        <f>AVERAGE(D68:D98)</f>
        <v>0.11161290322580647</v>
      </c>
      <c r="J98" s="156">
        <f>AVERAGE(D7:D98)</f>
        <v>0.11149999999999997</v>
      </c>
      <c r="K98" s="154">
        <f>AVERAGE(D7:D98)</f>
        <v>0.11149999999999997</v>
      </c>
    </row>
    <row r="99" spans="1:11" hidden="1" x14ac:dyDescent="0.25">
      <c r="A99" s="126">
        <v>41487</v>
      </c>
      <c r="B99" s="127">
        <f t="shared" si="3"/>
        <v>41487</v>
      </c>
      <c r="D99" s="139">
        <v>0.1</v>
      </c>
      <c r="F99" s="135">
        <f t="shared" si="2"/>
        <v>28.066666999999999</v>
      </c>
    </row>
    <row r="100" spans="1:11" hidden="1" x14ac:dyDescent="0.25">
      <c r="B100" s="127">
        <f t="shared" si="3"/>
        <v>41488</v>
      </c>
      <c r="D100" s="139">
        <v>0.1</v>
      </c>
      <c r="F100" s="135">
        <f t="shared" si="2"/>
        <v>28.066666999999999</v>
      </c>
    </row>
    <row r="101" spans="1:11" hidden="1" x14ac:dyDescent="0.25">
      <c r="B101" s="127">
        <f t="shared" si="3"/>
        <v>41489</v>
      </c>
      <c r="D101" s="139">
        <v>0.1</v>
      </c>
      <c r="F101" s="135">
        <f t="shared" si="2"/>
        <v>28.066666999999999</v>
      </c>
    </row>
    <row r="102" spans="1:11" hidden="1" x14ac:dyDescent="0.25">
      <c r="B102" s="127">
        <f t="shared" si="3"/>
        <v>41490</v>
      </c>
      <c r="D102" s="139">
        <v>0.1</v>
      </c>
      <c r="F102" s="135">
        <f t="shared" si="2"/>
        <v>28.066666999999999</v>
      </c>
    </row>
    <row r="103" spans="1:11" hidden="1" x14ac:dyDescent="0.25">
      <c r="B103" s="127">
        <f t="shared" si="3"/>
        <v>41491</v>
      </c>
      <c r="D103" s="139">
        <v>0.1</v>
      </c>
      <c r="F103" s="135">
        <f t="shared" si="2"/>
        <v>28.066666999999999</v>
      </c>
    </row>
    <row r="104" spans="1:11" hidden="1" x14ac:dyDescent="0.25">
      <c r="B104" s="127">
        <f t="shared" si="3"/>
        <v>41492</v>
      </c>
      <c r="D104" s="139">
        <v>0.08</v>
      </c>
      <c r="F104" s="135">
        <f t="shared" si="2"/>
        <v>22.453333000000001</v>
      </c>
    </row>
    <row r="105" spans="1:11" hidden="1" x14ac:dyDescent="0.25">
      <c r="B105" s="127">
        <f t="shared" si="3"/>
        <v>41493</v>
      </c>
      <c r="D105" s="139">
        <v>0.08</v>
      </c>
      <c r="F105" s="135">
        <f t="shared" si="2"/>
        <v>22.453333000000001</v>
      </c>
    </row>
    <row r="106" spans="1:11" hidden="1" x14ac:dyDescent="0.25">
      <c r="B106" s="127">
        <f t="shared" si="3"/>
        <v>41494</v>
      </c>
      <c r="D106" s="139">
        <v>0.08</v>
      </c>
      <c r="F106" s="135">
        <f t="shared" si="2"/>
        <v>22.453333000000001</v>
      </c>
    </row>
    <row r="107" spans="1:11" hidden="1" x14ac:dyDescent="0.25">
      <c r="B107" s="127">
        <f t="shared" si="3"/>
        <v>41495</v>
      </c>
      <c r="D107" s="139">
        <v>0.08</v>
      </c>
      <c r="F107" s="135">
        <f t="shared" si="2"/>
        <v>22.453333000000001</v>
      </c>
    </row>
    <row r="108" spans="1:11" hidden="1" x14ac:dyDescent="0.25">
      <c r="B108" s="127">
        <f t="shared" si="3"/>
        <v>41496</v>
      </c>
      <c r="D108" s="139">
        <v>0.08</v>
      </c>
      <c r="F108" s="135">
        <f t="shared" si="2"/>
        <v>22.453333000000001</v>
      </c>
    </row>
    <row r="109" spans="1:11" hidden="1" x14ac:dyDescent="0.25">
      <c r="B109" s="127">
        <f t="shared" si="3"/>
        <v>41497</v>
      </c>
      <c r="D109" s="139">
        <v>0.08</v>
      </c>
      <c r="F109" s="135">
        <f t="shared" si="2"/>
        <v>22.453333000000001</v>
      </c>
    </row>
    <row r="110" spans="1:11" hidden="1" x14ac:dyDescent="0.25">
      <c r="B110" s="127">
        <f t="shared" si="3"/>
        <v>41498</v>
      </c>
      <c r="D110" s="139">
        <v>0.08</v>
      </c>
      <c r="F110" s="135">
        <f t="shared" si="2"/>
        <v>22.453333000000001</v>
      </c>
    </row>
    <row r="111" spans="1:11" hidden="1" x14ac:dyDescent="0.25">
      <c r="B111" s="127">
        <f t="shared" si="3"/>
        <v>41499</v>
      </c>
      <c r="D111" s="139">
        <v>0.1</v>
      </c>
      <c r="F111" s="135">
        <f t="shared" si="2"/>
        <v>28.066666999999999</v>
      </c>
    </row>
    <row r="112" spans="1:11" hidden="1" x14ac:dyDescent="0.25">
      <c r="B112" s="127">
        <f t="shared" si="3"/>
        <v>41500</v>
      </c>
      <c r="D112" s="139">
        <v>0.1</v>
      </c>
      <c r="F112" s="135">
        <f t="shared" si="2"/>
        <v>28.066666999999999</v>
      </c>
    </row>
    <row r="113" spans="2:6" hidden="1" x14ac:dyDescent="0.25">
      <c r="B113" s="127">
        <f t="shared" si="3"/>
        <v>41501</v>
      </c>
      <c r="D113" s="139">
        <v>0.1</v>
      </c>
      <c r="F113" s="135">
        <f t="shared" si="2"/>
        <v>28.066666999999999</v>
      </c>
    </row>
    <row r="114" spans="2:6" hidden="1" x14ac:dyDescent="0.25">
      <c r="B114" s="127">
        <f t="shared" si="3"/>
        <v>41502</v>
      </c>
      <c r="D114" s="139">
        <v>0.1</v>
      </c>
      <c r="F114" s="135">
        <f t="shared" si="2"/>
        <v>28.066666999999999</v>
      </c>
    </row>
    <row r="115" spans="2:6" hidden="1" x14ac:dyDescent="0.25">
      <c r="B115" s="127">
        <f t="shared" si="3"/>
        <v>41503</v>
      </c>
      <c r="D115" s="139">
        <v>0.1</v>
      </c>
      <c r="F115" s="135">
        <f t="shared" si="2"/>
        <v>28.066666999999999</v>
      </c>
    </row>
    <row r="116" spans="2:6" hidden="1" x14ac:dyDescent="0.25">
      <c r="B116" s="127">
        <f t="shared" si="3"/>
        <v>41504</v>
      </c>
      <c r="D116" s="139">
        <v>0.1</v>
      </c>
      <c r="F116" s="135">
        <f t="shared" si="2"/>
        <v>28.066666999999999</v>
      </c>
    </row>
    <row r="117" spans="2:6" hidden="1" x14ac:dyDescent="0.25">
      <c r="B117" s="127">
        <f t="shared" si="3"/>
        <v>41505</v>
      </c>
      <c r="D117" s="139">
        <v>0.1</v>
      </c>
      <c r="F117" s="135">
        <f t="shared" ref="F117:F180" si="4">ROUND(D117/100*$A$3/360,6)</f>
        <v>28.066666999999999</v>
      </c>
    </row>
    <row r="118" spans="2:6" hidden="1" x14ac:dyDescent="0.25">
      <c r="B118" s="127">
        <f t="shared" si="3"/>
        <v>41506</v>
      </c>
      <c r="D118" s="139">
        <v>0.1</v>
      </c>
      <c r="F118" s="135">
        <f t="shared" si="4"/>
        <v>28.066666999999999</v>
      </c>
    </row>
    <row r="119" spans="2:6" hidden="1" x14ac:dyDescent="0.25">
      <c r="B119" s="127">
        <f t="shared" si="3"/>
        <v>41507</v>
      </c>
      <c r="D119" s="139">
        <v>0.1</v>
      </c>
      <c r="F119" s="135">
        <f t="shared" si="4"/>
        <v>28.066666999999999</v>
      </c>
    </row>
    <row r="120" spans="2:6" hidden="1" x14ac:dyDescent="0.25">
      <c r="B120" s="127">
        <f t="shared" si="3"/>
        <v>41508</v>
      </c>
      <c r="D120" s="139">
        <v>0.1</v>
      </c>
      <c r="F120" s="135">
        <f t="shared" si="4"/>
        <v>28.066666999999999</v>
      </c>
    </row>
    <row r="121" spans="2:6" hidden="1" x14ac:dyDescent="0.25">
      <c r="B121" s="127">
        <f t="shared" si="3"/>
        <v>41509</v>
      </c>
      <c r="D121" s="139">
        <v>0.1</v>
      </c>
      <c r="F121" s="135">
        <f t="shared" si="4"/>
        <v>28.066666999999999</v>
      </c>
    </row>
    <row r="122" spans="2:6" hidden="1" x14ac:dyDescent="0.25">
      <c r="B122" s="127">
        <f t="shared" si="3"/>
        <v>41510</v>
      </c>
      <c r="D122" s="139">
        <v>0.1</v>
      </c>
      <c r="F122" s="135">
        <f t="shared" si="4"/>
        <v>28.066666999999999</v>
      </c>
    </row>
    <row r="123" spans="2:6" hidden="1" x14ac:dyDescent="0.25">
      <c r="B123" s="127">
        <f t="shared" si="3"/>
        <v>41511</v>
      </c>
      <c r="D123" s="139">
        <v>0.1</v>
      </c>
      <c r="F123" s="135">
        <f t="shared" si="4"/>
        <v>28.066666999999999</v>
      </c>
    </row>
    <row r="124" spans="2:6" hidden="1" x14ac:dyDescent="0.25">
      <c r="B124" s="127">
        <f t="shared" si="3"/>
        <v>41512</v>
      </c>
      <c r="D124" s="139">
        <v>0.1</v>
      </c>
      <c r="F124" s="135">
        <f t="shared" si="4"/>
        <v>28.066666999999999</v>
      </c>
    </row>
    <row r="125" spans="2:6" hidden="1" x14ac:dyDescent="0.25">
      <c r="B125" s="127">
        <f t="shared" si="3"/>
        <v>41513</v>
      </c>
      <c r="D125" s="139">
        <v>0.1</v>
      </c>
      <c r="F125" s="135">
        <f t="shared" si="4"/>
        <v>28.066666999999999</v>
      </c>
    </row>
    <row r="126" spans="2:6" hidden="1" x14ac:dyDescent="0.25">
      <c r="B126" s="127">
        <f t="shared" si="3"/>
        <v>41514</v>
      </c>
      <c r="D126" s="139">
        <v>0.1</v>
      </c>
      <c r="F126" s="135">
        <f t="shared" si="4"/>
        <v>28.066666999999999</v>
      </c>
    </row>
    <row r="127" spans="2:6" hidden="1" x14ac:dyDescent="0.25">
      <c r="B127" s="127">
        <f t="shared" si="3"/>
        <v>41515</v>
      </c>
      <c r="D127" s="139">
        <v>0.1</v>
      </c>
      <c r="F127" s="135">
        <f t="shared" si="4"/>
        <v>28.066666999999999</v>
      </c>
    </row>
    <row r="128" spans="2:6" hidden="1" x14ac:dyDescent="0.25">
      <c r="B128" s="127">
        <f t="shared" si="3"/>
        <v>41516</v>
      </c>
      <c r="D128" s="139">
        <v>0.1</v>
      </c>
      <c r="F128" s="135">
        <f t="shared" si="4"/>
        <v>28.066666999999999</v>
      </c>
    </row>
    <row r="129" spans="1:11" hidden="1" x14ac:dyDescent="0.25">
      <c r="B129" s="127">
        <f t="shared" si="3"/>
        <v>41517</v>
      </c>
      <c r="D129" s="139">
        <v>0.1</v>
      </c>
      <c r="F129" s="135">
        <f t="shared" si="4"/>
        <v>28.066666999999999</v>
      </c>
      <c r="H129" s="136">
        <f>SUM(F99:F129)</f>
        <v>830.77333900000053</v>
      </c>
      <c r="I129" s="140">
        <f>AVERAGE(D99:D129)</f>
        <v>9.5483870967741982E-2</v>
      </c>
      <c r="J129" s="156">
        <f>AVERAGE(D7:D129)</f>
        <v>0.10746341463414626</v>
      </c>
      <c r="K129" s="154">
        <f>AVERAGE(D7:D129)</f>
        <v>0.10746341463414626</v>
      </c>
    </row>
    <row r="130" spans="1:11" hidden="1" x14ac:dyDescent="0.25">
      <c r="A130" s="126">
        <v>41518</v>
      </c>
      <c r="B130" s="127">
        <f t="shared" si="3"/>
        <v>41518</v>
      </c>
      <c r="D130" s="139">
        <v>0.1</v>
      </c>
      <c r="F130" s="135">
        <f t="shared" si="4"/>
        <v>28.066666999999999</v>
      </c>
    </row>
    <row r="131" spans="1:11" hidden="1" x14ac:dyDescent="0.25">
      <c r="B131" s="127">
        <f t="shared" ref="B131:B190" si="5">B130+1</f>
        <v>41519</v>
      </c>
      <c r="D131" s="139">
        <v>0.1</v>
      </c>
      <c r="F131" s="135">
        <f t="shared" si="4"/>
        <v>28.066666999999999</v>
      </c>
    </row>
    <row r="132" spans="1:11" hidden="1" x14ac:dyDescent="0.25">
      <c r="B132" s="127">
        <f t="shared" si="5"/>
        <v>41520</v>
      </c>
      <c r="D132" s="139">
        <v>0.1</v>
      </c>
      <c r="F132" s="135">
        <f t="shared" si="4"/>
        <v>28.066666999999999</v>
      </c>
    </row>
    <row r="133" spans="1:11" hidden="1" x14ac:dyDescent="0.25">
      <c r="B133" s="127">
        <f t="shared" si="5"/>
        <v>41521</v>
      </c>
      <c r="D133" s="139">
        <v>0.1</v>
      </c>
      <c r="F133" s="135">
        <f t="shared" si="4"/>
        <v>28.066666999999999</v>
      </c>
    </row>
    <row r="134" spans="1:11" hidden="1" x14ac:dyDescent="0.25">
      <c r="B134" s="127">
        <f t="shared" si="5"/>
        <v>41522</v>
      </c>
      <c r="D134" s="139">
        <v>0.1</v>
      </c>
      <c r="F134" s="135">
        <f t="shared" si="4"/>
        <v>28.066666999999999</v>
      </c>
    </row>
    <row r="135" spans="1:11" hidden="1" x14ac:dyDescent="0.25">
      <c r="B135" s="127">
        <f t="shared" si="5"/>
        <v>41523</v>
      </c>
      <c r="D135" s="139">
        <v>0.1</v>
      </c>
      <c r="F135" s="135">
        <f t="shared" si="4"/>
        <v>28.066666999999999</v>
      </c>
    </row>
    <row r="136" spans="1:11" hidden="1" x14ac:dyDescent="0.25">
      <c r="B136" s="127">
        <f t="shared" si="5"/>
        <v>41524</v>
      </c>
      <c r="D136" s="139">
        <v>0.1</v>
      </c>
      <c r="F136" s="135">
        <f t="shared" si="4"/>
        <v>28.066666999999999</v>
      </c>
    </row>
    <row r="137" spans="1:11" hidden="1" x14ac:dyDescent="0.25">
      <c r="B137" s="127">
        <f t="shared" si="5"/>
        <v>41525</v>
      </c>
      <c r="D137" s="139">
        <v>0.1</v>
      </c>
      <c r="F137" s="135">
        <f t="shared" si="4"/>
        <v>28.066666999999999</v>
      </c>
    </row>
    <row r="138" spans="1:11" hidden="1" x14ac:dyDescent="0.25">
      <c r="B138" s="127">
        <f t="shared" si="5"/>
        <v>41526</v>
      </c>
      <c r="D138" s="139">
        <v>0.1</v>
      </c>
      <c r="F138" s="135">
        <f t="shared" si="4"/>
        <v>28.066666999999999</v>
      </c>
    </row>
    <row r="139" spans="1:11" hidden="1" x14ac:dyDescent="0.25">
      <c r="B139" s="127">
        <f t="shared" si="5"/>
        <v>41527</v>
      </c>
      <c r="D139" s="139">
        <v>0.1</v>
      </c>
      <c r="F139" s="135">
        <f t="shared" si="4"/>
        <v>28.066666999999999</v>
      </c>
    </row>
    <row r="140" spans="1:11" hidden="1" x14ac:dyDescent="0.25">
      <c r="B140" s="127">
        <f t="shared" si="5"/>
        <v>41528</v>
      </c>
      <c r="D140" s="139">
        <v>0.1</v>
      </c>
      <c r="F140" s="135">
        <f t="shared" si="4"/>
        <v>28.066666999999999</v>
      </c>
    </row>
    <row r="141" spans="1:11" hidden="1" x14ac:dyDescent="0.25">
      <c r="B141" s="127">
        <f t="shared" si="5"/>
        <v>41529</v>
      </c>
      <c r="D141" s="139">
        <v>0.1</v>
      </c>
      <c r="F141" s="135">
        <f t="shared" si="4"/>
        <v>28.066666999999999</v>
      </c>
    </row>
    <row r="142" spans="1:11" hidden="1" x14ac:dyDescent="0.25">
      <c r="B142" s="127">
        <f t="shared" si="5"/>
        <v>41530</v>
      </c>
      <c r="D142" s="139">
        <v>0.1</v>
      </c>
      <c r="F142" s="135">
        <f t="shared" si="4"/>
        <v>28.066666999999999</v>
      </c>
    </row>
    <row r="143" spans="1:11" hidden="1" x14ac:dyDescent="0.25">
      <c r="B143" s="127">
        <f t="shared" si="5"/>
        <v>41531</v>
      </c>
      <c r="D143" s="139">
        <v>0.1</v>
      </c>
      <c r="F143" s="135">
        <f t="shared" si="4"/>
        <v>28.066666999999999</v>
      </c>
    </row>
    <row r="144" spans="1:11" hidden="1" x14ac:dyDescent="0.25">
      <c r="B144" s="127">
        <f t="shared" si="5"/>
        <v>41532</v>
      </c>
      <c r="D144" s="139">
        <v>0.1</v>
      </c>
      <c r="F144" s="135">
        <f t="shared" si="4"/>
        <v>28.066666999999999</v>
      </c>
    </row>
    <row r="145" spans="1:11" hidden="1" x14ac:dyDescent="0.25">
      <c r="B145" s="127">
        <f t="shared" si="5"/>
        <v>41533</v>
      </c>
      <c r="D145" s="139">
        <v>0.1</v>
      </c>
      <c r="F145" s="135">
        <f t="shared" si="4"/>
        <v>28.066666999999999</v>
      </c>
    </row>
    <row r="146" spans="1:11" hidden="1" x14ac:dyDescent="0.25">
      <c r="B146" s="127">
        <f t="shared" si="5"/>
        <v>41534</v>
      </c>
      <c r="D146" s="139">
        <v>0.12</v>
      </c>
      <c r="F146" s="135">
        <f t="shared" si="4"/>
        <v>33.68</v>
      </c>
    </row>
    <row r="147" spans="1:11" hidden="1" x14ac:dyDescent="0.25">
      <c r="B147" s="127">
        <f t="shared" si="5"/>
        <v>41535</v>
      </c>
      <c r="D147" s="139">
        <v>0.12</v>
      </c>
      <c r="F147" s="135">
        <f t="shared" si="4"/>
        <v>33.68</v>
      </c>
    </row>
    <row r="148" spans="1:11" hidden="1" x14ac:dyDescent="0.25">
      <c r="B148" s="127">
        <f t="shared" si="5"/>
        <v>41536</v>
      </c>
      <c r="D148" s="139">
        <v>0.12</v>
      </c>
      <c r="F148" s="135">
        <f t="shared" si="4"/>
        <v>33.68</v>
      </c>
    </row>
    <row r="149" spans="1:11" hidden="1" x14ac:dyDescent="0.25">
      <c r="B149" s="127">
        <f t="shared" si="5"/>
        <v>41537</v>
      </c>
      <c r="D149" s="139">
        <v>0.12</v>
      </c>
      <c r="F149" s="135">
        <f t="shared" si="4"/>
        <v>33.68</v>
      </c>
    </row>
    <row r="150" spans="1:11" hidden="1" x14ac:dyDescent="0.25">
      <c r="B150" s="127">
        <f t="shared" si="5"/>
        <v>41538</v>
      </c>
      <c r="D150" s="139">
        <v>0.12</v>
      </c>
      <c r="F150" s="135">
        <f t="shared" si="4"/>
        <v>33.68</v>
      </c>
    </row>
    <row r="151" spans="1:11" hidden="1" x14ac:dyDescent="0.25">
      <c r="B151" s="127">
        <f t="shared" si="5"/>
        <v>41539</v>
      </c>
      <c r="D151" s="139">
        <v>0.12</v>
      </c>
      <c r="F151" s="135">
        <f t="shared" si="4"/>
        <v>33.68</v>
      </c>
    </row>
    <row r="152" spans="1:11" hidden="1" x14ac:dyDescent="0.25">
      <c r="B152" s="127">
        <f t="shared" si="5"/>
        <v>41540</v>
      </c>
      <c r="D152" s="139">
        <v>0.12</v>
      </c>
      <c r="F152" s="135">
        <f t="shared" si="4"/>
        <v>33.68</v>
      </c>
    </row>
    <row r="153" spans="1:11" hidden="1" x14ac:dyDescent="0.25">
      <c r="B153" s="127">
        <f t="shared" si="5"/>
        <v>41541</v>
      </c>
      <c r="D153" s="139">
        <v>0.1</v>
      </c>
      <c r="F153" s="135">
        <f t="shared" si="4"/>
        <v>28.066666999999999</v>
      </c>
    </row>
    <row r="154" spans="1:11" hidden="1" x14ac:dyDescent="0.25">
      <c r="B154" s="127">
        <f t="shared" si="5"/>
        <v>41542</v>
      </c>
      <c r="D154" s="139">
        <v>0.1</v>
      </c>
      <c r="F154" s="135">
        <f t="shared" si="4"/>
        <v>28.066666999999999</v>
      </c>
    </row>
    <row r="155" spans="1:11" hidden="1" x14ac:dyDescent="0.25">
      <c r="B155" s="127">
        <f t="shared" si="5"/>
        <v>41543</v>
      </c>
      <c r="D155" s="139">
        <v>0.1</v>
      </c>
      <c r="F155" s="135">
        <f t="shared" si="4"/>
        <v>28.066666999999999</v>
      </c>
    </row>
    <row r="156" spans="1:11" hidden="1" x14ac:dyDescent="0.25">
      <c r="B156" s="127">
        <f t="shared" si="5"/>
        <v>41544</v>
      </c>
      <c r="D156" s="139">
        <v>0.1</v>
      </c>
      <c r="F156" s="135">
        <f t="shared" si="4"/>
        <v>28.066666999999999</v>
      </c>
    </row>
    <row r="157" spans="1:11" hidden="1" x14ac:dyDescent="0.25">
      <c r="B157" s="127">
        <f t="shared" si="5"/>
        <v>41545</v>
      </c>
      <c r="D157" s="139">
        <v>0.1</v>
      </c>
      <c r="F157" s="135">
        <f t="shared" si="4"/>
        <v>28.066666999999999</v>
      </c>
    </row>
    <row r="158" spans="1:11" hidden="1" x14ac:dyDescent="0.25">
      <c r="B158" s="127">
        <f t="shared" si="5"/>
        <v>41546</v>
      </c>
      <c r="D158" s="139">
        <v>0.1</v>
      </c>
      <c r="F158" s="135">
        <f t="shared" si="4"/>
        <v>28.066666999999999</v>
      </c>
    </row>
    <row r="159" spans="1:11" hidden="1" x14ac:dyDescent="0.25">
      <c r="B159" s="127">
        <f t="shared" si="5"/>
        <v>41547</v>
      </c>
      <c r="D159" s="139">
        <v>0.1</v>
      </c>
      <c r="F159" s="135">
        <f t="shared" si="4"/>
        <v>28.066666999999999</v>
      </c>
      <c r="H159" s="136">
        <f>SUM(F130:F159)</f>
        <v>881.29334100000005</v>
      </c>
      <c r="I159" s="140">
        <f>AVERAGE(D130:D159)</f>
        <v>0.10466666666666671</v>
      </c>
      <c r="J159" s="141">
        <f>AVERAGE(D7:D159)</f>
        <v>0.10691503267973845</v>
      </c>
      <c r="K159" s="142">
        <f>AVERAGE(D7:D159)</f>
        <v>0.10691503267973845</v>
      </c>
    </row>
    <row r="160" spans="1:11" x14ac:dyDescent="0.25">
      <c r="A160" s="126">
        <v>41548</v>
      </c>
      <c r="B160" s="127">
        <f t="shared" si="5"/>
        <v>41548</v>
      </c>
      <c r="D160" s="139">
        <v>0.1</v>
      </c>
      <c r="F160" s="135">
        <f t="shared" si="4"/>
        <v>28.066666999999999</v>
      </c>
    </row>
    <row r="161" spans="2:6" x14ac:dyDescent="0.25">
      <c r="B161" s="127">
        <f t="shared" si="5"/>
        <v>41549</v>
      </c>
      <c r="D161" s="139">
        <v>0.1</v>
      </c>
      <c r="F161" s="135">
        <f t="shared" si="4"/>
        <v>28.066666999999999</v>
      </c>
    </row>
    <row r="162" spans="2:6" x14ac:dyDescent="0.25">
      <c r="B162" s="127">
        <f t="shared" si="5"/>
        <v>41550</v>
      </c>
      <c r="D162" s="139">
        <v>0.1</v>
      </c>
      <c r="F162" s="135">
        <f t="shared" si="4"/>
        <v>28.066666999999999</v>
      </c>
    </row>
    <row r="163" spans="2:6" x14ac:dyDescent="0.25">
      <c r="B163" s="127">
        <f t="shared" si="5"/>
        <v>41551</v>
      </c>
      <c r="D163" s="139">
        <v>0.1</v>
      </c>
      <c r="F163" s="135">
        <f t="shared" si="4"/>
        <v>28.066666999999999</v>
      </c>
    </row>
    <row r="164" spans="2:6" x14ac:dyDescent="0.25">
      <c r="B164" s="127">
        <f t="shared" si="5"/>
        <v>41552</v>
      </c>
      <c r="D164" s="139">
        <v>0.1</v>
      </c>
      <c r="F164" s="135">
        <f t="shared" si="4"/>
        <v>28.066666999999999</v>
      </c>
    </row>
    <row r="165" spans="2:6" x14ac:dyDescent="0.25">
      <c r="B165" s="127">
        <f t="shared" si="5"/>
        <v>41553</v>
      </c>
      <c r="D165" s="139">
        <v>0.1</v>
      </c>
      <c r="F165" s="135">
        <f t="shared" si="4"/>
        <v>28.066666999999999</v>
      </c>
    </row>
    <row r="166" spans="2:6" x14ac:dyDescent="0.25">
      <c r="B166" s="127">
        <f t="shared" si="5"/>
        <v>41554</v>
      </c>
      <c r="D166" s="139">
        <v>0.1</v>
      </c>
      <c r="F166" s="135">
        <f t="shared" si="4"/>
        <v>28.066666999999999</v>
      </c>
    </row>
    <row r="167" spans="2:6" x14ac:dyDescent="0.25">
      <c r="B167" s="127">
        <f t="shared" si="5"/>
        <v>41555</v>
      </c>
      <c r="D167" s="139">
        <v>0.12</v>
      </c>
      <c r="F167" s="135">
        <f t="shared" si="4"/>
        <v>33.68</v>
      </c>
    </row>
    <row r="168" spans="2:6" x14ac:dyDescent="0.25">
      <c r="B168" s="127">
        <f t="shared" si="5"/>
        <v>41556</v>
      </c>
      <c r="D168" s="139">
        <v>0.12</v>
      </c>
      <c r="F168" s="135">
        <f t="shared" si="4"/>
        <v>33.68</v>
      </c>
    </row>
    <row r="169" spans="2:6" x14ac:dyDescent="0.25">
      <c r="B169" s="127">
        <f t="shared" si="5"/>
        <v>41557</v>
      </c>
      <c r="D169" s="139">
        <v>0.12</v>
      </c>
      <c r="F169" s="135">
        <f t="shared" si="4"/>
        <v>33.68</v>
      </c>
    </row>
    <row r="170" spans="2:6" x14ac:dyDescent="0.25">
      <c r="B170" s="127">
        <f t="shared" si="5"/>
        <v>41558</v>
      </c>
      <c r="D170" s="139">
        <v>0.12</v>
      </c>
      <c r="F170" s="135">
        <f t="shared" si="4"/>
        <v>33.68</v>
      </c>
    </row>
    <row r="171" spans="2:6" x14ac:dyDescent="0.25">
      <c r="B171" s="127">
        <f t="shared" si="5"/>
        <v>41559</v>
      </c>
      <c r="D171" s="139">
        <v>0.12</v>
      </c>
      <c r="F171" s="135">
        <f t="shared" si="4"/>
        <v>33.68</v>
      </c>
    </row>
    <row r="172" spans="2:6" x14ac:dyDescent="0.25">
      <c r="B172" s="127">
        <f t="shared" si="5"/>
        <v>41560</v>
      </c>
      <c r="D172" s="139">
        <v>0.12</v>
      </c>
      <c r="F172" s="135">
        <f t="shared" si="4"/>
        <v>33.68</v>
      </c>
    </row>
    <row r="173" spans="2:6" x14ac:dyDescent="0.25">
      <c r="B173" s="127">
        <f t="shared" si="5"/>
        <v>41561</v>
      </c>
      <c r="D173" s="139">
        <v>0.12</v>
      </c>
      <c r="F173" s="135">
        <f t="shared" si="4"/>
        <v>33.68</v>
      </c>
    </row>
    <row r="174" spans="2:6" x14ac:dyDescent="0.25">
      <c r="B174" s="127">
        <f t="shared" si="5"/>
        <v>41562</v>
      </c>
      <c r="D174" s="139">
        <v>0.12</v>
      </c>
      <c r="F174" s="135">
        <f t="shared" si="4"/>
        <v>33.68</v>
      </c>
    </row>
    <row r="175" spans="2:6" x14ac:dyDescent="0.25">
      <c r="B175" s="127">
        <f t="shared" si="5"/>
        <v>41563</v>
      </c>
      <c r="D175" s="139">
        <v>0.26</v>
      </c>
      <c r="F175" s="135">
        <f t="shared" si="4"/>
        <v>72.973332999999997</v>
      </c>
    </row>
    <row r="176" spans="2:6" x14ac:dyDescent="0.25">
      <c r="B176" s="127">
        <f t="shared" si="5"/>
        <v>41564</v>
      </c>
      <c r="D176" s="139">
        <v>0.26</v>
      </c>
      <c r="F176" s="135">
        <f t="shared" si="4"/>
        <v>72.973332999999997</v>
      </c>
    </row>
    <row r="177" spans="2:11" x14ac:dyDescent="0.25">
      <c r="B177" s="127">
        <f t="shared" si="5"/>
        <v>41565</v>
      </c>
      <c r="D177" s="139">
        <v>0.26</v>
      </c>
      <c r="F177" s="135">
        <f t="shared" si="4"/>
        <v>72.973332999999997</v>
      </c>
    </row>
    <row r="178" spans="2:11" x14ac:dyDescent="0.25">
      <c r="B178" s="127">
        <f t="shared" si="5"/>
        <v>41566</v>
      </c>
      <c r="D178" s="139">
        <v>0.26</v>
      </c>
      <c r="F178" s="135">
        <f t="shared" si="4"/>
        <v>72.973332999999997</v>
      </c>
    </row>
    <row r="179" spans="2:11" x14ac:dyDescent="0.25">
      <c r="B179" s="127">
        <f t="shared" si="5"/>
        <v>41567</v>
      </c>
      <c r="D179" s="139">
        <v>0.26</v>
      </c>
      <c r="F179" s="135">
        <f t="shared" si="4"/>
        <v>72.973332999999997</v>
      </c>
    </row>
    <row r="180" spans="2:11" x14ac:dyDescent="0.25">
      <c r="B180" s="127">
        <f t="shared" si="5"/>
        <v>41568</v>
      </c>
      <c r="D180" s="139">
        <v>0.26</v>
      </c>
      <c r="F180" s="135">
        <f t="shared" si="4"/>
        <v>72.973332999999997</v>
      </c>
    </row>
    <row r="181" spans="2:11" x14ac:dyDescent="0.25">
      <c r="B181" s="127">
        <f t="shared" si="5"/>
        <v>41569</v>
      </c>
      <c r="D181" s="139">
        <v>0.14000000000000001</v>
      </c>
      <c r="F181" s="135">
        <f t="shared" ref="F181:F190" si="6">ROUND(D181/100*$A$3/360,6)</f>
        <v>39.293332999999997</v>
      </c>
    </row>
    <row r="182" spans="2:11" x14ac:dyDescent="0.25">
      <c r="B182" s="127">
        <f t="shared" si="5"/>
        <v>41570</v>
      </c>
      <c r="D182" s="139">
        <v>0.14000000000000001</v>
      </c>
      <c r="F182" s="135">
        <f t="shared" si="6"/>
        <v>39.293332999999997</v>
      </c>
    </row>
    <row r="183" spans="2:11" x14ac:dyDescent="0.25">
      <c r="B183" s="127">
        <f t="shared" si="5"/>
        <v>41571</v>
      </c>
      <c r="D183" s="139">
        <v>0.14000000000000001</v>
      </c>
      <c r="F183" s="135">
        <f t="shared" si="6"/>
        <v>39.293332999999997</v>
      </c>
    </row>
    <row r="184" spans="2:11" x14ac:dyDescent="0.25">
      <c r="B184" s="127">
        <f t="shared" si="5"/>
        <v>41572</v>
      </c>
      <c r="D184" s="139">
        <v>0.14000000000000001</v>
      </c>
      <c r="F184" s="135">
        <f t="shared" si="6"/>
        <v>39.293332999999997</v>
      </c>
    </row>
    <row r="185" spans="2:11" x14ac:dyDescent="0.25">
      <c r="B185" s="127">
        <f t="shared" si="5"/>
        <v>41573</v>
      </c>
      <c r="D185" s="139">
        <v>0.14000000000000001</v>
      </c>
      <c r="F185" s="135">
        <f t="shared" si="6"/>
        <v>39.293332999999997</v>
      </c>
    </row>
    <row r="186" spans="2:11" x14ac:dyDescent="0.25">
      <c r="B186" s="127">
        <f t="shared" si="5"/>
        <v>41574</v>
      </c>
      <c r="D186" s="139">
        <v>0.14000000000000001</v>
      </c>
      <c r="F186" s="135">
        <f t="shared" si="6"/>
        <v>39.293332999999997</v>
      </c>
    </row>
    <row r="187" spans="2:11" x14ac:dyDescent="0.25">
      <c r="B187" s="127">
        <f t="shared" si="5"/>
        <v>41575</v>
      </c>
      <c r="D187" s="139">
        <v>0.14000000000000001</v>
      </c>
      <c r="F187" s="135">
        <f t="shared" si="6"/>
        <v>39.293332999999997</v>
      </c>
    </row>
    <row r="188" spans="2:11" x14ac:dyDescent="0.25">
      <c r="B188" s="127">
        <f t="shared" si="5"/>
        <v>41576</v>
      </c>
      <c r="D188" s="139">
        <v>0.14000000000000001</v>
      </c>
      <c r="F188" s="135">
        <f t="shared" si="6"/>
        <v>39.293332999999997</v>
      </c>
    </row>
    <row r="189" spans="2:11" x14ac:dyDescent="0.25">
      <c r="B189" s="127">
        <f t="shared" si="5"/>
        <v>41577</v>
      </c>
      <c r="D189" s="139">
        <v>0.14000000000000001</v>
      </c>
      <c r="F189" s="135">
        <f t="shared" si="6"/>
        <v>39.293332999999997</v>
      </c>
    </row>
    <row r="190" spans="2:11" x14ac:dyDescent="0.25">
      <c r="B190" s="127">
        <f t="shared" si="5"/>
        <v>41578</v>
      </c>
      <c r="D190" s="139">
        <v>0.14000000000000001</v>
      </c>
      <c r="F190" s="135">
        <f t="shared" si="6"/>
        <v>39.293332999999997</v>
      </c>
      <c r="H190" s="136">
        <f>SUM(F160:F190)</f>
        <v>1296.6799970000004</v>
      </c>
      <c r="I190" s="140">
        <f>AVERAGE(D160:D190)</f>
        <v>0.14903225806451612</v>
      </c>
      <c r="J190" s="141">
        <f>AVERAGE(D7:D190)</f>
        <v>0.11401086956521747</v>
      </c>
      <c r="K190" s="142">
        <f>AVERAGE(D7:D190)</f>
        <v>0.11401086956521747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>
    <pageSetUpPr fitToPage="1"/>
  </sheetPr>
  <dimension ref="A1:AA190"/>
  <sheetViews>
    <sheetView zoomScale="90" zoomScaleNormal="90" workbookViewId="0">
      <pane ySplit="5" topLeftCell="A6" activePane="bottomLeft" state="frozen"/>
      <selection activeCell="M22" sqref="M22"/>
      <selection pane="bottomLeft" activeCell="K6" sqref="K6"/>
    </sheetView>
  </sheetViews>
  <sheetFormatPr defaultRowHeight="15" x14ac:dyDescent="0.25"/>
  <cols>
    <col min="1" max="1" width="7.7109375" style="126" customWidth="1"/>
    <col min="2" max="2" width="10.140625" style="151" customWidth="1"/>
    <col min="3" max="3" width="5.7109375" style="125" customWidth="1"/>
    <col min="4" max="4" width="10.7109375" style="125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53" customWidth="1"/>
    <col min="9" max="9" width="11.7109375" style="162" customWidth="1"/>
    <col min="10" max="10" width="11.7109375" style="163" customWidth="1"/>
    <col min="11" max="11" width="9.140625" style="157"/>
    <col min="12" max="14" width="9.140625" style="125"/>
    <col min="15" max="27" width="9.140625" style="158"/>
    <col min="28" max="16384" width="9.140625" style="125"/>
  </cols>
  <sheetData>
    <row r="1" spans="1:14" ht="12.75" x14ac:dyDescent="0.2">
      <c r="A1" s="636" t="s">
        <v>139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133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22500000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237180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7" customHeight="1" x14ac:dyDescent="0.25">
      <c r="B5" s="127"/>
      <c r="D5" s="128"/>
      <c r="H5" s="152" t="s">
        <v>134</v>
      </c>
      <c r="I5" s="159" t="s">
        <v>135</v>
      </c>
      <c r="J5" s="160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52"/>
      <c r="I6" s="159"/>
      <c r="J6" s="160"/>
      <c r="K6" s="161"/>
      <c r="L6" s="133"/>
      <c r="M6" s="133"/>
      <c r="N6" s="133"/>
    </row>
    <row r="7" spans="1:14" hidden="1" x14ac:dyDescent="0.25">
      <c r="A7" s="126">
        <v>41407</v>
      </c>
      <c r="B7" s="127">
        <v>41395</v>
      </c>
      <c r="D7" s="139">
        <v>0.25</v>
      </c>
      <c r="F7" s="135">
        <f t="shared" ref="F7:F57" si="0">ROUND(D7/100*$A$3/365,6)</f>
        <v>154.109589</v>
      </c>
    </row>
    <row r="8" spans="1:14" hidden="1" x14ac:dyDescent="0.25">
      <c r="B8" s="127">
        <f t="shared" ref="B8:B66" si="1">B7+1</f>
        <v>41396</v>
      </c>
      <c r="D8" s="139">
        <v>0.25</v>
      </c>
      <c r="F8" s="135">
        <f t="shared" si="0"/>
        <v>154.109589</v>
      </c>
    </row>
    <row r="9" spans="1:14" hidden="1" x14ac:dyDescent="0.25">
      <c r="B9" s="127">
        <f t="shared" si="1"/>
        <v>41397</v>
      </c>
      <c r="D9" s="139">
        <v>0.25</v>
      </c>
      <c r="F9" s="135">
        <f t="shared" si="0"/>
        <v>154.109589</v>
      </c>
    </row>
    <row r="10" spans="1:14" hidden="1" x14ac:dyDescent="0.25">
      <c r="B10" s="127">
        <f t="shared" si="1"/>
        <v>41398</v>
      </c>
      <c r="D10" s="139">
        <v>0.25</v>
      </c>
      <c r="F10" s="135">
        <f t="shared" si="0"/>
        <v>154.109589</v>
      </c>
    </row>
    <row r="11" spans="1:14" hidden="1" x14ac:dyDescent="0.25">
      <c r="B11" s="127">
        <f t="shared" si="1"/>
        <v>41399</v>
      </c>
      <c r="D11" s="139">
        <v>0.25</v>
      </c>
      <c r="F11" s="135">
        <f t="shared" si="0"/>
        <v>154.109589</v>
      </c>
    </row>
    <row r="12" spans="1:14" hidden="1" x14ac:dyDescent="0.25">
      <c r="B12" s="127">
        <f t="shared" si="1"/>
        <v>41400</v>
      </c>
      <c r="D12" s="139">
        <v>0.25</v>
      </c>
      <c r="F12" s="135">
        <f t="shared" si="0"/>
        <v>154.109589</v>
      </c>
    </row>
    <row r="13" spans="1:14" hidden="1" x14ac:dyDescent="0.25">
      <c r="B13" s="127">
        <f t="shared" si="1"/>
        <v>41401</v>
      </c>
      <c r="D13" s="139">
        <v>0.25</v>
      </c>
      <c r="F13" s="135">
        <f t="shared" si="0"/>
        <v>154.109589</v>
      </c>
    </row>
    <row r="14" spans="1:14" hidden="1" x14ac:dyDescent="0.25">
      <c r="B14" s="127">
        <f t="shared" si="1"/>
        <v>41402</v>
      </c>
      <c r="D14" s="139">
        <v>0.25</v>
      </c>
      <c r="F14" s="135">
        <f t="shared" si="0"/>
        <v>154.109589</v>
      </c>
    </row>
    <row r="15" spans="1:14" hidden="1" x14ac:dyDescent="0.25">
      <c r="B15" s="127">
        <f t="shared" si="1"/>
        <v>41403</v>
      </c>
      <c r="D15" s="139">
        <v>0.25</v>
      </c>
      <c r="F15" s="135">
        <f t="shared" si="0"/>
        <v>154.109589</v>
      </c>
    </row>
    <row r="16" spans="1:14" hidden="1" x14ac:dyDescent="0.25">
      <c r="B16" s="127">
        <f t="shared" si="1"/>
        <v>41404</v>
      </c>
      <c r="D16" s="139">
        <v>0.25</v>
      </c>
      <c r="F16" s="135">
        <f t="shared" si="0"/>
        <v>154.109589</v>
      </c>
    </row>
    <row r="17" spans="2:6" hidden="1" x14ac:dyDescent="0.25">
      <c r="B17" s="127">
        <f t="shared" si="1"/>
        <v>41405</v>
      </c>
      <c r="D17" s="139">
        <v>0.25</v>
      </c>
      <c r="F17" s="135">
        <f t="shared" si="0"/>
        <v>154.109589</v>
      </c>
    </row>
    <row r="18" spans="2:6" hidden="1" x14ac:dyDescent="0.25">
      <c r="B18" s="127">
        <f t="shared" si="1"/>
        <v>41406</v>
      </c>
      <c r="D18" s="139">
        <v>0.25</v>
      </c>
      <c r="F18" s="135">
        <f t="shared" si="0"/>
        <v>154.109589</v>
      </c>
    </row>
    <row r="19" spans="2:6" hidden="1" x14ac:dyDescent="0.25">
      <c r="B19" s="127">
        <f t="shared" si="1"/>
        <v>41407</v>
      </c>
      <c r="D19" s="139">
        <v>0.25</v>
      </c>
      <c r="F19" s="135">
        <f t="shared" si="0"/>
        <v>154.109589</v>
      </c>
    </row>
    <row r="20" spans="2:6" hidden="1" x14ac:dyDescent="0.25">
      <c r="B20" s="127">
        <f t="shared" si="1"/>
        <v>41408</v>
      </c>
      <c r="D20" s="139">
        <v>0.25</v>
      </c>
      <c r="F20" s="135">
        <f t="shared" si="0"/>
        <v>154.109589</v>
      </c>
    </row>
    <row r="21" spans="2:6" hidden="1" x14ac:dyDescent="0.25">
      <c r="B21" s="127">
        <f t="shared" si="1"/>
        <v>41409</v>
      </c>
      <c r="D21" s="139">
        <v>0.25</v>
      </c>
      <c r="F21" s="135">
        <f t="shared" si="0"/>
        <v>154.109589</v>
      </c>
    </row>
    <row r="22" spans="2:6" hidden="1" x14ac:dyDescent="0.25">
      <c r="B22" s="127">
        <f t="shared" si="1"/>
        <v>41410</v>
      </c>
      <c r="D22" s="139">
        <v>0.25</v>
      </c>
      <c r="F22" s="135">
        <f t="shared" si="0"/>
        <v>154.109589</v>
      </c>
    </row>
    <row r="23" spans="2:6" hidden="1" x14ac:dyDescent="0.25">
      <c r="B23" s="127">
        <f t="shared" si="1"/>
        <v>41411</v>
      </c>
      <c r="D23" s="139">
        <v>0.25</v>
      </c>
      <c r="F23" s="135">
        <f t="shared" si="0"/>
        <v>154.109589</v>
      </c>
    </row>
    <row r="24" spans="2:6" hidden="1" x14ac:dyDescent="0.25">
      <c r="B24" s="127">
        <f t="shared" si="1"/>
        <v>41412</v>
      </c>
      <c r="D24" s="139">
        <v>0.25</v>
      </c>
      <c r="F24" s="135">
        <f t="shared" si="0"/>
        <v>154.109589</v>
      </c>
    </row>
    <row r="25" spans="2:6" hidden="1" x14ac:dyDescent="0.25">
      <c r="B25" s="127">
        <f t="shared" si="1"/>
        <v>41413</v>
      </c>
      <c r="D25" s="139">
        <v>0.25</v>
      </c>
      <c r="F25" s="135">
        <f t="shared" si="0"/>
        <v>154.109589</v>
      </c>
    </row>
    <row r="26" spans="2:6" hidden="1" x14ac:dyDescent="0.25">
      <c r="B26" s="127">
        <f t="shared" si="1"/>
        <v>41414</v>
      </c>
      <c r="D26" s="139">
        <v>0.25</v>
      </c>
      <c r="F26" s="135">
        <f t="shared" si="0"/>
        <v>154.109589</v>
      </c>
    </row>
    <row r="27" spans="2:6" hidden="1" x14ac:dyDescent="0.25">
      <c r="B27" s="127">
        <f t="shared" si="1"/>
        <v>41415</v>
      </c>
      <c r="D27" s="139">
        <v>0.25</v>
      </c>
      <c r="F27" s="135">
        <f t="shared" si="0"/>
        <v>154.109589</v>
      </c>
    </row>
    <row r="28" spans="2:6" hidden="1" x14ac:dyDescent="0.25">
      <c r="B28" s="127">
        <f t="shared" si="1"/>
        <v>41416</v>
      </c>
      <c r="D28" s="139">
        <v>0.25</v>
      </c>
      <c r="F28" s="135">
        <f t="shared" si="0"/>
        <v>154.109589</v>
      </c>
    </row>
    <row r="29" spans="2:6" hidden="1" x14ac:dyDescent="0.25">
      <c r="B29" s="127">
        <f t="shared" si="1"/>
        <v>41417</v>
      </c>
      <c r="D29" s="139">
        <v>0.25</v>
      </c>
      <c r="F29" s="135">
        <f t="shared" si="0"/>
        <v>154.109589</v>
      </c>
    </row>
    <row r="30" spans="2:6" hidden="1" x14ac:dyDescent="0.25">
      <c r="B30" s="127">
        <f t="shared" si="1"/>
        <v>41418</v>
      </c>
      <c r="D30" s="139">
        <v>0.25</v>
      </c>
      <c r="F30" s="135">
        <f t="shared" si="0"/>
        <v>154.109589</v>
      </c>
    </row>
    <row r="31" spans="2:6" hidden="1" x14ac:dyDescent="0.25">
      <c r="B31" s="127">
        <f t="shared" si="1"/>
        <v>41419</v>
      </c>
      <c r="D31" s="139">
        <v>0.25</v>
      </c>
      <c r="F31" s="135">
        <f t="shared" si="0"/>
        <v>154.109589</v>
      </c>
    </row>
    <row r="32" spans="2:6" hidden="1" x14ac:dyDescent="0.25">
      <c r="B32" s="127">
        <f t="shared" si="1"/>
        <v>41420</v>
      </c>
      <c r="D32" s="139">
        <v>0.25</v>
      </c>
      <c r="F32" s="135">
        <f t="shared" si="0"/>
        <v>154.109589</v>
      </c>
    </row>
    <row r="33" spans="1:11" hidden="1" x14ac:dyDescent="0.25">
      <c r="B33" s="127">
        <f t="shared" si="1"/>
        <v>41421</v>
      </c>
      <c r="D33" s="139">
        <v>0.25</v>
      </c>
      <c r="F33" s="135">
        <f t="shared" si="0"/>
        <v>154.109589</v>
      </c>
    </row>
    <row r="34" spans="1:11" hidden="1" x14ac:dyDescent="0.25">
      <c r="B34" s="127">
        <f t="shared" si="1"/>
        <v>41422</v>
      </c>
      <c r="D34" s="139">
        <v>0.25</v>
      </c>
      <c r="F34" s="135">
        <f t="shared" si="0"/>
        <v>154.109589</v>
      </c>
    </row>
    <row r="35" spans="1:11" hidden="1" x14ac:dyDescent="0.25">
      <c r="B35" s="127">
        <f t="shared" si="1"/>
        <v>41423</v>
      </c>
      <c r="D35" s="139">
        <v>0.25</v>
      </c>
      <c r="F35" s="135">
        <f t="shared" si="0"/>
        <v>154.109589</v>
      </c>
    </row>
    <row r="36" spans="1:11" hidden="1" x14ac:dyDescent="0.25">
      <c r="B36" s="127">
        <f t="shared" si="1"/>
        <v>41424</v>
      </c>
      <c r="D36" s="139">
        <v>0.25</v>
      </c>
      <c r="F36" s="135">
        <f t="shared" si="0"/>
        <v>154.109589</v>
      </c>
    </row>
    <row r="37" spans="1:11" hidden="1" x14ac:dyDescent="0.25">
      <c r="B37" s="127">
        <f t="shared" si="1"/>
        <v>41425</v>
      </c>
      <c r="D37" s="139">
        <v>0.25</v>
      </c>
      <c r="F37" s="135">
        <f t="shared" si="0"/>
        <v>154.109589</v>
      </c>
      <c r="H37" s="136">
        <f>SUM(F7:F37)</f>
        <v>4777.3972590000003</v>
      </c>
      <c r="I37" s="164">
        <f>AVERAGE(D7:D37)</f>
        <v>0.25</v>
      </c>
      <c r="J37" s="165">
        <f>AVERAGE(D7:D37)</f>
        <v>0.25</v>
      </c>
      <c r="K37" s="166">
        <f>AVERAGE(D7:D37)</f>
        <v>0.25</v>
      </c>
    </row>
    <row r="38" spans="1:11" hidden="1" x14ac:dyDescent="0.25">
      <c r="A38" s="126">
        <v>41426</v>
      </c>
      <c r="B38" s="127">
        <f t="shared" si="1"/>
        <v>41426</v>
      </c>
      <c r="D38" s="139">
        <v>0.25</v>
      </c>
      <c r="F38" s="135">
        <f t="shared" si="0"/>
        <v>154.109589</v>
      </c>
    </row>
    <row r="39" spans="1:11" hidden="1" x14ac:dyDescent="0.25">
      <c r="B39" s="127">
        <f t="shared" si="1"/>
        <v>41427</v>
      </c>
      <c r="D39" s="139">
        <v>0.25</v>
      </c>
      <c r="F39" s="135">
        <f t="shared" si="0"/>
        <v>154.109589</v>
      </c>
    </row>
    <row r="40" spans="1:11" hidden="1" x14ac:dyDescent="0.25">
      <c r="B40" s="127">
        <f t="shared" si="1"/>
        <v>41428</v>
      </c>
      <c r="D40" s="139">
        <v>0.25</v>
      </c>
      <c r="F40" s="135">
        <f t="shared" si="0"/>
        <v>154.109589</v>
      </c>
    </row>
    <row r="41" spans="1:11" hidden="1" x14ac:dyDescent="0.25">
      <c r="B41" s="127">
        <f t="shared" si="1"/>
        <v>41429</v>
      </c>
      <c r="D41" s="139">
        <v>0.25</v>
      </c>
      <c r="F41" s="135">
        <f t="shared" si="0"/>
        <v>154.109589</v>
      </c>
    </row>
    <row r="42" spans="1:11" hidden="1" x14ac:dyDescent="0.25">
      <c r="B42" s="127">
        <f t="shared" si="1"/>
        <v>41430</v>
      </c>
      <c r="D42" s="139">
        <v>0.25</v>
      </c>
      <c r="F42" s="135">
        <f t="shared" si="0"/>
        <v>154.109589</v>
      </c>
    </row>
    <row r="43" spans="1:11" hidden="1" x14ac:dyDescent="0.25">
      <c r="B43" s="127">
        <f t="shared" si="1"/>
        <v>41431</v>
      </c>
      <c r="D43" s="139">
        <v>0.25</v>
      </c>
      <c r="F43" s="135">
        <f t="shared" si="0"/>
        <v>154.109589</v>
      </c>
    </row>
    <row r="44" spans="1:11" hidden="1" x14ac:dyDescent="0.25">
      <c r="B44" s="127">
        <f t="shared" si="1"/>
        <v>41432</v>
      </c>
      <c r="D44" s="139">
        <v>0.25</v>
      </c>
      <c r="F44" s="135">
        <f t="shared" si="0"/>
        <v>154.109589</v>
      </c>
    </row>
    <row r="45" spans="1:11" hidden="1" x14ac:dyDescent="0.25">
      <c r="B45" s="127">
        <f t="shared" si="1"/>
        <v>41433</v>
      </c>
      <c r="D45" s="139">
        <v>0.25</v>
      </c>
      <c r="F45" s="135">
        <f t="shared" si="0"/>
        <v>154.109589</v>
      </c>
    </row>
    <row r="46" spans="1:11" hidden="1" x14ac:dyDescent="0.25">
      <c r="B46" s="127">
        <f t="shared" si="1"/>
        <v>41434</v>
      </c>
      <c r="D46" s="139">
        <v>0.25</v>
      </c>
      <c r="F46" s="135">
        <f t="shared" si="0"/>
        <v>154.109589</v>
      </c>
    </row>
    <row r="47" spans="1:11" hidden="1" x14ac:dyDescent="0.25">
      <c r="B47" s="127">
        <f t="shared" si="1"/>
        <v>41435</v>
      </c>
      <c r="D47" s="139">
        <v>0.25</v>
      </c>
      <c r="F47" s="135">
        <f t="shared" si="0"/>
        <v>154.109589</v>
      </c>
    </row>
    <row r="48" spans="1:11" hidden="1" x14ac:dyDescent="0.25">
      <c r="B48" s="127">
        <f t="shared" si="1"/>
        <v>41436</v>
      </c>
      <c r="D48" s="139">
        <v>0.25</v>
      </c>
      <c r="F48" s="135">
        <f t="shared" si="0"/>
        <v>154.109589</v>
      </c>
    </row>
    <row r="49" spans="2:6" hidden="1" x14ac:dyDescent="0.25">
      <c r="B49" s="127">
        <f t="shared" si="1"/>
        <v>41437</v>
      </c>
      <c r="D49" s="139">
        <v>0.25</v>
      </c>
      <c r="F49" s="135">
        <f t="shared" si="0"/>
        <v>154.109589</v>
      </c>
    </row>
    <row r="50" spans="2:6" hidden="1" x14ac:dyDescent="0.25">
      <c r="B50" s="127">
        <f t="shared" si="1"/>
        <v>41438</v>
      </c>
      <c r="D50" s="139">
        <v>0.25</v>
      </c>
      <c r="F50" s="135">
        <f t="shared" si="0"/>
        <v>154.109589</v>
      </c>
    </row>
    <row r="51" spans="2:6" hidden="1" x14ac:dyDescent="0.25">
      <c r="B51" s="127">
        <f t="shared" si="1"/>
        <v>41439</v>
      </c>
      <c r="D51" s="139">
        <v>0.25</v>
      </c>
      <c r="F51" s="135">
        <f t="shared" si="0"/>
        <v>154.109589</v>
      </c>
    </row>
    <row r="52" spans="2:6" hidden="1" x14ac:dyDescent="0.25">
      <c r="B52" s="127">
        <f t="shared" si="1"/>
        <v>41440</v>
      </c>
      <c r="D52" s="139">
        <v>0.25</v>
      </c>
      <c r="F52" s="135">
        <f t="shared" si="0"/>
        <v>154.109589</v>
      </c>
    </row>
    <row r="53" spans="2:6" hidden="1" x14ac:dyDescent="0.25">
      <c r="B53" s="127">
        <f t="shared" si="1"/>
        <v>41441</v>
      </c>
      <c r="D53" s="139">
        <v>0.25</v>
      </c>
      <c r="F53" s="135">
        <f t="shared" si="0"/>
        <v>154.109589</v>
      </c>
    </row>
    <row r="54" spans="2:6" hidden="1" x14ac:dyDescent="0.25">
      <c r="B54" s="127">
        <f t="shared" si="1"/>
        <v>41442</v>
      </c>
      <c r="D54" s="139">
        <v>0.25</v>
      </c>
      <c r="F54" s="135">
        <f t="shared" si="0"/>
        <v>154.109589</v>
      </c>
    </row>
    <row r="55" spans="2:6" hidden="1" x14ac:dyDescent="0.25">
      <c r="B55" s="127">
        <f t="shared" si="1"/>
        <v>41443</v>
      </c>
      <c r="D55" s="139">
        <v>0.25</v>
      </c>
      <c r="F55" s="135">
        <f t="shared" si="0"/>
        <v>154.109589</v>
      </c>
    </row>
    <row r="56" spans="2:6" hidden="1" x14ac:dyDescent="0.25">
      <c r="B56" s="127">
        <f t="shared" si="1"/>
        <v>41444</v>
      </c>
      <c r="D56" s="139">
        <v>0.25</v>
      </c>
      <c r="F56" s="135">
        <f t="shared" si="0"/>
        <v>154.109589</v>
      </c>
    </row>
    <row r="57" spans="2:6" hidden="1" x14ac:dyDescent="0.25">
      <c r="B57" s="127">
        <f t="shared" si="1"/>
        <v>41445</v>
      </c>
      <c r="D57" s="139">
        <v>0.25</v>
      </c>
      <c r="F57" s="135">
        <f t="shared" si="0"/>
        <v>154.109589</v>
      </c>
    </row>
    <row r="58" spans="2:6" hidden="1" x14ac:dyDescent="0.25">
      <c r="B58" s="127">
        <f t="shared" si="1"/>
        <v>41446</v>
      </c>
      <c r="D58" s="139">
        <v>0.25</v>
      </c>
      <c r="F58" s="135">
        <f t="shared" ref="F58:F121" si="2">ROUND(D58/100*$A$3/365,6)</f>
        <v>154.109589</v>
      </c>
    </row>
    <row r="59" spans="2:6" hidden="1" x14ac:dyDescent="0.25">
      <c r="B59" s="127">
        <f t="shared" si="1"/>
        <v>41447</v>
      </c>
      <c r="D59" s="139">
        <v>0.25</v>
      </c>
      <c r="F59" s="135">
        <f t="shared" si="2"/>
        <v>154.109589</v>
      </c>
    </row>
    <row r="60" spans="2:6" hidden="1" x14ac:dyDescent="0.25">
      <c r="B60" s="127">
        <f t="shared" si="1"/>
        <v>41448</v>
      </c>
      <c r="D60" s="139">
        <v>0.25</v>
      </c>
      <c r="F60" s="135">
        <f t="shared" si="2"/>
        <v>154.109589</v>
      </c>
    </row>
    <row r="61" spans="2:6" hidden="1" x14ac:dyDescent="0.25">
      <c r="B61" s="127">
        <f t="shared" si="1"/>
        <v>41449</v>
      </c>
      <c r="D61" s="139">
        <v>0.22</v>
      </c>
      <c r="F61" s="135">
        <f t="shared" si="2"/>
        <v>135.61643799999999</v>
      </c>
    </row>
    <row r="62" spans="2:6" hidden="1" x14ac:dyDescent="0.25">
      <c r="B62" s="127">
        <f t="shared" si="1"/>
        <v>41450</v>
      </c>
      <c r="D62" s="139">
        <v>0.22</v>
      </c>
      <c r="F62" s="135">
        <f t="shared" si="2"/>
        <v>135.61643799999999</v>
      </c>
    </row>
    <row r="63" spans="2:6" hidden="1" x14ac:dyDescent="0.25">
      <c r="B63" s="127">
        <f t="shared" si="1"/>
        <v>41451</v>
      </c>
      <c r="D63" s="139">
        <v>0.22</v>
      </c>
      <c r="F63" s="135">
        <f t="shared" si="2"/>
        <v>135.61643799999999</v>
      </c>
    </row>
    <row r="64" spans="2:6" hidden="1" x14ac:dyDescent="0.25">
      <c r="B64" s="127">
        <f t="shared" si="1"/>
        <v>41452</v>
      </c>
      <c r="D64" s="139">
        <v>0.22</v>
      </c>
      <c r="F64" s="135">
        <f t="shared" si="2"/>
        <v>135.61643799999999</v>
      </c>
    </row>
    <row r="65" spans="1:11" hidden="1" x14ac:dyDescent="0.25">
      <c r="B65" s="127">
        <f t="shared" si="1"/>
        <v>41453</v>
      </c>
      <c r="D65" s="139">
        <v>0.22</v>
      </c>
      <c r="F65" s="135">
        <f t="shared" si="2"/>
        <v>135.61643799999999</v>
      </c>
    </row>
    <row r="66" spans="1:11" hidden="1" x14ac:dyDescent="0.25">
      <c r="B66" s="127">
        <f t="shared" si="1"/>
        <v>41454</v>
      </c>
      <c r="D66" s="139">
        <v>0.22</v>
      </c>
      <c r="F66" s="135">
        <f t="shared" si="2"/>
        <v>135.61643799999999</v>
      </c>
    </row>
    <row r="67" spans="1:11" hidden="1" x14ac:dyDescent="0.25">
      <c r="B67" s="127">
        <f t="shared" ref="B67:B130" si="3">B66+1</f>
        <v>41455</v>
      </c>
      <c r="D67" s="139">
        <v>0.22</v>
      </c>
      <c r="F67" s="135">
        <f t="shared" si="2"/>
        <v>135.61643799999999</v>
      </c>
      <c r="H67" s="136">
        <f>SUM(F38:F67)</f>
        <v>4493.8356130000011</v>
      </c>
      <c r="I67" s="164">
        <f>AVERAGE(D38:D67)</f>
        <v>0.24299999999999994</v>
      </c>
      <c r="J67" s="165">
        <f>AVERAGE(D7:D67)</f>
        <v>0.2465573770491804</v>
      </c>
      <c r="K67" s="166">
        <f>AVERAGE(D7:D67)</f>
        <v>0.2465573770491804</v>
      </c>
    </row>
    <row r="68" spans="1:11" hidden="1" x14ac:dyDescent="0.25">
      <c r="A68" s="126">
        <v>41456</v>
      </c>
      <c r="B68" s="127">
        <f t="shared" si="3"/>
        <v>41456</v>
      </c>
      <c r="D68" s="139">
        <v>0.22</v>
      </c>
      <c r="F68" s="135">
        <f t="shared" si="2"/>
        <v>135.61643799999999</v>
      </c>
    </row>
    <row r="69" spans="1:11" hidden="1" x14ac:dyDescent="0.25">
      <c r="B69" s="127">
        <f t="shared" si="3"/>
        <v>41457</v>
      </c>
      <c r="D69" s="139">
        <v>0.22</v>
      </c>
      <c r="F69" s="135">
        <f t="shared" si="2"/>
        <v>135.61643799999999</v>
      </c>
    </row>
    <row r="70" spans="1:11" hidden="1" x14ac:dyDescent="0.25">
      <c r="B70" s="127">
        <f t="shared" si="3"/>
        <v>41458</v>
      </c>
      <c r="D70" s="139">
        <v>0.22</v>
      </c>
      <c r="F70" s="135">
        <f t="shared" si="2"/>
        <v>135.61643799999999</v>
      </c>
    </row>
    <row r="71" spans="1:11" hidden="1" x14ac:dyDescent="0.25">
      <c r="B71" s="127">
        <f t="shared" si="3"/>
        <v>41459</v>
      </c>
      <c r="D71" s="139">
        <v>0.22</v>
      </c>
      <c r="F71" s="135">
        <f t="shared" si="2"/>
        <v>135.61643799999999</v>
      </c>
    </row>
    <row r="72" spans="1:11" hidden="1" x14ac:dyDescent="0.25">
      <c r="B72" s="127">
        <f t="shared" si="3"/>
        <v>41460</v>
      </c>
      <c r="D72" s="139">
        <v>0.22</v>
      </c>
      <c r="F72" s="135">
        <f t="shared" si="2"/>
        <v>135.61643799999999</v>
      </c>
    </row>
    <row r="73" spans="1:11" hidden="1" x14ac:dyDescent="0.25">
      <c r="B73" s="127">
        <f t="shared" si="3"/>
        <v>41461</v>
      </c>
      <c r="D73" s="139">
        <v>0.22</v>
      </c>
      <c r="F73" s="135">
        <f t="shared" si="2"/>
        <v>135.61643799999999</v>
      </c>
    </row>
    <row r="74" spans="1:11" hidden="1" x14ac:dyDescent="0.25">
      <c r="B74" s="127">
        <f t="shared" si="3"/>
        <v>41462</v>
      </c>
      <c r="D74" s="139">
        <v>0.22</v>
      </c>
      <c r="F74" s="135">
        <f t="shared" si="2"/>
        <v>135.61643799999999</v>
      </c>
    </row>
    <row r="75" spans="1:11" hidden="1" x14ac:dyDescent="0.25">
      <c r="B75" s="127">
        <f t="shared" si="3"/>
        <v>41463</v>
      </c>
      <c r="D75" s="139">
        <v>0.22</v>
      </c>
      <c r="F75" s="135">
        <f t="shared" si="2"/>
        <v>135.61643799999999</v>
      </c>
    </row>
    <row r="76" spans="1:11" hidden="1" x14ac:dyDescent="0.25">
      <c r="B76" s="127">
        <f t="shared" si="3"/>
        <v>41464</v>
      </c>
      <c r="D76" s="139">
        <v>0.22</v>
      </c>
      <c r="F76" s="135">
        <f t="shared" si="2"/>
        <v>135.61643799999999</v>
      </c>
    </row>
    <row r="77" spans="1:11" hidden="1" x14ac:dyDescent="0.25">
      <c r="B77" s="127">
        <f t="shared" si="3"/>
        <v>41465</v>
      </c>
      <c r="D77" s="139">
        <v>0.22</v>
      </c>
      <c r="F77" s="135">
        <f t="shared" si="2"/>
        <v>135.61643799999999</v>
      </c>
    </row>
    <row r="78" spans="1:11" hidden="1" x14ac:dyDescent="0.25">
      <c r="B78" s="127">
        <f t="shared" si="3"/>
        <v>41466</v>
      </c>
      <c r="D78" s="139">
        <v>0.22</v>
      </c>
      <c r="F78" s="135">
        <f t="shared" si="2"/>
        <v>135.61643799999999</v>
      </c>
    </row>
    <row r="79" spans="1:11" hidden="1" x14ac:dyDescent="0.25">
      <c r="B79" s="127">
        <f t="shared" si="3"/>
        <v>41467</v>
      </c>
      <c r="D79" s="139">
        <v>0.22</v>
      </c>
      <c r="F79" s="135">
        <f t="shared" si="2"/>
        <v>135.61643799999999</v>
      </c>
    </row>
    <row r="80" spans="1:11" hidden="1" x14ac:dyDescent="0.25">
      <c r="B80" s="127">
        <f t="shared" si="3"/>
        <v>41468</v>
      </c>
      <c r="D80" s="139">
        <v>0.22</v>
      </c>
      <c r="F80" s="135">
        <f t="shared" si="2"/>
        <v>135.61643799999999</v>
      </c>
    </row>
    <row r="81" spans="2:6" hidden="1" x14ac:dyDescent="0.25">
      <c r="B81" s="127">
        <f t="shared" si="3"/>
        <v>41469</v>
      </c>
      <c r="D81" s="139">
        <v>0.22</v>
      </c>
      <c r="F81" s="135">
        <f t="shared" si="2"/>
        <v>135.61643799999999</v>
      </c>
    </row>
    <row r="82" spans="2:6" hidden="1" x14ac:dyDescent="0.25">
      <c r="B82" s="127">
        <f t="shared" si="3"/>
        <v>41470</v>
      </c>
      <c r="D82" s="139">
        <v>0.22</v>
      </c>
      <c r="F82" s="135">
        <f t="shared" si="2"/>
        <v>135.61643799999999</v>
      </c>
    </row>
    <row r="83" spans="2:6" hidden="1" x14ac:dyDescent="0.25">
      <c r="B83" s="127">
        <f t="shared" si="3"/>
        <v>41471</v>
      </c>
      <c r="D83" s="139">
        <v>0.22</v>
      </c>
      <c r="F83" s="135">
        <f t="shared" si="2"/>
        <v>135.61643799999999</v>
      </c>
    </row>
    <row r="84" spans="2:6" hidden="1" x14ac:dyDescent="0.25">
      <c r="B84" s="127">
        <f t="shared" si="3"/>
        <v>41472</v>
      </c>
      <c r="D84" s="139">
        <v>0.22</v>
      </c>
      <c r="F84" s="135">
        <f t="shared" si="2"/>
        <v>135.61643799999999</v>
      </c>
    </row>
    <row r="85" spans="2:6" hidden="1" x14ac:dyDescent="0.25">
      <c r="B85" s="127">
        <f t="shared" si="3"/>
        <v>41473</v>
      </c>
      <c r="D85" s="139">
        <v>0.22</v>
      </c>
      <c r="F85" s="135">
        <f t="shared" si="2"/>
        <v>135.61643799999999</v>
      </c>
    </row>
    <row r="86" spans="2:6" hidden="1" x14ac:dyDescent="0.25">
      <c r="B86" s="127">
        <f t="shared" si="3"/>
        <v>41474</v>
      </c>
      <c r="D86" s="139">
        <v>0.22</v>
      </c>
      <c r="F86" s="135">
        <f t="shared" si="2"/>
        <v>135.61643799999999</v>
      </c>
    </row>
    <row r="87" spans="2:6" hidden="1" x14ac:dyDescent="0.25">
      <c r="B87" s="127">
        <f t="shared" si="3"/>
        <v>41475</v>
      </c>
      <c r="D87" s="139">
        <v>0.22</v>
      </c>
      <c r="F87" s="135">
        <f t="shared" si="2"/>
        <v>135.61643799999999</v>
      </c>
    </row>
    <row r="88" spans="2:6" hidden="1" x14ac:dyDescent="0.25">
      <c r="B88" s="127">
        <f t="shared" si="3"/>
        <v>41476</v>
      </c>
      <c r="D88" s="139">
        <v>0.22</v>
      </c>
      <c r="F88" s="135">
        <f t="shared" si="2"/>
        <v>135.61643799999999</v>
      </c>
    </row>
    <row r="89" spans="2:6" hidden="1" x14ac:dyDescent="0.25">
      <c r="B89" s="127">
        <f t="shared" si="3"/>
        <v>41477</v>
      </c>
      <c r="D89" s="139">
        <v>0.22</v>
      </c>
      <c r="F89" s="135">
        <f t="shared" si="2"/>
        <v>135.61643799999999</v>
      </c>
    </row>
    <row r="90" spans="2:6" hidden="1" x14ac:dyDescent="0.25">
      <c r="B90" s="127">
        <f t="shared" si="3"/>
        <v>41478</v>
      </c>
      <c r="D90" s="139">
        <v>0.22</v>
      </c>
      <c r="F90" s="135">
        <f t="shared" si="2"/>
        <v>135.61643799999999</v>
      </c>
    </row>
    <row r="91" spans="2:6" hidden="1" x14ac:dyDescent="0.25">
      <c r="B91" s="127">
        <f t="shared" si="3"/>
        <v>41479</v>
      </c>
      <c r="D91" s="139">
        <v>0.22</v>
      </c>
      <c r="F91" s="135">
        <f t="shared" si="2"/>
        <v>135.61643799999999</v>
      </c>
    </row>
    <row r="92" spans="2:6" hidden="1" x14ac:dyDescent="0.25">
      <c r="B92" s="127">
        <f t="shared" si="3"/>
        <v>41480</v>
      </c>
      <c r="D92" s="139">
        <v>0.22</v>
      </c>
      <c r="F92" s="135">
        <f t="shared" si="2"/>
        <v>135.61643799999999</v>
      </c>
    </row>
    <row r="93" spans="2:6" hidden="1" x14ac:dyDescent="0.25">
      <c r="B93" s="127">
        <f t="shared" si="3"/>
        <v>41481</v>
      </c>
      <c r="D93" s="139">
        <v>0.22</v>
      </c>
      <c r="F93" s="135">
        <f t="shared" si="2"/>
        <v>135.61643799999999</v>
      </c>
    </row>
    <row r="94" spans="2:6" hidden="1" x14ac:dyDescent="0.25">
      <c r="B94" s="127">
        <f t="shared" si="3"/>
        <v>41482</v>
      </c>
      <c r="D94" s="139">
        <v>0.22</v>
      </c>
      <c r="F94" s="135">
        <f t="shared" si="2"/>
        <v>135.61643799999999</v>
      </c>
    </row>
    <row r="95" spans="2:6" hidden="1" x14ac:dyDescent="0.25">
      <c r="B95" s="127">
        <f t="shared" si="3"/>
        <v>41483</v>
      </c>
      <c r="D95" s="139">
        <v>0.22</v>
      </c>
      <c r="F95" s="135">
        <f t="shared" si="2"/>
        <v>135.61643799999999</v>
      </c>
    </row>
    <row r="96" spans="2:6" hidden="1" x14ac:dyDescent="0.25">
      <c r="B96" s="127">
        <f t="shared" si="3"/>
        <v>41484</v>
      </c>
      <c r="D96" s="139">
        <v>0.22</v>
      </c>
      <c r="F96" s="135">
        <f t="shared" si="2"/>
        <v>135.61643799999999</v>
      </c>
    </row>
    <row r="97" spans="1:11" hidden="1" x14ac:dyDescent="0.25">
      <c r="B97" s="127">
        <f t="shared" si="3"/>
        <v>41485</v>
      </c>
      <c r="D97" s="139">
        <v>0.22</v>
      </c>
      <c r="F97" s="135">
        <f t="shared" si="2"/>
        <v>135.61643799999999</v>
      </c>
    </row>
    <row r="98" spans="1:11" hidden="1" x14ac:dyDescent="0.25">
      <c r="B98" s="127">
        <f t="shared" si="3"/>
        <v>41486</v>
      </c>
      <c r="D98" s="139">
        <v>0.22</v>
      </c>
      <c r="F98" s="135">
        <f t="shared" si="2"/>
        <v>135.61643799999999</v>
      </c>
      <c r="H98" s="136">
        <f>SUM(F68:F98)</f>
        <v>4204.1095779999996</v>
      </c>
      <c r="I98" s="164">
        <f>AVERAGE(D68:D98)</f>
        <v>0.21999999999999995</v>
      </c>
      <c r="J98" s="165">
        <f>AVERAGE(D7:D98)</f>
        <v>0.23760869565217368</v>
      </c>
      <c r="K98" s="166">
        <f>AVERAGE(D7:D98)</f>
        <v>0.23760869565217368</v>
      </c>
    </row>
    <row r="99" spans="1:11" hidden="1" x14ac:dyDescent="0.25">
      <c r="A99" s="126">
        <v>41499</v>
      </c>
      <c r="B99" s="127">
        <f t="shared" si="3"/>
        <v>41487</v>
      </c>
      <c r="D99" s="139">
        <v>0.22</v>
      </c>
      <c r="F99" s="135">
        <f t="shared" si="2"/>
        <v>135.61643799999999</v>
      </c>
    </row>
    <row r="100" spans="1:11" hidden="1" x14ac:dyDescent="0.25">
      <c r="B100" s="127">
        <f t="shared" si="3"/>
        <v>41488</v>
      </c>
      <c r="D100" s="139">
        <v>0.22</v>
      </c>
      <c r="F100" s="135">
        <f t="shared" si="2"/>
        <v>135.61643799999999</v>
      </c>
    </row>
    <row r="101" spans="1:11" hidden="1" x14ac:dyDescent="0.25">
      <c r="B101" s="127">
        <f t="shared" si="3"/>
        <v>41489</v>
      </c>
      <c r="D101" s="139">
        <v>0.22</v>
      </c>
      <c r="F101" s="135">
        <f t="shared" si="2"/>
        <v>135.61643799999999</v>
      </c>
    </row>
    <row r="102" spans="1:11" hidden="1" x14ac:dyDescent="0.25">
      <c r="B102" s="127">
        <f t="shared" si="3"/>
        <v>41490</v>
      </c>
      <c r="D102" s="139">
        <v>0.22</v>
      </c>
      <c r="F102" s="135">
        <f t="shared" si="2"/>
        <v>135.61643799999999</v>
      </c>
    </row>
    <row r="103" spans="1:11" hidden="1" x14ac:dyDescent="0.25">
      <c r="B103" s="127">
        <f t="shared" si="3"/>
        <v>41491</v>
      </c>
      <c r="D103" s="139">
        <v>0.22</v>
      </c>
      <c r="F103" s="135">
        <f t="shared" si="2"/>
        <v>135.61643799999999</v>
      </c>
    </row>
    <row r="104" spans="1:11" hidden="1" x14ac:dyDescent="0.25">
      <c r="B104" s="127">
        <f t="shared" si="3"/>
        <v>41492</v>
      </c>
      <c r="D104" s="139">
        <v>0.22</v>
      </c>
      <c r="F104" s="135">
        <f t="shared" si="2"/>
        <v>135.61643799999999</v>
      </c>
    </row>
    <row r="105" spans="1:11" hidden="1" x14ac:dyDescent="0.25">
      <c r="B105" s="127">
        <f t="shared" si="3"/>
        <v>41493</v>
      </c>
      <c r="D105" s="139">
        <v>0.22</v>
      </c>
      <c r="F105" s="135">
        <f t="shared" si="2"/>
        <v>135.61643799999999</v>
      </c>
    </row>
    <row r="106" spans="1:11" hidden="1" x14ac:dyDescent="0.25">
      <c r="B106" s="127">
        <f t="shared" si="3"/>
        <v>41494</v>
      </c>
      <c r="D106" s="139">
        <v>0.22</v>
      </c>
      <c r="F106" s="135">
        <f t="shared" si="2"/>
        <v>135.61643799999999</v>
      </c>
    </row>
    <row r="107" spans="1:11" hidden="1" x14ac:dyDescent="0.25">
      <c r="B107" s="127">
        <f t="shared" si="3"/>
        <v>41495</v>
      </c>
      <c r="D107" s="139">
        <v>0.22</v>
      </c>
      <c r="F107" s="135">
        <f t="shared" si="2"/>
        <v>135.61643799999999</v>
      </c>
    </row>
    <row r="108" spans="1:11" hidden="1" x14ac:dyDescent="0.25">
      <c r="B108" s="127">
        <f t="shared" si="3"/>
        <v>41496</v>
      </c>
      <c r="D108" s="139">
        <v>0.22</v>
      </c>
      <c r="F108" s="135">
        <f t="shared" si="2"/>
        <v>135.61643799999999</v>
      </c>
    </row>
    <row r="109" spans="1:11" hidden="1" x14ac:dyDescent="0.25">
      <c r="B109" s="127">
        <f t="shared" si="3"/>
        <v>41497</v>
      </c>
      <c r="D109" s="139">
        <v>0.22</v>
      </c>
      <c r="F109" s="135">
        <f t="shared" si="2"/>
        <v>135.61643799999999</v>
      </c>
    </row>
    <row r="110" spans="1:11" hidden="1" x14ac:dyDescent="0.25">
      <c r="B110" s="127">
        <f t="shared" si="3"/>
        <v>41498</v>
      </c>
      <c r="D110" s="139">
        <v>0.22</v>
      </c>
      <c r="F110" s="135">
        <f t="shared" si="2"/>
        <v>135.61643799999999</v>
      </c>
    </row>
    <row r="111" spans="1:11" hidden="1" x14ac:dyDescent="0.25">
      <c r="B111" s="127">
        <f t="shared" si="3"/>
        <v>41499</v>
      </c>
      <c r="D111" s="139">
        <v>0.22</v>
      </c>
      <c r="F111" s="135">
        <f t="shared" si="2"/>
        <v>135.61643799999999</v>
      </c>
    </row>
    <row r="112" spans="1:11" hidden="1" x14ac:dyDescent="0.25">
      <c r="B112" s="127">
        <f t="shared" si="3"/>
        <v>41500</v>
      </c>
      <c r="D112" s="139">
        <v>0.22</v>
      </c>
      <c r="F112" s="135">
        <f t="shared" si="2"/>
        <v>135.61643799999999</v>
      </c>
    </row>
    <row r="113" spans="2:6" hidden="1" x14ac:dyDescent="0.25">
      <c r="B113" s="127">
        <f t="shared" si="3"/>
        <v>41501</v>
      </c>
      <c r="D113" s="139">
        <v>0.22</v>
      </c>
      <c r="F113" s="135">
        <f t="shared" si="2"/>
        <v>135.61643799999999</v>
      </c>
    </row>
    <row r="114" spans="2:6" hidden="1" x14ac:dyDescent="0.25">
      <c r="B114" s="127">
        <f t="shared" si="3"/>
        <v>41502</v>
      </c>
      <c r="D114" s="139">
        <v>0.22</v>
      </c>
      <c r="F114" s="135">
        <f t="shared" si="2"/>
        <v>135.61643799999999</v>
      </c>
    </row>
    <row r="115" spans="2:6" hidden="1" x14ac:dyDescent="0.25">
      <c r="B115" s="127">
        <f t="shared" si="3"/>
        <v>41503</v>
      </c>
      <c r="D115" s="139">
        <v>0.22</v>
      </c>
      <c r="F115" s="135">
        <f t="shared" si="2"/>
        <v>135.61643799999999</v>
      </c>
    </row>
    <row r="116" spans="2:6" hidden="1" x14ac:dyDescent="0.25">
      <c r="B116" s="127">
        <f t="shared" si="3"/>
        <v>41504</v>
      </c>
      <c r="D116" s="139">
        <v>0.22</v>
      </c>
      <c r="F116" s="135">
        <f t="shared" si="2"/>
        <v>135.61643799999999</v>
      </c>
    </row>
    <row r="117" spans="2:6" hidden="1" x14ac:dyDescent="0.25">
      <c r="B117" s="127">
        <f t="shared" si="3"/>
        <v>41505</v>
      </c>
      <c r="D117" s="139">
        <v>0.22</v>
      </c>
      <c r="F117" s="135">
        <f t="shared" si="2"/>
        <v>135.61643799999999</v>
      </c>
    </row>
    <row r="118" spans="2:6" hidden="1" x14ac:dyDescent="0.25">
      <c r="B118" s="127">
        <f t="shared" si="3"/>
        <v>41506</v>
      </c>
      <c r="D118" s="139">
        <v>0.22</v>
      </c>
      <c r="F118" s="135">
        <f t="shared" si="2"/>
        <v>135.61643799999999</v>
      </c>
    </row>
    <row r="119" spans="2:6" hidden="1" x14ac:dyDescent="0.25">
      <c r="B119" s="127">
        <f t="shared" si="3"/>
        <v>41507</v>
      </c>
      <c r="D119" s="139">
        <v>0.22</v>
      </c>
      <c r="F119" s="135">
        <f t="shared" si="2"/>
        <v>135.61643799999999</v>
      </c>
    </row>
    <row r="120" spans="2:6" hidden="1" x14ac:dyDescent="0.25">
      <c r="B120" s="127">
        <f t="shared" si="3"/>
        <v>41508</v>
      </c>
      <c r="D120" s="139">
        <v>0.22</v>
      </c>
      <c r="F120" s="135">
        <f t="shared" si="2"/>
        <v>135.61643799999999</v>
      </c>
    </row>
    <row r="121" spans="2:6" hidden="1" x14ac:dyDescent="0.25">
      <c r="B121" s="127">
        <f t="shared" si="3"/>
        <v>41509</v>
      </c>
      <c r="D121" s="139">
        <v>0.22</v>
      </c>
      <c r="F121" s="135">
        <f t="shared" si="2"/>
        <v>135.61643799999999</v>
      </c>
    </row>
    <row r="122" spans="2:6" hidden="1" x14ac:dyDescent="0.25">
      <c r="B122" s="127">
        <f t="shared" si="3"/>
        <v>41510</v>
      </c>
      <c r="D122" s="139">
        <v>0.22</v>
      </c>
      <c r="F122" s="135">
        <f t="shared" ref="F122:F185" si="4">ROUND(D122/100*$A$3/365,6)</f>
        <v>135.61643799999999</v>
      </c>
    </row>
    <row r="123" spans="2:6" hidden="1" x14ac:dyDescent="0.25">
      <c r="B123" s="127">
        <f t="shared" si="3"/>
        <v>41511</v>
      </c>
      <c r="D123" s="139">
        <v>0.22</v>
      </c>
      <c r="F123" s="135">
        <f t="shared" si="4"/>
        <v>135.61643799999999</v>
      </c>
    </row>
    <row r="124" spans="2:6" hidden="1" x14ac:dyDescent="0.25">
      <c r="B124" s="127">
        <f t="shared" si="3"/>
        <v>41512</v>
      </c>
      <c r="D124" s="139">
        <v>0.22</v>
      </c>
      <c r="F124" s="135">
        <f t="shared" si="4"/>
        <v>135.61643799999999</v>
      </c>
    </row>
    <row r="125" spans="2:6" hidden="1" x14ac:dyDescent="0.25">
      <c r="B125" s="127">
        <f t="shared" si="3"/>
        <v>41513</v>
      </c>
      <c r="D125" s="139">
        <v>0.22</v>
      </c>
      <c r="F125" s="135">
        <f t="shared" si="4"/>
        <v>135.61643799999999</v>
      </c>
    </row>
    <row r="126" spans="2:6" hidden="1" x14ac:dyDescent="0.25">
      <c r="B126" s="127">
        <f t="shared" si="3"/>
        <v>41514</v>
      </c>
      <c r="D126" s="139">
        <v>0.22</v>
      </c>
      <c r="F126" s="135">
        <f t="shared" si="4"/>
        <v>135.61643799999999</v>
      </c>
    </row>
    <row r="127" spans="2:6" hidden="1" x14ac:dyDescent="0.25">
      <c r="B127" s="127">
        <f t="shared" si="3"/>
        <v>41515</v>
      </c>
      <c r="D127" s="139">
        <v>0.22</v>
      </c>
      <c r="F127" s="135">
        <f t="shared" si="4"/>
        <v>135.61643799999999</v>
      </c>
    </row>
    <row r="128" spans="2:6" hidden="1" x14ac:dyDescent="0.25">
      <c r="B128" s="127">
        <f t="shared" si="3"/>
        <v>41516</v>
      </c>
      <c r="D128" s="139">
        <v>0.22</v>
      </c>
      <c r="F128" s="135">
        <f t="shared" si="4"/>
        <v>135.61643799999999</v>
      </c>
    </row>
    <row r="129" spans="1:11" hidden="1" x14ac:dyDescent="0.25">
      <c r="B129" s="127">
        <f t="shared" si="3"/>
        <v>41517</v>
      </c>
      <c r="D129" s="139">
        <v>0.22</v>
      </c>
      <c r="F129" s="135">
        <f t="shared" si="4"/>
        <v>135.61643799999999</v>
      </c>
      <c r="H129" s="136">
        <f>SUM(F99:F129)</f>
        <v>4204.1095779999996</v>
      </c>
      <c r="I129" s="164">
        <f>AVERAGE(D99:D129)</f>
        <v>0.21999999999999995</v>
      </c>
      <c r="J129" s="165">
        <f>AVERAGE(D7:D129)</f>
        <v>0.23317073170731661</v>
      </c>
      <c r="K129" s="166">
        <f>AVERAGE(D7:D129)</f>
        <v>0.23317073170731661</v>
      </c>
    </row>
    <row r="130" spans="1:11" hidden="1" x14ac:dyDescent="0.25">
      <c r="A130" s="126">
        <v>41530</v>
      </c>
      <c r="B130" s="127">
        <f t="shared" si="3"/>
        <v>41518</v>
      </c>
      <c r="D130" s="139">
        <v>0.22</v>
      </c>
      <c r="F130" s="135">
        <f t="shared" si="4"/>
        <v>135.61643799999999</v>
      </c>
    </row>
    <row r="131" spans="1:11" hidden="1" x14ac:dyDescent="0.25">
      <c r="B131" s="127">
        <f t="shared" ref="B131:B190" si="5">B130+1</f>
        <v>41519</v>
      </c>
      <c r="D131" s="139">
        <v>0.22</v>
      </c>
      <c r="F131" s="135">
        <f t="shared" si="4"/>
        <v>135.61643799999999</v>
      </c>
    </row>
    <row r="132" spans="1:11" hidden="1" x14ac:dyDescent="0.25">
      <c r="B132" s="127">
        <f t="shared" si="5"/>
        <v>41520</v>
      </c>
      <c r="D132" s="139">
        <v>0.22</v>
      </c>
      <c r="F132" s="135">
        <f t="shared" si="4"/>
        <v>135.61643799999999</v>
      </c>
    </row>
    <row r="133" spans="1:11" hidden="1" x14ac:dyDescent="0.25">
      <c r="B133" s="127">
        <f t="shared" si="5"/>
        <v>41521</v>
      </c>
      <c r="D133" s="139">
        <v>0.22</v>
      </c>
      <c r="F133" s="135">
        <f t="shared" si="4"/>
        <v>135.61643799999999</v>
      </c>
    </row>
    <row r="134" spans="1:11" hidden="1" x14ac:dyDescent="0.25">
      <c r="B134" s="127">
        <f t="shared" si="5"/>
        <v>41522</v>
      </c>
      <c r="D134" s="139">
        <v>0.22</v>
      </c>
      <c r="F134" s="135">
        <f t="shared" si="4"/>
        <v>135.61643799999999</v>
      </c>
    </row>
    <row r="135" spans="1:11" hidden="1" x14ac:dyDescent="0.25">
      <c r="B135" s="127">
        <f t="shared" si="5"/>
        <v>41523</v>
      </c>
      <c r="D135" s="139">
        <v>0.22</v>
      </c>
      <c r="F135" s="135">
        <f t="shared" si="4"/>
        <v>135.61643799999999</v>
      </c>
    </row>
    <row r="136" spans="1:11" hidden="1" x14ac:dyDescent="0.25">
      <c r="B136" s="127">
        <f t="shared" si="5"/>
        <v>41524</v>
      </c>
      <c r="D136" s="139">
        <v>0.22</v>
      </c>
      <c r="F136" s="135">
        <f t="shared" si="4"/>
        <v>135.61643799999999</v>
      </c>
    </row>
    <row r="137" spans="1:11" hidden="1" x14ac:dyDescent="0.25">
      <c r="B137" s="127">
        <f t="shared" si="5"/>
        <v>41525</v>
      </c>
      <c r="D137" s="139">
        <v>0.22</v>
      </c>
      <c r="F137" s="135">
        <f t="shared" si="4"/>
        <v>135.61643799999999</v>
      </c>
    </row>
    <row r="138" spans="1:11" hidden="1" x14ac:dyDescent="0.25">
      <c r="B138" s="127">
        <f t="shared" si="5"/>
        <v>41526</v>
      </c>
      <c r="D138" s="139">
        <v>0.22</v>
      </c>
      <c r="F138" s="135">
        <f t="shared" si="4"/>
        <v>135.61643799999999</v>
      </c>
    </row>
    <row r="139" spans="1:11" hidden="1" x14ac:dyDescent="0.25">
      <c r="B139" s="127">
        <f t="shared" si="5"/>
        <v>41527</v>
      </c>
      <c r="D139" s="139">
        <v>0.22</v>
      </c>
      <c r="F139" s="135">
        <f t="shared" si="4"/>
        <v>135.61643799999999</v>
      </c>
    </row>
    <row r="140" spans="1:11" hidden="1" x14ac:dyDescent="0.25">
      <c r="B140" s="127">
        <f t="shared" si="5"/>
        <v>41528</v>
      </c>
      <c r="D140" s="139">
        <v>0.22</v>
      </c>
      <c r="F140" s="135">
        <f t="shared" si="4"/>
        <v>135.61643799999999</v>
      </c>
    </row>
    <row r="141" spans="1:11" hidden="1" x14ac:dyDescent="0.25">
      <c r="B141" s="127">
        <f t="shared" si="5"/>
        <v>41529</v>
      </c>
      <c r="D141" s="139">
        <v>0.22</v>
      </c>
      <c r="F141" s="135">
        <f t="shared" si="4"/>
        <v>135.61643799999999</v>
      </c>
    </row>
    <row r="142" spans="1:11" hidden="1" x14ac:dyDescent="0.25">
      <c r="B142" s="127">
        <f t="shared" si="5"/>
        <v>41530</v>
      </c>
      <c r="D142" s="139">
        <v>0.22</v>
      </c>
      <c r="F142" s="135">
        <f t="shared" si="4"/>
        <v>135.61643799999999</v>
      </c>
    </row>
    <row r="143" spans="1:11" hidden="1" x14ac:dyDescent="0.25">
      <c r="B143" s="127">
        <f t="shared" si="5"/>
        <v>41531</v>
      </c>
      <c r="D143" s="139">
        <v>0.22</v>
      </c>
      <c r="F143" s="135">
        <f t="shared" si="4"/>
        <v>135.61643799999999</v>
      </c>
    </row>
    <row r="144" spans="1:11" hidden="1" x14ac:dyDescent="0.25">
      <c r="B144" s="127">
        <f t="shared" si="5"/>
        <v>41532</v>
      </c>
      <c r="D144" s="139">
        <v>0.22</v>
      </c>
      <c r="F144" s="135">
        <f t="shared" si="4"/>
        <v>135.61643799999999</v>
      </c>
    </row>
    <row r="145" spans="1:11" hidden="1" x14ac:dyDescent="0.25">
      <c r="B145" s="127">
        <f t="shared" si="5"/>
        <v>41533</v>
      </c>
      <c r="D145" s="139">
        <v>0.22</v>
      </c>
      <c r="F145" s="135">
        <f t="shared" si="4"/>
        <v>135.61643799999999</v>
      </c>
    </row>
    <row r="146" spans="1:11" hidden="1" x14ac:dyDescent="0.25">
      <c r="B146" s="127">
        <f t="shared" si="5"/>
        <v>41534</v>
      </c>
      <c r="D146" s="139">
        <v>0.22</v>
      </c>
      <c r="F146" s="135">
        <f t="shared" si="4"/>
        <v>135.61643799999999</v>
      </c>
    </row>
    <row r="147" spans="1:11" hidden="1" x14ac:dyDescent="0.25">
      <c r="B147" s="127">
        <f t="shared" si="5"/>
        <v>41535</v>
      </c>
      <c r="D147" s="139">
        <v>0.22</v>
      </c>
      <c r="F147" s="135">
        <f t="shared" si="4"/>
        <v>135.61643799999999</v>
      </c>
    </row>
    <row r="148" spans="1:11" hidden="1" x14ac:dyDescent="0.25">
      <c r="B148" s="127">
        <f t="shared" si="5"/>
        <v>41536</v>
      </c>
      <c r="D148" s="139">
        <v>0.22</v>
      </c>
      <c r="F148" s="135">
        <f t="shared" si="4"/>
        <v>135.61643799999999</v>
      </c>
    </row>
    <row r="149" spans="1:11" hidden="1" x14ac:dyDescent="0.25">
      <c r="B149" s="127">
        <f t="shared" si="5"/>
        <v>41537</v>
      </c>
      <c r="D149" s="139">
        <v>0.22</v>
      </c>
      <c r="F149" s="135">
        <f t="shared" si="4"/>
        <v>135.61643799999999</v>
      </c>
    </row>
    <row r="150" spans="1:11" hidden="1" x14ac:dyDescent="0.25">
      <c r="B150" s="127">
        <f t="shared" si="5"/>
        <v>41538</v>
      </c>
      <c r="D150" s="139">
        <v>0.22</v>
      </c>
      <c r="F150" s="135">
        <f t="shared" si="4"/>
        <v>135.61643799999999</v>
      </c>
    </row>
    <row r="151" spans="1:11" hidden="1" x14ac:dyDescent="0.25">
      <c r="B151" s="127">
        <f t="shared" si="5"/>
        <v>41539</v>
      </c>
      <c r="D151" s="139">
        <v>0.22</v>
      </c>
      <c r="F151" s="135">
        <f t="shared" si="4"/>
        <v>135.61643799999999</v>
      </c>
    </row>
    <row r="152" spans="1:11" hidden="1" x14ac:dyDescent="0.25">
      <c r="B152" s="127">
        <f t="shared" si="5"/>
        <v>41540</v>
      </c>
      <c r="D152" s="139">
        <v>0.22</v>
      </c>
      <c r="F152" s="135">
        <f t="shared" si="4"/>
        <v>135.61643799999999</v>
      </c>
    </row>
    <row r="153" spans="1:11" hidden="1" x14ac:dyDescent="0.25">
      <c r="B153" s="127">
        <f t="shared" si="5"/>
        <v>41541</v>
      </c>
      <c r="D153" s="139">
        <v>0.22</v>
      </c>
      <c r="F153" s="135">
        <f t="shared" si="4"/>
        <v>135.61643799999999</v>
      </c>
    </row>
    <row r="154" spans="1:11" hidden="1" x14ac:dyDescent="0.25">
      <c r="B154" s="127">
        <f t="shared" si="5"/>
        <v>41542</v>
      </c>
      <c r="D154" s="139">
        <v>0.22</v>
      </c>
      <c r="F154" s="135">
        <f t="shared" si="4"/>
        <v>135.61643799999999</v>
      </c>
    </row>
    <row r="155" spans="1:11" hidden="1" x14ac:dyDescent="0.25">
      <c r="B155" s="127">
        <f t="shared" si="5"/>
        <v>41543</v>
      </c>
      <c r="D155" s="139">
        <v>0.22</v>
      </c>
      <c r="F155" s="135">
        <f t="shared" si="4"/>
        <v>135.61643799999999</v>
      </c>
    </row>
    <row r="156" spans="1:11" hidden="1" x14ac:dyDescent="0.25">
      <c r="B156" s="127">
        <f t="shared" si="5"/>
        <v>41544</v>
      </c>
      <c r="D156" s="139">
        <v>0.22</v>
      </c>
      <c r="F156" s="135">
        <f t="shared" si="4"/>
        <v>135.61643799999999</v>
      </c>
    </row>
    <row r="157" spans="1:11" hidden="1" x14ac:dyDescent="0.25">
      <c r="B157" s="127">
        <f t="shared" si="5"/>
        <v>41545</v>
      </c>
      <c r="D157" s="139">
        <v>0.22</v>
      </c>
      <c r="F157" s="135">
        <f t="shared" si="4"/>
        <v>135.61643799999999</v>
      </c>
    </row>
    <row r="158" spans="1:11" hidden="1" x14ac:dyDescent="0.25">
      <c r="B158" s="127">
        <f t="shared" si="5"/>
        <v>41546</v>
      </c>
      <c r="D158" s="139">
        <v>0.22</v>
      </c>
      <c r="F158" s="135">
        <f t="shared" si="4"/>
        <v>135.61643799999999</v>
      </c>
    </row>
    <row r="159" spans="1:11" hidden="1" x14ac:dyDescent="0.25">
      <c r="B159" s="127">
        <f t="shared" si="5"/>
        <v>41547</v>
      </c>
      <c r="D159" s="139">
        <v>0.22</v>
      </c>
      <c r="F159" s="135">
        <f t="shared" si="4"/>
        <v>135.61643799999999</v>
      </c>
      <c r="H159" s="136">
        <f>SUM(F130:F159)</f>
        <v>4068.49314</v>
      </c>
      <c r="I159" s="164">
        <f>AVERAGE(D130:D159)</f>
        <v>0.21999999999999995</v>
      </c>
      <c r="J159" s="165">
        <f>AVERAGE(D7:D159)</f>
        <v>0.23058823529411704</v>
      </c>
      <c r="K159" s="166">
        <f>AVERAGE(D7:D159)</f>
        <v>0.23058823529411704</v>
      </c>
    </row>
    <row r="160" spans="1:11" x14ac:dyDescent="0.25">
      <c r="A160" s="126">
        <v>41548</v>
      </c>
      <c r="B160" s="127">
        <f t="shared" si="5"/>
        <v>41548</v>
      </c>
      <c r="D160" s="139">
        <v>0.22</v>
      </c>
      <c r="F160" s="135">
        <f t="shared" si="4"/>
        <v>135.61643799999999</v>
      </c>
    </row>
    <row r="161" spans="2:6" x14ac:dyDescent="0.25">
      <c r="B161" s="127">
        <f t="shared" si="5"/>
        <v>41549</v>
      </c>
      <c r="D161" s="139">
        <v>0.22</v>
      </c>
      <c r="F161" s="135">
        <f t="shared" si="4"/>
        <v>135.61643799999999</v>
      </c>
    </row>
    <row r="162" spans="2:6" x14ac:dyDescent="0.25">
      <c r="B162" s="127">
        <f t="shared" si="5"/>
        <v>41550</v>
      </c>
      <c r="D162" s="139">
        <v>0.22</v>
      </c>
      <c r="F162" s="135">
        <f t="shared" si="4"/>
        <v>135.61643799999999</v>
      </c>
    </row>
    <row r="163" spans="2:6" x14ac:dyDescent="0.25">
      <c r="B163" s="127">
        <f t="shared" si="5"/>
        <v>41551</v>
      </c>
      <c r="D163" s="139">
        <v>0.2</v>
      </c>
      <c r="F163" s="135">
        <f t="shared" si="4"/>
        <v>123.287671</v>
      </c>
    </row>
    <row r="164" spans="2:6" x14ac:dyDescent="0.25">
      <c r="B164" s="127">
        <f t="shared" si="5"/>
        <v>41552</v>
      </c>
      <c r="D164" s="139">
        <v>0.2</v>
      </c>
      <c r="F164" s="135">
        <f t="shared" si="4"/>
        <v>123.287671</v>
      </c>
    </row>
    <row r="165" spans="2:6" x14ac:dyDescent="0.25">
      <c r="B165" s="127">
        <f t="shared" si="5"/>
        <v>41553</v>
      </c>
      <c r="D165" s="139">
        <v>0.2</v>
      </c>
      <c r="F165" s="135">
        <f t="shared" si="4"/>
        <v>123.287671</v>
      </c>
    </row>
    <row r="166" spans="2:6" x14ac:dyDescent="0.25">
      <c r="B166" s="127">
        <f t="shared" si="5"/>
        <v>41554</v>
      </c>
      <c r="D166" s="139">
        <v>0.2</v>
      </c>
      <c r="F166" s="135">
        <f t="shared" si="4"/>
        <v>123.287671</v>
      </c>
    </row>
    <row r="167" spans="2:6" x14ac:dyDescent="0.25">
      <c r="B167" s="127">
        <f t="shared" si="5"/>
        <v>41555</v>
      </c>
      <c r="D167" s="139">
        <v>0.2</v>
      </c>
      <c r="F167" s="135">
        <f t="shared" si="4"/>
        <v>123.287671</v>
      </c>
    </row>
    <row r="168" spans="2:6" x14ac:dyDescent="0.25">
      <c r="B168" s="127">
        <f t="shared" si="5"/>
        <v>41556</v>
      </c>
      <c r="D168" s="139">
        <v>0.2</v>
      </c>
      <c r="F168" s="135">
        <f t="shared" si="4"/>
        <v>123.287671</v>
      </c>
    </row>
    <row r="169" spans="2:6" x14ac:dyDescent="0.25">
      <c r="B169" s="127">
        <f t="shared" si="5"/>
        <v>41557</v>
      </c>
      <c r="D169" s="139">
        <v>0.2</v>
      </c>
      <c r="F169" s="135">
        <f t="shared" si="4"/>
        <v>123.287671</v>
      </c>
    </row>
    <row r="170" spans="2:6" x14ac:dyDescent="0.25">
      <c r="B170" s="127">
        <f t="shared" si="5"/>
        <v>41558</v>
      </c>
      <c r="D170" s="139">
        <v>0.2</v>
      </c>
      <c r="F170" s="135">
        <f t="shared" si="4"/>
        <v>123.287671</v>
      </c>
    </row>
    <row r="171" spans="2:6" x14ac:dyDescent="0.25">
      <c r="B171" s="127">
        <f t="shared" si="5"/>
        <v>41559</v>
      </c>
      <c r="D171" s="139">
        <v>0.2</v>
      </c>
      <c r="F171" s="135">
        <f t="shared" si="4"/>
        <v>123.287671</v>
      </c>
    </row>
    <row r="172" spans="2:6" x14ac:dyDescent="0.25">
      <c r="B172" s="127">
        <f t="shared" si="5"/>
        <v>41560</v>
      </c>
      <c r="D172" s="139">
        <v>0.2</v>
      </c>
      <c r="F172" s="135">
        <f t="shared" si="4"/>
        <v>123.287671</v>
      </c>
    </row>
    <row r="173" spans="2:6" x14ac:dyDescent="0.25">
      <c r="B173" s="127">
        <f t="shared" si="5"/>
        <v>41561</v>
      </c>
      <c r="D173" s="139">
        <v>0.2</v>
      </c>
      <c r="F173" s="135">
        <f t="shared" si="4"/>
        <v>123.287671</v>
      </c>
    </row>
    <row r="174" spans="2:6" x14ac:dyDescent="0.25">
      <c r="B174" s="127">
        <f t="shared" si="5"/>
        <v>41562</v>
      </c>
      <c r="D174" s="139">
        <v>0.2</v>
      </c>
      <c r="F174" s="135">
        <f t="shared" si="4"/>
        <v>123.287671</v>
      </c>
    </row>
    <row r="175" spans="2:6" x14ac:dyDescent="0.25">
      <c r="B175" s="127">
        <f t="shared" si="5"/>
        <v>41563</v>
      </c>
      <c r="D175" s="139">
        <v>0.2</v>
      </c>
      <c r="F175" s="135">
        <f t="shared" si="4"/>
        <v>123.287671</v>
      </c>
    </row>
    <row r="176" spans="2:6" x14ac:dyDescent="0.25">
      <c r="B176" s="127">
        <f t="shared" si="5"/>
        <v>41564</v>
      </c>
      <c r="D176" s="139">
        <v>0.2</v>
      </c>
      <c r="F176" s="135">
        <f t="shared" si="4"/>
        <v>123.287671</v>
      </c>
    </row>
    <row r="177" spans="2:11" x14ac:dyDescent="0.25">
      <c r="B177" s="127">
        <f t="shared" si="5"/>
        <v>41565</v>
      </c>
      <c r="D177" s="139">
        <v>0.2</v>
      </c>
      <c r="F177" s="135">
        <f t="shared" si="4"/>
        <v>123.287671</v>
      </c>
    </row>
    <row r="178" spans="2:11" x14ac:dyDescent="0.25">
      <c r="B178" s="127">
        <f t="shared" si="5"/>
        <v>41566</v>
      </c>
      <c r="D178" s="139">
        <v>0.2</v>
      </c>
      <c r="F178" s="135">
        <f t="shared" si="4"/>
        <v>123.287671</v>
      </c>
    </row>
    <row r="179" spans="2:11" x14ac:dyDescent="0.25">
      <c r="B179" s="127">
        <f t="shared" si="5"/>
        <v>41567</v>
      </c>
      <c r="D179" s="139">
        <v>0.2</v>
      </c>
      <c r="F179" s="135">
        <f t="shared" si="4"/>
        <v>123.287671</v>
      </c>
    </row>
    <row r="180" spans="2:11" x14ac:dyDescent="0.25">
      <c r="B180" s="127">
        <f t="shared" si="5"/>
        <v>41568</v>
      </c>
      <c r="D180" s="139">
        <v>0.2</v>
      </c>
      <c r="F180" s="135">
        <f t="shared" si="4"/>
        <v>123.287671</v>
      </c>
    </row>
    <row r="181" spans="2:11" x14ac:dyDescent="0.25">
      <c r="B181" s="127">
        <f t="shared" si="5"/>
        <v>41569</v>
      </c>
      <c r="D181" s="139">
        <v>0.2</v>
      </c>
      <c r="F181" s="135">
        <f t="shared" si="4"/>
        <v>123.287671</v>
      </c>
    </row>
    <row r="182" spans="2:11" x14ac:dyDescent="0.25">
      <c r="B182" s="127">
        <f t="shared" si="5"/>
        <v>41570</v>
      </c>
      <c r="D182" s="139">
        <v>0.2</v>
      </c>
      <c r="F182" s="135">
        <f t="shared" si="4"/>
        <v>123.287671</v>
      </c>
    </row>
    <row r="183" spans="2:11" x14ac:dyDescent="0.25">
      <c r="B183" s="127">
        <f t="shared" si="5"/>
        <v>41571</v>
      </c>
      <c r="D183" s="139">
        <v>0.2</v>
      </c>
      <c r="F183" s="135">
        <f t="shared" si="4"/>
        <v>123.287671</v>
      </c>
    </row>
    <row r="184" spans="2:11" x14ac:dyDescent="0.25">
      <c r="B184" s="127">
        <f t="shared" si="5"/>
        <v>41572</v>
      </c>
      <c r="D184" s="139">
        <v>0.2</v>
      </c>
      <c r="F184" s="135">
        <f t="shared" si="4"/>
        <v>123.287671</v>
      </c>
    </row>
    <row r="185" spans="2:11" x14ac:dyDescent="0.25">
      <c r="B185" s="127">
        <f t="shared" si="5"/>
        <v>41573</v>
      </c>
      <c r="D185" s="139">
        <v>0.2</v>
      </c>
      <c r="F185" s="135">
        <f t="shared" si="4"/>
        <v>123.287671</v>
      </c>
    </row>
    <row r="186" spans="2:11" x14ac:dyDescent="0.25">
      <c r="B186" s="127">
        <f t="shared" si="5"/>
        <v>41574</v>
      </c>
      <c r="D186" s="139">
        <v>0.2</v>
      </c>
      <c r="F186" s="135">
        <f t="shared" ref="F186:F190" si="6">ROUND(D186/100*$A$3/365,6)</f>
        <v>123.287671</v>
      </c>
    </row>
    <row r="187" spans="2:11" x14ac:dyDescent="0.25">
      <c r="B187" s="127">
        <f t="shared" si="5"/>
        <v>41575</v>
      </c>
      <c r="D187" s="139">
        <v>0.2</v>
      </c>
      <c r="F187" s="135">
        <f t="shared" si="6"/>
        <v>123.287671</v>
      </c>
    </row>
    <row r="188" spans="2:11" x14ac:dyDescent="0.25">
      <c r="B188" s="127">
        <f t="shared" si="5"/>
        <v>41576</v>
      </c>
      <c r="D188" s="139">
        <v>0.2</v>
      </c>
      <c r="F188" s="135">
        <f t="shared" si="6"/>
        <v>123.287671</v>
      </c>
    </row>
    <row r="189" spans="2:11" x14ac:dyDescent="0.25">
      <c r="B189" s="127">
        <f t="shared" si="5"/>
        <v>41577</v>
      </c>
      <c r="D189" s="139">
        <v>0.2</v>
      </c>
      <c r="F189" s="135">
        <f t="shared" si="6"/>
        <v>123.287671</v>
      </c>
    </row>
    <row r="190" spans="2:11" x14ac:dyDescent="0.25">
      <c r="B190" s="127">
        <f t="shared" si="5"/>
        <v>41578</v>
      </c>
      <c r="D190" s="139">
        <v>0.2</v>
      </c>
      <c r="F190" s="135">
        <f t="shared" si="6"/>
        <v>123.287671</v>
      </c>
      <c r="H190" s="136">
        <f>SUM(F160:F190)</f>
        <v>3858.9041020000009</v>
      </c>
      <c r="I190" s="164">
        <f>AVERAGE(D160:D190)</f>
        <v>0.20193548387096785</v>
      </c>
      <c r="J190" s="165">
        <f>AVERAGE(D7:D190)</f>
        <v>0.22576086956521732</v>
      </c>
      <c r="K190" s="166">
        <f>AVERAGE(D7:D190)</f>
        <v>0.22576086956521732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>
    <pageSetUpPr fitToPage="1"/>
  </sheetPr>
  <dimension ref="A1:AA190"/>
  <sheetViews>
    <sheetView zoomScaleNormal="100" workbookViewId="0">
      <pane ySplit="5" topLeftCell="A6" activePane="bottomLeft" state="frozen"/>
      <selection activeCell="M22" sqref="M22"/>
      <selection pane="bottomLeft" activeCell="A191" sqref="A191:XFD359"/>
    </sheetView>
  </sheetViews>
  <sheetFormatPr defaultRowHeight="15" x14ac:dyDescent="0.25"/>
  <cols>
    <col min="1" max="1" width="8.5703125" style="126" customWidth="1"/>
    <col min="2" max="2" width="9.7109375" style="151" bestFit="1" customWidth="1"/>
    <col min="3" max="3" width="5.7109375" style="125" customWidth="1"/>
    <col min="4" max="4" width="10.7109375" style="125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53" customWidth="1"/>
    <col min="9" max="9" width="11.7109375" style="162" customWidth="1"/>
    <col min="10" max="10" width="11.7109375" style="163" customWidth="1"/>
    <col min="11" max="11" width="9.140625" style="157"/>
    <col min="12" max="14" width="9.140625" style="125"/>
    <col min="15" max="27" width="9.140625" style="158"/>
    <col min="28" max="16384" width="9.140625" style="125"/>
  </cols>
  <sheetData>
    <row r="1" spans="1:14" ht="12.75" x14ac:dyDescent="0.2">
      <c r="A1" s="636" t="s">
        <v>140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133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27500000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237181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7" customHeight="1" x14ac:dyDescent="0.25">
      <c r="B5" s="127"/>
      <c r="D5" s="128"/>
      <c r="H5" s="152" t="s">
        <v>134</v>
      </c>
      <c r="I5" s="159" t="s">
        <v>135</v>
      </c>
      <c r="J5" s="160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52"/>
      <c r="I6" s="159"/>
      <c r="J6" s="160"/>
      <c r="K6" s="161"/>
      <c r="L6" s="133"/>
      <c r="M6" s="133"/>
      <c r="N6" s="133"/>
    </row>
    <row r="7" spans="1:14" hidden="1" x14ac:dyDescent="0.25">
      <c r="A7" s="126">
        <v>41395</v>
      </c>
      <c r="B7" s="127">
        <v>41395</v>
      </c>
      <c r="D7" s="139">
        <v>0.25</v>
      </c>
      <c r="F7" s="135">
        <f t="shared" ref="F7:F15" si="0">ROUND(D7/100*$A$3/365,6)</f>
        <v>188.35616400000001</v>
      </c>
    </row>
    <row r="8" spans="1:14" hidden="1" x14ac:dyDescent="0.25">
      <c r="B8" s="127">
        <f t="shared" ref="B8:B66" si="1">B7+1</f>
        <v>41396</v>
      </c>
      <c r="D8" s="139">
        <v>0.25</v>
      </c>
      <c r="F8" s="135">
        <f t="shared" si="0"/>
        <v>188.35616400000001</v>
      </c>
    </row>
    <row r="9" spans="1:14" hidden="1" x14ac:dyDescent="0.25">
      <c r="B9" s="127">
        <f t="shared" si="1"/>
        <v>41397</v>
      </c>
      <c r="D9" s="139">
        <v>0.25</v>
      </c>
      <c r="F9" s="135">
        <f t="shared" si="0"/>
        <v>188.35616400000001</v>
      </c>
    </row>
    <row r="10" spans="1:14" hidden="1" x14ac:dyDescent="0.25">
      <c r="B10" s="127">
        <f t="shared" si="1"/>
        <v>41398</v>
      </c>
      <c r="D10" s="139">
        <v>0.25</v>
      </c>
      <c r="F10" s="135">
        <f t="shared" si="0"/>
        <v>188.35616400000001</v>
      </c>
    </row>
    <row r="11" spans="1:14" hidden="1" x14ac:dyDescent="0.25">
      <c r="B11" s="127">
        <f t="shared" si="1"/>
        <v>41399</v>
      </c>
      <c r="D11" s="139">
        <v>0.25</v>
      </c>
      <c r="F11" s="135">
        <f t="shared" si="0"/>
        <v>188.35616400000001</v>
      </c>
    </row>
    <row r="12" spans="1:14" hidden="1" x14ac:dyDescent="0.25">
      <c r="B12" s="127">
        <f t="shared" si="1"/>
        <v>41400</v>
      </c>
      <c r="D12" s="139">
        <v>0.25</v>
      </c>
      <c r="F12" s="135">
        <f t="shared" si="0"/>
        <v>188.35616400000001</v>
      </c>
    </row>
    <row r="13" spans="1:14" hidden="1" x14ac:dyDescent="0.25">
      <c r="B13" s="127">
        <f t="shared" si="1"/>
        <v>41401</v>
      </c>
      <c r="D13" s="139">
        <v>0.25</v>
      </c>
      <c r="F13" s="135">
        <f t="shared" si="0"/>
        <v>188.35616400000001</v>
      </c>
    </row>
    <row r="14" spans="1:14" hidden="1" x14ac:dyDescent="0.25">
      <c r="B14" s="127">
        <f t="shared" si="1"/>
        <v>41402</v>
      </c>
      <c r="D14" s="139">
        <v>0.25</v>
      </c>
      <c r="F14" s="135">
        <f t="shared" si="0"/>
        <v>188.35616400000001</v>
      </c>
    </row>
    <row r="15" spans="1:14" hidden="1" x14ac:dyDescent="0.25">
      <c r="B15" s="127">
        <f t="shared" si="1"/>
        <v>41403</v>
      </c>
      <c r="D15" s="139">
        <v>0.25</v>
      </c>
      <c r="F15" s="135">
        <f t="shared" si="0"/>
        <v>188.35616400000001</v>
      </c>
    </row>
    <row r="16" spans="1:14" hidden="1" x14ac:dyDescent="0.25">
      <c r="B16" s="127">
        <f t="shared" si="1"/>
        <v>41404</v>
      </c>
      <c r="D16" s="139">
        <v>0.25</v>
      </c>
      <c r="F16" s="135">
        <f t="shared" ref="F16:F79" si="2">ROUND(D16/100*$A$3/365,6)</f>
        <v>188.35616400000001</v>
      </c>
    </row>
    <row r="17" spans="2:6" hidden="1" x14ac:dyDescent="0.25">
      <c r="B17" s="127">
        <f t="shared" si="1"/>
        <v>41405</v>
      </c>
      <c r="D17" s="139">
        <v>0.25</v>
      </c>
      <c r="F17" s="135">
        <f t="shared" si="2"/>
        <v>188.35616400000001</v>
      </c>
    </row>
    <row r="18" spans="2:6" hidden="1" x14ac:dyDescent="0.25">
      <c r="B18" s="127">
        <f t="shared" si="1"/>
        <v>41406</v>
      </c>
      <c r="D18" s="139">
        <v>0.25</v>
      </c>
      <c r="F18" s="135">
        <f t="shared" si="2"/>
        <v>188.35616400000001</v>
      </c>
    </row>
    <row r="19" spans="2:6" hidden="1" x14ac:dyDescent="0.25">
      <c r="B19" s="127">
        <f t="shared" si="1"/>
        <v>41407</v>
      </c>
      <c r="D19" s="139">
        <v>0.25</v>
      </c>
      <c r="F19" s="135">
        <f t="shared" si="2"/>
        <v>188.35616400000001</v>
      </c>
    </row>
    <row r="20" spans="2:6" hidden="1" x14ac:dyDescent="0.25">
      <c r="B20" s="127">
        <f t="shared" si="1"/>
        <v>41408</v>
      </c>
      <c r="D20" s="139">
        <v>0.25</v>
      </c>
      <c r="F20" s="135">
        <f t="shared" si="2"/>
        <v>188.35616400000001</v>
      </c>
    </row>
    <row r="21" spans="2:6" hidden="1" x14ac:dyDescent="0.25">
      <c r="B21" s="127">
        <f t="shared" si="1"/>
        <v>41409</v>
      </c>
      <c r="D21" s="139">
        <v>0.25</v>
      </c>
      <c r="F21" s="135">
        <f t="shared" si="2"/>
        <v>188.35616400000001</v>
      </c>
    </row>
    <row r="22" spans="2:6" hidden="1" x14ac:dyDescent="0.25">
      <c r="B22" s="127">
        <f t="shared" si="1"/>
        <v>41410</v>
      </c>
      <c r="D22" s="139">
        <v>0.25</v>
      </c>
      <c r="F22" s="135">
        <f t="shared" si="2"/>
        <v>188.35616400000001</v>
      </c>
    </row>
    <row r="23" spans="2:6" hidden="1" x14ac:dyDescent="0.25">
      <c r="B23" s="127">
        <f t="shared" si="1"/>
        <v>41411</v>
      </c>
      <c r="D23" s="139">
        <v>0.25</v>
      </c>
      <c r="F23" s="135">
        <f t="shared" si="2"/>
        <v>188.35616400000001</v>
      </c>
    </row>
    <row r="24" spans="2:6" hidden="1" x14ac:dyDescent="0.25">
      <c r="B24" s="127">
        <f t="shared" si="1"/>
        <v>41412</v>
      </c>
      <c r="D24" s="139">
        <v>0.25</v>
      </c>
      <c r="F24" s="135">
        <f t="shared" si="2"/>
        <v>188.35616400000001</v>
      </c>
    </row>
    <row r="25" spans="2:6" hidden="1" x14ac:dyDescent="0.25">
      <c r="B25" s="127">
        <f t="shared" si="1"/>
        <v>41413</v>
      </c>
      <c r="D25" s="139">
        <v>0.25</v>
      </c>
      <c r="F25" s="135">
        <f t="shared" si="2"/>
        <v>188.35616400000001</v>
      </c>
    </row>
    <row r="26" spans="2:6" hidden="1" x14ac:dyDescent="0.25">
      <c r="B26" s="127">
        <f t="shared" si="1"/>
        <v>41414</v>
      </c>
      <c r="D26" s="139">
        <v>0.25</v>
      </c>
      <c r="F26" s="135">
        <f t="shared" si="2"/>
        <v>188.35616400000001</v>
      </c>
    </row>
    <row r="27" spans="2:6" hidden="1" x14ac:dyDescent="0.25">
      <c r="B27" s="127">
        <f t="shared" si="1"/>
        <v>41415</v>
      </c>
      <c r="D27" s="139">
        <v>0.25</v>
      </c>
      <c r="F27" s="135">
        <f t="shared" si="2"/>
        <v>188.35616400000001</v>
      </c>
    </row>
    <row r="28" spans="2:6" hidden="1" x14ac:dyDescent="0.25">
      <c r="B28" s="127">
        <f t="shared" si="1"/>
        <v>41416</v>
      </c>
      <c r="D28" s="139">
        <v>0.25</v>
      </c>
      <c r="F28" s="135">
        <f t="shared" si="2"/>
        <v>188.35616400000001</v>
      </c>
    </row>
    <row r="29" spans="2:6" hidden="1" x14ac:dyDescent="0.25">
      <c r="B29" s="127">
        <f t="shared" si="1"/>
        <v>41417</v>
      </c>
      <c r="D29" s="139">
        <v>0.25</v>
      </c>
      <c r="F29" s="135">
        <f t="shared" si="2"/>
        <v>188.35616400000001</v>
      </c>
    </row>
    <row r="30" spans="2:6" hidden="1" x14ac:dyDescent="0.25">
      <c r="B30" s="127">
        <f t="shared" si="1"/>
        <v>41418</v>
      </c>
      <c r="D30" s="139">
        <v>0.25</v>
      </c>
      <c r="F30" s="135">
        <f t="shared" si="2"/>
        <v>188.35616400000001</v>
      </c>
    </row>
    <row r="31" spans="2:6" hidden="1" x14ac:dyDescent="0.25">
      <c r="B31" s="127">
        <f t="shared" si="1"/>
        <v>41419</v>
      </c>
      <c r="D31" s="139">
        <v>0.25</v>
      </c>
      <c r="F31" s="135">
        <f t="shared" si="2"/>
        <v>188.35616400000001</v>
      </c>
    </row>
    <row r="32" spans="2:6" hidden="1" x14ac:dyDescent="0.25">
      <c r="B32" s="127">
        <f t="shared" si="1"/>
        <v>41420</v>
      </c>
      <c r="D32" s="139">
        <v>0.25</v>
      </c>
      <c r="F32" s="135">
        <f t="shared" si="2"/>
        <v>188.35616400000001</v>
      </c>
    </row>
    <row r="33" spans="1:11" hidden="1" x14ac:dyDescent="0.25">
      <c r="B33" s="127">
        <f t="shared" si="1"/>
        <v>41421</v>
      </c>
      <c r="D33" s="139">
        <v>0.25</v>
      </c>
      <c r="F33" s="135">
        <f t="shared" si="2"/>
        <v>188.35616400000001</v>
      </c>
    </row>
    <row r="34" spans="1:11" hidden="1" x14ac:dyDescent="0.25">
      <c r="B34" s="127">
        <f t="shared" si="1"/>
        <v>41422</v>
      </c>
      <c r="D34" s="139">
        <v>0.25</v>
      </c>
      <c r="F34" s="135">
        <f t="shared" si="2"/>
        <v>188.35616400000001</v>
      </c>
    </row>
    <row r="35" spans="1:11" hidden="1" x14ac:dyDescent="0.25">
      <c r="B35" s="127">
        <f t="shared" si="1"/>
        <v>41423</v>
      </c>
      <c r="D35" s="139">
        <v>0.25</v>
      </c>
      <c r="F35" s="135">
        <f t="shared" si="2"/>
        <v>188.35616400000001</v>
      </c>
    </row>
    <row r="36" spans="1:11" hidden="1" x14ac:dyDescent="0.25">
      <c r="B36" s="127">
        <f t="shared" si="1"/>
        <v>41424</v>
      </c>
      <c r="D36" s="139">
        <v>0.25</v>
      </c>
      <c r="F36" s="135">
        <f t="shared" si="2"/>
        <v>188.35616400000001</v>
      </c>
    </row>
    <row r="37" spans="1:11" hidden="1" x14ac:dyDescent="0.25">
      <c r="B37" s="127">
        <f t="shared" si="1"/>
        <v>41425</v>
      </c>
      <c r="D37" s="139">
        <v>0.25</v>
      </c>
      <c r="F37" s="135">
        <f t="shared" si="2"/>
        <v>188.35616400000001</v>
      </c>
      <c r="H37" s="136">
        <f>SUM(F7:F37)</f>
        <v>5839.0410839999968</v>
      </c>
      <c r="I37" s="164">
        <f>AVERAGE(D7:D37)</f>
        <v>0.25</v>
      </c>
      <c r="J37" s="165">
        <f>AVERAGE(D7:D37)</f>
        <v>0.25</v>
      </c>
      <c r="K37" s="166">
        <f>AVERAGE(D7:D37)</f>
        <v>0.25</v>
      </c>
    </row>
    <row r="38" spans="1:11" hidden="1" x14ac:dyDescent="0.25">
      <c r="A38" s="126">
        <v>41426</v>
      </c>
      <c r="B38" s="127">
        <f t="shared" si="1"/>
        <v>41426</v>
      </c>
      <c r="D38" s="139">
        <v>0.25</v>
      </c>
      <c r="F38" s="135">
        <f t="shared" si="2"/>
        <v>188.35616400000001</v>
      </c>
    </row>
    <row r="39" spans="1:11" hidden="1" x14ac:dyDescent="0.25">
      <c r="B39" s="127">
        <f t="shared" si="1"/>
        <v>41427</v>
      </c>
      <c r="D39" s="139">
        <v>0.25</v>
      </c>
      <c r="F39" s="135">
        <f t="shared" si="2"/>
        <v>188.35616400000001</v>
      </c>
    </row>
    <row r="40" spans="1:11" hidden="1" x14ac:dyDescent="0.25">
      <c r="B40" s="127">
        <f t="shared" si="1"/>
        <v>41428</v>
      </c>
      <c r="D40" s="139">
        <v>0.25</v>
      </c>
      <c r="F40" s="135">
        <f t="shared" si="2"/>
        <v>188.35616400000001</v>
      </c>
    </row>
    <row r="41" spans="1:11" hidden="1" x14ac:dyDescent="0.25">
      <c r="B41" s="127">
        <f t="shared" si="1"/>
        <v>41429</v>
      </c>
      <c r="D41" s="139">
        <v>0.25</v>
      </c>
      <c r="F41" s="135">
        <f t="shared" si="2"/>
        <v>188.35616400000001</v>
      </c>
    </row>
    <row r="42" spans="1:11" hidden="1" x14ac:dyDescent="0.25">
      <c r="B42" s="127">
        <f t="shared" si="1"/>
        <v>41430</v>
      </c>
      <c r="D42" s="139">
        <v>0.25</v>
      </c>
      <c r="F42" s="135">
        <f t="shared" si="2"/>
        <v>188.35616400000001</v>
      </c>
    </row>
    <row r="43" spans="1:11" hidden="1" x14ac:dyDescent="0.25">
      <c r="B43" s="127">
        <f t="shared" si="1"/>
        <v>41431</v>
      </c>
      <c r="D43" s="139">
        <v>0.25</v>
      </c>
      <c r="F43" s="135">
        <f t="shared" si="2"/>
        <v>188.35616400000001</v>
      </c>
    </row>
    <row r="44" spans="1:11" hidden="1" x14ac:dyDescent="0.25">
      <c r="B44" s="127">
        <f t="shared" si="1"/>
        <v>41432</v>
      </c>
      <c r="D44" s="139">
        <v>0.25</v>
      </c>
      <c r="F44" s="135">
        <f t="shared" si="2"/>
        <v>188.35616400000001</v>
      </c>
    </row>
    <row r="45" spans="1:11" hidden="1" x14ac:dyDescent="0.25">
      <c r="B45" s="127">
        <f t="shared" si="1"/>
        <v>41433</v>
      </c>
      <c r="D45" s="139">
        <v>0.25</v>
      </c>
      <c r="F45" s="135">
        <f t="shared" si="2"/>
        <v>188.35616400000001</v>
      </c>
    </row>
    <row r="46" spans="1:11" hidden="1" x14ac:dyDescent="0.25">
      <c r="B46" s="127">
        <f t="shared" si="1"/>
        <v>41434</v>
      </c>
      <c r="D46" s="139">
        <v>0.25</v>
      </c>
      <c r="F46" s="135">
        <f t="shared" si="2"/>
        <v>188.35616400000001</v>
      </c>
    </row>
    <row r="47" spans="1:11" hidden="1" x14ac:dyDescent="0.25">
      <c r="B47" s="127">
        <f t="shared" si="1"/>
        <v>41435</v>
      </c>
      <c r="D47" s="139">
        <v>0.25</v>
      </c>
      <c r="F47" s="135">
        <f t="shared" si="2"/>
        <v>188.35616400000001</v>
      </c>
    </row>
    <row r="48" spans="1:11" hidden="1" x14ac:dyDescent="0.25">
      <c r="B48" s="127">
        <f t="shared" si="1"/>
        <v>41436</v>
      </c>
      <c r="D48" s="139">
        <v>0.25</v>
      </c>
      <c r="F48" s="135">
        <f t="shared" si="2"/>
        <v>188.35616400000001</v>
      </c>
    </row>
    <row r="49" spans="2:6" hidden="1" x14ac:dyDescent="0.25">
      <c r="B49" s="127">
        <f t="shared" si="1"/>
        <v>41437</v>
      </c>
      <c r="D49" s="139">
        <v>0.25</v>
      </c>
      <c r="F49" s="135">
        <f t="shared" si="2"/>
        <v>188.35616400000001</v>
      </c>
    </row>
    <row r="50" spans="2:6" hidden="1" x14ac:dyDescent="0.25">
      <c r="B50" s="127">
        <f t="shared" si="1"/>
        <v>41438</v>
      </c>
      <c r="D50" s="139">
        <v>0.25</v>
      </c>
      <c r="F50" s="135">
        <f t="shared" si="2"/>
        <v>188.35616400000001</v>
      </c>
    </row>
    <row r="51" spans="2:6" hidden="1" x14ac:dyDescent="0.25">
      <c r="B51" s="127">
        <f t="shared" si="1"/>
        <v>41439</v>
      </c>
      <c r="D51" s="139">
        <v>0.25</v>
      </c>
      <c r="F51" s="135">
        <f t="shared" si="2"/>
        <v>188.35616400000001</v>
      </c>
    </row>
    <row r="52" spans="2:6" hidden="1" x14ac:dyDescent="0.25">
      <c r="B52" s="127">
        <f t="shared" si="1"/>
        <v>41440</v>
      </c>
      <c r="D52" s="139">
        <v>0.25</v>
      </c>
      <c r="F52" s="135">
        <f t="shared" si="2"/>
        <v>188.35616400000001</v>
      </c>
    </row>
    <row r="53" spans="2:6" hidden="1" x14ac:dyDescent="0.25">
      <c r="B53" s="127">
        <f t="shared" si="1"/>
        <v>41441</v>
      </c>
      <c r="D53" s="139">
        <v>0.25</v>
      </c>
      <c r="F53" s="135">
        <f t="shared" si="2"/>
        <v>188.35616400000001</v>
      </c>
    </row>
    <row r="54" spans="2:6" hidden="1" x14ac:dyDescent="0.25">
      <c r="B54" s="127">
        <f t="shared" si="1"/>
        <v>41442</v>
      </c>
      <c r="D54" s="139">
        <v>0.25</v>
      </c>
      <c r="F54" s="135">
        <f t="shared" si="2"/>
        <v>188.35616400000001</v>
      </c>
    </row>
    <row r="55" spans="2:6" hidden="1" x14ac:dyDescent="0.25">
      <c r="B55" s="127">
        <f t="shared" si="1"/>
        <v>41443</v>
      </c>
      <c r="D55" s="139">
        <v>0.25</v>
      </c>
      <c r="F55" s="135">
        <f t="shared" si="2"/>
        <v>188.35616400000001</v>
      </c>
    </row>
    <row r="56" spans="2:6" hidden="1" x14ac:dyDescent="0.25">
      <c r="B56" s="127">
        <f t="shared" si="1"/>
        <v>41444</v>
      </c>
      <c r="D56" s="139">
        <v>0.25</v>
      </c>
      <c r="F56" s="135">
        <f t="shared" si="2"/>
        <v>188.35616400000001</v>
      </c>
    </row>
    <row r="57" spans="2:6" hidden="1" x14ac:dyDescent="0.25">
      <c r="B57" s="127">
        <f t="shared" si="1"/>
        <v>41445</v>
      </c>
      <c r="D57" s="139">
        <v>0.25</v>
      </c>
      <c r="F57" s="135">
        <f t="shared" si="2"/>
        <v>188.35616400000001</v>
      </c>
    </row>
    <row r="58" spans="2:6" hidden="1" x14ac:dyDescent="0.25">
      <c r="B58" s="127">
        <f t="shared" si="1"/>
        <v>41446</v>
      </c>
      <c r="D58" s="139">
        <v>0.25</v>
      </c>
      <c r="F58" s="135">
        <f t="shared" si="2"/>
        <v>188.35616400000001</v>
      </c>
    </row>
    <row r="59" spans="2:6" hidden="1" x14ac:dyDescent="0.25">
      <c r="B59" s="127">
        <f t="shared" si="1"/>
        <v>41447</v>
      </c>
      <c r="D59" s="139">
        <v>0.25</v>
      </c>
      <c r="F59" s="135">
        <f t="shared" si="2"/>
        <v>188.35616400000001</v>
      </c>
    </row>
    <row r="60" spans="2:6" hidden="1" x14ac:dyDescent="0.25">
      <c r="B60" s="127">
        <f t="shared" si="1"/>
        <v>41448</v>
      </c>
      <c r="D60" s="139">
        <v>0.25</v>
      </c>
      <c r="F60" s="135">
        <f t="shared" si="2"/>
        <v>188.35616400000001</v>
      </c>
    </row>
    <row r="61" spans="2:6" hidden="1" x14ac:dyDescent="0.25">
      <c r="B61" s="127">
        <f t="shared" si="1"/>
        <v>41449</v>
      </c>
      <c r="D61" s="139">
        <v>0.22</v>
      </c>
      <c r="F61" s="135">
        <f t="shared" si="2"/>
        <v>165.75342499999999</v>
      </c>
    </row>
    <row r="62" spans="2:6" hidden="1" x14ac:dyDescent="0.25">
      <c r="B62" s="127">
        <f t="shared" si="1"/>
        <v>41450</v>
      </c>
      <c r="D62" s="139">
        <v>0.22</v>
      </c>
      <c r="F62" s="135">
        <f t="shared" si="2"/>
        <v>165.75342499999999</v>
      </c>
    </row>
    <row r="63" spans="2:6" hidden="1" x14ac:dyDescent="0.25">
      <c r="B63" s="127">
        <f t="shared" si="1"/>
        <v>41451</v>
      </c>
      <c r="D63" s="139">
        <v>0.22</v>
      </c>
      <c r="F63" s="135">
        <f t="shared" si="2"/>
        <v>165.75342499999999</v>
      </c>
    </row>
    <row r="64" spans="2:6" hidden="1" x14ac:dyDescent="0.25">
      <c r="B64" s="127">
        <f t="shared" si="1"/>
        <v>41452</v>
      </c>
      <c r="D64" s="139">
        <v>0.22</v>
      </c>
      <c r="F64" s="135">
        <f t="shared" si="2"/>
        <v>165.75342499999999</v>
      </c>
    </row>
    <row r="65" spans="1:11" hidden="1" x14ac:dyDescent="0.25">
      <c r="B65" s="127">
        <f t="shared" si="1"/>
        <v>41453</v>
      </c>
      <c r="D65" s="139">
        <v>0.22</v>
      </c>
      <c r="F65" s="135">
        <f t="shared" si="2"/>
        <v>165.75342499999999</v>
      </c>
    </row>
    <row r="66" spans="1:11" hidden="1" x14ac:dyDescent="0.25">
      <c r="B66" s="127">
        <f t="shared" si="1"/>
        <v>41454</v>
      </c>
      <c r="D66" s="139">
        <v>0.22</v>
      </c>
      <c r="F66" s="135">
        <f t="shared" si="2"/>
        <v>165.75342499999999</v>
      </c>
    </row>
    <row r="67" spans="1:11" hidden="1" x14ac:dyDescent="0.25">
      <c r="B67" s="127">
        <f t="shared" ref="B67:B130" si="3">B66+1</f>
        <v>41455</v>
      </c>
      <c r="D67" s="139">
        <v>0.22</v>
      </c>
      <c r="F67" s="135">
        <f t="shared" si="2"/>
        <v>165.75342499999999</v>
      </c>
      <c r="H67" s="136">
        <f>SUM(F38:F67)</f>
        <v>5492.4657469999975</v>
      </c>
      <c r="I67" s="164">
        <f>AVERAGE(D38:D67)</f>
        <v>0.24299999999999994</v>
      </c>
      <c r="J67" s="165">
        <f>AVERAGE(D7:D67)</f>
        <v>0.2465573770491804</v>
      </c>
      <c r="K67" s="166">
        <f>AVERAGE(D7:D67)</f>
        <v>0.2465573770491804</v>
      </c>
    </row>
    <row r="68" spans="1:11" hidden="1" x14ac:dyDescent="0.25">
      <c r="A68" s="126">
        <v>41456</v>
      </c>
      <c r="B68" s="127">
        <f t="shared" si="3"/>
        <v>41456</v>
      </c>
      <c r="D68" s="139">
        <v>0.22</v>
      </c>
      <c r="F68" s="135">
        <f t="shared" si="2"/>
        <v>165.75342499999999</v>
      </c>
    </row>
    <row r="69" spans="1:11" hidden="1" x14ac:dyDescent="0.25">
      <c r="B69" s="127">
        <f t="shared" si="3"/>
        <v>41457</v>
      </c>
      <c r="D69" s="139">
        <v>0.22</v>
      </c>
      <c r="F69" s="135">
        <f t="shared" si="2"/>
        <v>165.75342499999999</v>
      </c>
    </row>
    <row r="70" spans="1:11" hidden="1" x14ac:dyDescent="0.25">
      <c r="B70" s="127">
        <f t="shared" si="3"/>
        <v>41458</v>
      </c>
      <c r="D70" s="139">
        <v>0.22</v>
      </c>
      <c r="F70" s="135">
        <f t="shared" si="2"/>
        <v>165.75342499999999</v>
      </c>
    </row>
    <row r="71" spans="1:11" hidden="1" x14ac:dyDescent="0.25">
      <c r="B71" s="127">
        <f t="shared" si="3"/>
        <v>41459</v>
      </c>
      <c r="D71" s="139">
        <v>0.22</v>
      </c>
      <c r="F71" s="135">
        <f t="shared" si="2"/>
        <v>165.75342499999999</v>
      </c>
    </row>
    <row r="72" spans="1:11" hidden="1" x14ac:dyDescent="0.25">
      <c r="B72" s="127">
        <f t="shared" si="3"/>
        <v>41460</v>
      </c>
      <c r="D72" s="139">
        <v>0.22</v>
      </c>
      <c r="F72" s="135">
        <f t="shared" si="2"/>
        <v>165.75342499999999</v>
      </c>
    </row>
    <row r="73" spans="1:11" hidden="1" x14ac:dyDescent="0.25">
      <c r="B73" s="127">
        <f t="shared" si="3"/>
        <v>41461</v>
      </c>
      <c r="D73" s="139">
        <v>0.22</v>
      </c>
      <c r="F73" s="135">
        <f t="shared" si="2"/>
        <v>165.75342499999999</v>
      </c>
    </row>
    <row r="74" spans="1:11" hidden="1" x14ac:dyDescent="0.25">
      <c r="B74" s="127">
        <f t="shared" si="3"/>
        <v>41462</v>
      </c>
      <c r="D74" s="139">
        <v>0.22</v>
      </c>
      <c r="F74" s="135">
        <f t="shared" si="2"/>
        <v>165.75342499999999</v>
      </c>
    </row>
    <row r="75" spans="1:11" hidden="1" x14ac:dyDescent="0.25">
      <c r="B75" s="127">
        <f t="shared" si="3"/>
        <v>41463</v>
      </c>
      <c r="D75" s="139">
        <v>0.22</v>
      </c>
      <c r="F75" s="135">
        <f t="shared" si="2"/>
        <v>165.75342499999999</v>
      </c>
    </row>
    <row r="76" spans="1:11" hidden="1" x14ac:dyDescent="0.25">
      <c r="B76" s="127">
        <f t="shared" si="3"/>
        <v>41464</v>
      </c>
      <c r="D76" s="139">
        <v>0.22</v>
      </c>
      <c r="F76" s="135">
        <f t="shared" si="2"/>
        <v>165.75342499999999</v>
      </c>
    </row>
    <row r="77" spans="1:11" hidden="1" x14ac:dyDescent="0.25">
      <c r="B77" s="127">
        <f t="shared" si="3"/>
        <v>41465</v>
      </c>
      <c r="D77" s="139">
        <v>0.22</v>
      </c>
      <c r="F77" s="135">
        <f t="shared" si="2"/>
        <v>165.75342499999999</v>
      </c>
    </row>
    <row r="78" spans="1:11" hidden="1" x14ac:dyDescent="0.25">
      <c r="B78" s="127">
        <f t="shared" si="3"/>
        <v>41466</v>
      </c>
      <c r="D78" s="139">
        <v>0.22</v>
      </c>
      <c r="F78" s="135">
        <f t="shared" si="2"/>
        <v>165.75342499999999</v>
      </c>
    </row>
    <row r="79" spans="1:11" hidden="1" x14ac:dyDescent="0.25">
      <c r="B79" s="127">
        <f t="shared" si="3"/>
        <v>41467</v>
      </c>
      <c r="D79" s="139">
        <v>0.22</v>
      </c>
      <c r="F79" s="135">
        <f t="shared" si="2"/>
        <v>165.75342499999999</v>
      </c>
    </row>
    <row r="80" spans="1:11" hidden="1" x14ac:dyDescent="0.25">
      <c r="B80" s="127">
        <f t="shared" si="3"/>
        <v>41468</v>
      </c>
      <c r="D80" s="139">
        <v>0.22</v>
      </c>
      <c r="F80" s="135">
        <f t="shared" ref="F80:F143" si="4">ROUND(D80/100*$A$3/365,6)</f>
        <v>165.75342499999999</v>
      </c>
    </row>
    <row r="81" spans="2:6" hidden="1" x14ac:dyDescent="0.25">
      <c r="B81" s="127">
        <f t="shared" si="3"/>
        <v>41469</v>
      </c>
      <c r="D81" s="139">
        <v>0.22</v>
      </c>
      <c r="F81" s="135">
        <f t="shared" si="4"/>
        <v>165.75342499999999</v>
      </c>
    </row>
    <row r="82" spans="2:6" hidden="1" x14ac:dyDescent="0.25">
      <c r="B82" s="127">
        <f t="shared" si="3"/>
        <v>41470</v>
      </c>
      <c r="D82" s="139">
        <v>0.22</v>
      </c>
      <c r="F82" s="135">
        <f t="shared" si="4"/>
        <v>165.75342499999999</v>
      </c>
    </row>
    <row r="83" spans="2:6" hidden="1" x14ac:dyDescent="0.25">
      <c r="B83" s="127">
        <f t="shared" si="3"/>
        <v>41471</v>
      </c>
      <c r="D83" s="139">
        <v>0.22</v>
      </c>
      <c r="F83" s="135">
        <f t="shared" si="4"/>
        <v>165.75342499999999</v>
      </c>
    </row>
    <row r="84" spans="2:6" hidden="1" x14ac:dyDescent="0.25">
      <c r="B84" s="127">
        <f t="shared" si="3"/>
        <v>41472</v>
      </c>
      <c r="D84" s="139">
        <v>0.22</v>
      </c>
      <c r="F84" s="135">
        <f t="shared" si="4"/>
        <v>165.75342499999999</v>
      </c>
    </row>
    <row r="85" spans="2:6" hidden="1" x14ac:dyDescent="0.25">
      <c r="B85" s="127">
        <f t="shared" si="3"/>
        <v>41473</v>
      </c>
      <c r="D85" s="139">
        <v>0.22</v>
      </c>
      <c r="F85" s="135">
        <f t="shared" si="4"/>
        <v>165.75342499999999</v>
      </c>
    </row>
    <row r="86" spans="2:6" hidden="1" x14ac:dyDescent="0.25">
      <c r="B86" s="127">
        <f t="shared" si="3"/>
        <v>41474</v>
      </c>
      <c r="D86" s="139">
        <v>0.22</v>
      </c>
      <c r="F86" s="135">
        <f t="shared" si="4"/>
        <v>165.75342499999999</v>
      </c>
    </row>
    <row r="87" spans="2:6" hidden="1" x14ac:dyDescent="0.25">
      <c r="B87" s="127">
        <f t="shared" si="3"/>
        <v>41475</v>
      </c>
      <c r="D87" s="139">
        <v>0.22</v>
      </c>
      <c r="F87" s="135">
        <f t="shared" si="4"/>
        <v>165.75342499999999</v>
      </c>
    </row>
    <row r="88" spans="2:6" hidden="1" x14ac:dyDescent="0.25">
      <c r="B88" s="127">
        <f t="shared" si="3"/>
        <v>41476</v>
      </c>
      <c r="D88" s="139">
        <v>0.22</v>
      </c>
      <c r="F88" s="135">
        <f t="shared" si="4"/>
        <v>165.75342499999999</v>
      </c>
    </row>
    <row r="89" spans="2:6" hidden="1" x14ac:dyDescent="0.25">
      <c r="B89" s="127">
        <f t="shared" si="3"/>
        <v>41477</v>
      </c>
      <c r="D89" s="139">
        <v>0.22</v>
      </c>
      <c r="F89" s="135">
        <f t="shared" si="4"/>
        <v>165.75342499999999</v>
      </c>
    </row>
    <row r="90" spans="2:6" hidden="1" x14ac:dyDescent="0.25">
      <c r="B90" s="127">
        <f t="shared" si="3"/>
        <v>41478</v>
      </c>
      <c r="D90" s="139">
        <v>0.22</v>
      </c>
      <c r="F90" s="135">
        <f t="shared" si="4"/>
        <v>165.75342499999999</v>
      </c>
    </row>
    <row r="91" spans="2:6" hidden="1" x14ac:dyDescent="0.25">
      <c r="B91" s="127">
        <f t="shared" si="3"/>
        <v>41479</v>
      </c>
      <c r="D91" s="139">
        <v>0.22</v>
      </c>
      <c r="F91" s="135">
        <f t="shared" si="4"/>
        <v>165.75342499999999</v>
      </c>
    </row>
    <row r="92" spans="2:6" hidden="1" x14ac:dyDescent="0.25">
      <c r="B92" s="127">
        <f t="shared" si="3"/>
        <v>41480</v>
      </c>
      <c r="D92" s="139">
        <v>0.22</v>
      </c>
      <c r="F92" s="135">
        <f t="shared" si="4"/>
        <v>165.75342499999999</v>
      </c>
    </row>
    <row r="93" spans="2:6" hidden="1" x14ac:dyDescent="0.25">
      <c r="B93" s="127">
        <f t="shared" si="3"/>
        <v>41481</v>
      </c>
      <c r="D93" s="139">
        <v>0.22</v>
      </c>
      <c r="F93" s="135">
        <f t="shared" si="4"/>
        <v>165.75342499999999</v>
      </c>
    </row>
    <row r="94" spans="2:6" hidden="1" x14ac:dyDescent="0.25">
      <c r="B94" s="127">
        <f t="shared" si="3"/>
        <v>41482</v>
      </c>
      <c r="D94" s="139">
        <v>0.22</v>
      </c>
      <c r="F94" s="135">
        <f t="shared" si="4"/>
        <v>165.75342499999999</v>
      </c>
    </row>
    <row r="95" spans="2:6" hidden="1" x14ac:dyDescent="0.25">
      <c r="B95" s="127">
        <f t="shared" si="3"/>
        <v>41483</v>
      </c>
      <c r="D95" s="139">
        <v>0.22</v>
      </c>
      <c r="F95" s="135">
        <f t="shared" si="4"/>
        <v>165.75342499999999</v>
      </c>
    </row>
    <row r="96" spans="2:6" hidden="1" x14ac:dyDescent="0.25">
      <c r="B96" s="127">
        <f t="shared" si="3"/>
        <v>41484</v>
      </c>
      <c r="D96" s="139">
        <v>0.22</v>
      </c>
      <c r="F96" s="135">
        <f t="shared" si="4"/>
        <v>165.75342499999999</v>
      </c>
    </row>
    <row r="97" spans="1:11" hidden="1" x14ac:dyDescent="0.25">
      <c r="B97" s="127">
        <f t="shared" si="3"/>
        <v>41485</v>
      </c>
      <c r="D97" s="139">
        <v>0.22</v>
      </c>
      <c r="F97" s="135">
        <f t="shared" si="4"/>
        <v>165.75342499999999</v>
      </c>
    </row>
    <row r="98" spans="1:11" hidden="1" x14ac:dyDescent="0.25">
      <c r="B98" s="127">
        <f t="shared" si="3"/>
        <v>41486</v>
      </c>
      <c r="D98" s="139">
        <v>0.22</v>
      </c>
      <c r="F98" s="135">
        <f t="shared" si="4"/>
        <v>165.75342499999999</v>
      </c>
      <c r="H98" s="136">
        <f>SUM(F68:F98)</f>
        <v>5138.3561749999972</v>
      </c>
      <c r="I98" s="164">
        <f>AVERAGE(D68:D98)</f>
        <v>0.21999999999999995</v>
      </c>
      <c r="J98" s="165">
        <f>AVERAGE(D7:D98)</f>
        <v>0.23760869565217368</v>
      </c>
      <c r="K98" s="166">
        <f>AVERAGE(D7:D98)</f>
        <v>0.23760869565217368</v>
      </c>
    </row>
    <row r="99" spans="1:11" hidden="1" x14ac:dyDescent="0.25">
      <c r="A99" s="126">
        <v>41487</v>
      </c>
      <c r="B99" s="127">
        <f t="shared" si="3"/>
        <v>41487</v>
      </c>
      <c r="D99" s="139">
        <v>0.22</v>
      </c>
      <c r="F99" s="135">
        <f t="shared" si="4"/>
        <v>165.75342499999999</v>
      </c>
    </row>
    <row r="100" spans="1:11" hidden="1" x14ac:dyDescent="0.25">
      <c r="B100" s="127">
        <f t="shared" si="3"/>
        <v>41488</v>
      </c>
      <c r="D100" s="139">
        <v>0.22</v>
      </c>
      <c r="F100" s="135">
        <f t="shared" si="4"/>
        <v>165.75342499999999</v>
      </c>
    </row>
    <row r="101" spans="1:11" hidden="1" x14ac:dyDescent="0.25">
      <c r="B101" s="127">
        <f t="shared" si="3"/>
        <v>41489</v>
      </c>
      <c r="D101" s="139">
        <v>0.22</v>
      </c>
      <c r="F101" s="135">
        <f t="shared" si="4"/>
        <v>165.75342499999999</v>
      </c>
    </row>
    <row r="102" spans="1:11" hidden="1" x14ac:dyDescent="0.25">
      <c r="B102" s="127">
        <f t="shared" si="3"/>
        <v>41490</v>
      </c>
      <c r="D102" s="139">
        <v>0.22</v>
      </c>
      <c r="F102" s="135">
        <f t="shared" si="4"/>
        <v>165.75342499999999</v>
      </c>
    </row>
    <row r="103" spans="1:11" hidden="1" x14ac:dyDescent="0.25">
      <c r="B103" s="127">
        <f t="shared" si="3"/>
        <v>41491</v>
      </c>
      <c r="D103" s="139">
        <v>0.22</v>
      </c>
      <c r="F103" s="135">
        <f t="shared" si="4"/>
        <v>165.75342499999999</v>
      </c>
    </row>
    <row r="104" spans="1:11" hidden="1" x14ac:dyDescent="0.25">
      <c r="B104" s="127">
        <f t="shared" si="3"/>
        <v>41492</v>
      </c>
      <c r="D104" s="139">
        <v>0.22</v>
      </c>
      <c r="F104" s="135">
        <f t="shared" si="4"/>
        <v>165.75342499999999</v>
      </c>
    </row>
    <row r="105" spans="1:11" hidden="1" x14ac:dyDescent="0.25">
      <c r="B105" s="127">
        <f t="shared" si="3"/>
        <v>41493</v>
      </c>
      <c r="D105" s="139">
        <v>0.22</v>
      </c>
      <c r="F105" s="135">
        <f t="shared" si="4"/>
        <v>165.75342499999999</v>
      </c>
    </row>
    <row r="106" spans="1:11" hidden="1" x14ac:dyDescent="0.25">
      <c r="B106" s="127">
        <f t="shared" si="3"/>
        <v>41494</v>
      </c>
      <c r="D106" s="139">
        <v>0.22</v>
      </c>
      <c r="F106" s="135">
        <f t="shared" si="4"/>
        <v>165.75342499999999</v>
      </c>
    </row>
    <row r="107" spans="1:11" hidden="1" x14ac:dyDescent="0.25">
      <c r="B107" s="127">
        <f t="shared" si="3"/>
        <v>41495</v>
      </c>
      <c r="D107" s="139">
        <v>0.22</v>
      </c>
      <c r="F107" s="135">
        <f t="shared" si="4"/>
        <v>165.75342499999999</v>
      </c>
    </row>
    <row r="108" spans="1:11" hidden="1" x14ac:dyDescent="0.25">
      <c r="B108" s="127">
        <f t="shared" si="3"/>
        <v>41496</v>
      </c>
      <c r="D108" s="139">
        <v>0.22</v>
      </c>
      <c r="F108" s="135">
        <f t="shared" si="4"/>
        <v>165.75342499999999</v>
      </c>
    </row>
    <row r="109" spans="1:11" hidden="1" x14ac:dyDescent="0.25">
      <c r="B109" s="127">
        <f t="shared" si="3"/>
        <v>41497</v>
      </c>
      <c r="D109" s="139">
        <v>0.22</v>
      </c>
      <c r="F109" s="135">
        <f t="shared" si="4"/>
        <v>165.75342499999999</v>
      </c>
    </row>
    <row r="110" spans="1:11" hidden="1" x14ac:dyDescent="0.25">
      <c r="B110" s="127">
        <f t="shared" si="3"/>
        <v>41498</v>
      </c>
      <c r="D110" s="139">
        <v>0.22</v>
      </c>
      <c r="F110" s="135">
        <f t="shared" si="4"/>
        <v>165.75342499999999</v>
      </c>
    </row>
    <row r="111" spans="1:11" hidden="1" x14ac:dyDescent="0.25">
      <c r="B111" s="127">
        <f t="shared" si="3"/>
        <v>41499</v>
      </c>
      <c r="D111" s="139">
        <v>0.22</v>
      </c>
      <c r="F111" s="135">
        <f t="shared" si="4"/>
        <v>165.75342499999999</v>
      </c>
    </row>
    <row r="112" spans="1:11" hidden="1" x14ac:dyDescent="0.25">
      <c r="B112" s="127">
        <f t="shared" si="3"/>
        <v>41500</v>
      </c>
      <c r="D112" s="139">
        <v>0.22</v>
      </c>
      <c r="F112" s="135">
        <f t="shared" si="4"/>
        <v>165.75342499999999</v>
      </c>
    </row>
    <row r="113" spans="2:6" hidden="1" x14ac:dyDescent="0.25">
      <c r="B113" s="127">
        <f t="shared" si="3"/>
        <v>41501</v>
      </c>
      <c r="D113" s="139">
        <v>0.22</v>
      </c>
      <c r="F113" s="135">
        <f t="shared" si="4"/>
        <v>165.75342499999999</v>
      </c>
    </row>
    <row r="114" spans="2:6" hidden="1" x14ac:dyDescent="0.25">
      <c r="B114" s="127">
        <f t="shared" si="3"/>
        <v>41502</v>
      </c>
      <c r="D114" s="139">
        <v>0.22</v>
      </c>
      <c r="F114" s="135">
        <f t="shared" si="4"/>
        <v>165.75342499999999</v>
      </c>
    </row>
    <row r="115" spans="2:6" hidden="1" x14ac:dyDescent="0.25">
      <c r="B115" s="127">
        <f t="shared" si="3"/>
        <v>41503</v>
      </c>
      <c r="D115" s="139">
        <v>0.22</v>
      </c>
      <c r="F115" s="135">
        <f t="shared" si="4"/>
        <v>165.75342499999999</v>
      </c>
    </row>
    <row r="116" spans="2:6" hidden="1" x14ac:dyDescent="0.25">
      <c r="B116" s="127">
        <f t="shared" si="3"/>
        <v>41504</v>
      </c>
      <c r="D116" s="139">
        <v>0.22</v>
      </c>
      <c r="F116" s="135">
        <f t="shared" si="4"/>
        <v>165.75342499999999</v>
      </c>
    </row>
    <row r="117" spans="2:6" hidden="1" x14ac:dyDescent="0.25">
      <c r="B117" s="127">
        <f t="shared" si="3"/>
        <v>41505</v>
      </c>
      <c r="D117" s="139">
        <v>0.22</v>
      </c>
      <c r="F117" s="135">
        <f t="shared" si="4"/>
        <v>165.75342499999999</v>
      </c>
    </row>
    <row r="118" spans="2:6" hidden="1" x14ac:dyDescent="0.25">
      <c r="B118" s="127">
        <f t="shared" si="3"/>
        <v>41506</v>
      </c>
      <c r="D118" s="139">
        <v>0.22</v>
      </c>
      <c r="F118" s="135">
        <f t="shared" si="4"/>
        <v>165.75342499999999</v>
      </c>
    </row>
    <row r="119" spans="2:6" hidden="1" x14ac:dyDescent="0.25">
      <c r="B119" s="127">
        <f t="shared" si="3"/>
        <v>41507</v>
      </c>
      <c r="D119" s="139">
        <v>0.22</v>
      </c>
      <c r="F119" s="135">
        <f t="shared" si="4"/>
        <v>165.75342499999999</v>
      </c>
    </row>
    <row r="120" spans="2:6" hidden="1" x14ac:dyDescent="0.25">
      <c r="B120" s="127">
        <f t="shared" si="3"/>
        <v>41508</v>
      </c>
      <c r="D120" s="139">
        <v>0.22</v>
      </c>
      <c r="F120" s="135">
        <f t="shared" si="4"/>
        <v>165.75342499999999</v>
      </c>
    </row>
    <row r="121" spans="2:6" hidden="1" x14ac:dyDescent="0.25">
      <c r="B121" s="127">
        <f t="shared" si="3"/>
        <v>41509</v>
      </c>
      <c r="D121" s="139">
        <v>0.22</v>
      </c>
      <c r="F121" s="135">
        <f t="shared" si="4"/>
        <v>165.75342499999999</v>
      </c>
    </row>
    <row r="122" spans="2:6" hidden="1" x14ac:dyDescent="0.25">
      <c r="B122" s="127">
        <f t="shared" si="3"/>
        <v>41510</v>
      </c>
      <c r="D122" s="139">
        <v>0.22</v>
      </c>
      <c r="F122" s="135">
        <f t="shared" si="4"/>
        <v>165.75342499999999</v>
      </c>
    </row>
    <row r="123" spans="2:6" hidden="1" x14ac:dyDescent="0.25">
      <c r="B123" s="127">
        <f t="shared" si="3"/>
        <v>41511</v>
      </c>
      <c r="D123" s="139">
        <v>0.22</v>
      </c>
      <c r="F123" s="135">
        <f t="shared" si="4"/>
        <v>165.75342499999999</v>
      </c>
    </row>
    <row r="124" spans="2:6" hidden="1" x14ac:dyDescent="0.25">
      <c r="B124" s="127">
        <f t="shared" si="3"/>
        <v>41512</v>
      </c>
      <c r="D124" s="139">
        <v>0.22</v>
      </c>
      <c r="F124" s="135">
        <f t="shared" si="4"/>
        <v>165.75342499999999</v>
      </c>
    </row>
    <row r="125" spans="2:6" hidden="1" x14ac:dyDescent="0.25">
      <c r="B125" s="127">
        <f t="shared" si="3"/>
        <v>41513</v>
      </c>
      <c r="D125" s="139">
        <v>0.22</v>
      </c>
      <c r="F125" s="135">
        <f t="shared" si="4"/>
        <v>165.75342499999999</v>
      </c>
    </row>
    <row r="126" spans="2:6" hidden="1" x14ac:dyDescent="0.25">
      <c r="B126" s="127">
        <f t="shared" si="3"/>
        <v>41514</v>
      </c>
      <c r="D126" s="139">
        <v>0.22</v>
      </c>
      <c r="F126" s="135">
        <f t="shared" si="4"/>
        <v>165.75342499999999</v>
      </c>
    </row>
    <row r="127" spans="2:6" hidden="1" x14ac:dyDescent="0.25">
      <c r="B127" s="127">
        <f t="shared" si="3"/>
        <v>41515</v>
      </c>
      <c r="D127" s="139">
        <v>0.22</v>
      </c>
      <c r="F127" s="135">
        <f t="shared" si="4"/>
        <v>165.75342499999999</v>
      </c>
    </row>
    <row r="128" spans="2:6" hidden="1" x14ac:dyDescent="0.25">
      <c r="B128" s="127">
        <f t="shared" si="3"/>
        <v>41516</v>
      </c>
      <c r="D128" s="139">
        <v>0.22</v>
      </c>
      <c r="F128" s="135">
        <f t="shared" si="4"/>
        <v>165.75342499999999</v>
      </c>
    </row>
    <row r="129" spans="1:11" hidden="1" x14ac:dyDescent="0.25">
      <c r="B129" s="127">
        <f t="shared" si="3"/>
        <v>41517</v>
      </c>
      <c r="D129" s="139">
        <v>0.22</v>
      </c>
      <c r="F129" s="135">
        <f t="shared" si="4"/>
        <v>165.75342499999999</v>
      </c>
      <c r="H129" s="136">
        <f>SUM(F99:F129)</f>
        <v>5138.3561749999972</v>
      </c>
      <c r="I129" s="164">
        <f>AVERAGE(D99:D129)</f>
        <v>0.21999999999999995</v>
      </c>
      <c r="J129" s="165">
        <f>AVERAGE(D7:D129)</f>
        <v>0.23317073170731661</v>
      </c>
      <c r="K129" s="166">
        <f>AVERAGE(D7:D129)</f>
        <v>0.23317073170731661</v>
      </c>
    </row>
    <row r="130" spans="1:11" hidden="1" x14ac:dyDescent="0.25">
      <c r="A130" s="126">
        <v>41518</v>
      </c>
      <c r="B130" s="127">
        <f t="shared" si="3"/>
        <v>41518</v>
      </c>
      <c r="D130" s="139">
        <v>0.22</v>
      </c>
      <c r="F130" s="135">
        <f t="shared" si="4"/>
        <v>165.75342499999999</v>
      </c>
    </row>
    <row r="131" spans="1:11" hidden="1" x14ac:dyDescent="0.25">
      <c r="B131" s="127">
        <f t="shared" ref="B131:B190" si="5">B130+1</f>
        <v>41519</v>
      </c>
      <c r="D131" s="139">
        <v>0.22</v>
      </c>
      <c r="F131" s="135">
        <f t="shared" si="4"/>
        <v>165.75342499999999</v>
      </c>
    </row>
    <row r="132" spans="1:11" hidden="1" x14ac:dyDescent="0.25">
      <c r="B132" s="127">
        <f t="shared" si="5"/>
        <v>41520</v>
      </c>
      <c r="D132" s="139">
        <v>0.22</v>
      </c>
      <c r="F132" s="135">
        <f t="shared" si="4"/>
        <v>165.75342499999999</v>
      </c>
    </row>
    <row r="133" spans="1:11" hidden="1" x14ac:dyDescent="0.25">
      <c r="B133" s="127">
        <f t="shared" si="5"/>
        <v>41521</v>
      </c>
      <c r="D133" s="139">
        <v>0.22</v>
      </c>
      <c r="F133" s="135">
        <f t="shared" si="4"/>
        <v>165.75342499999999</v>
      </c>
    </row>
    <row r="134" spans="1:11" hidden="1" x14ac:dyDescent="0.25">
      <c r="B134" s="127">
        <f t="shared" si="5"/>
        <v>41522</v>
      </c>
      <c r="D134" s="139">
        <v>0.22</v>
      </c>
      <c r="F134" s="135">
        <f t="shared" si="4"/>
        <v>165.75342499999999</v>
      </c>
    </row>
    <row r="135" spans="1:11" hidden="1" x14ac:dyDescent="0.25">
      <c r="B135" s="127">
        <f t="shared" si="5"/>
        <v>41523</v>
      </c>
      <c r="D135" s="139">
        <v>0.22</v>
      </c>
      <c r="F135" s="135">
        <f t="shared" si="4"/>
        <v>165.75342499999999</v>
      </c>
    </row>
    <row r="136" spans="1:11" hidden="1" x14ac:dyDescent="0.25">
      <c r="B136" s="127">
        <f t="shared" si="5"/>
        <v>41524</v>
      </c>
      <c r="D136" s="139">
        <v>0.22</v>
      </c>
      <c r="F136" s="135">
        <f t="shared" si="4"/>
        <v>165.75342499999999</v>
      </c>
    </row>
    <row r="137" spans="1:11" hidden="1" x14ac:dyDescent="0.25">
      <c r="B137" s="127">
        <f t="shared" si="5"/>
        <v>41525</v>
      </c>
      <c r="D137" s="139">
        <v>0.22</v>
      </c>
      <c r="F137" s="135">
        <f t="shared" si="4"/>
        <v>165.75342499999999</v>
      </c>
    </row>
    <row r="138" spans="1:11" hidden="1" x14ac:dyDescent="0.25">
      <c r="B138" s="127">
        <f t="shared" si="5"/>
        <v>41526</v>
      </c>
      <c r="D138" s="139">
        <v>0.22</v>
      </c>
      <c r="F138" s="135">
        <f t="shared" si="4"/>
        <v>165.75342499999999</v>
      </c>
    </row>
    <row r="139" spans="1:11" hidden="1" x14ac:dyDescent="0.25">
      <c r="B139" s="127">
        <f t="shared" si="5"/>
        <v>41527</v>
      </c>
      <c r="D139" s="139">
        <v>0.22</v>
      </c>
      <c r="F139" s="135">
        <f t="shared" si="4"/>
        <v>165.75342499999999</v>
      </c>
    </row>
    <row r="140" spans="1:11" hidden="1" x14ac:dyDescent="0.25">
      <c r="B140" s="127">
        <f t="shared" si="5"/>
        <v>41528</v>
      </c>
      <c r="D140" s="139">
        <v>0.22</v>
      </c>
      <c r="F140" s="135">
        <f t="shared" si="4"/>
        <v>165.75342499999999</v>
      </c>
    </row>
    <row r="141" spans="1:11" hidden="1" x14ac:dyDescent="0.25">
      <c r="B141" s="127">
        <f t="shared" si="5"/>
        <v>41529</v>
      </c>
      <c r="D141" s="139">
        <v>0.22</v>
      </c>
      <c r="F141" s="135">
        <f t="shared" si="4"/>
        <v>165.75342499999999</v>
      </c>
    </row>
    <row r="142" spans="1:11" hidden="1" x14ac:dyDescent="0.25">
      <c r="B142" s="127">
        <f t="shared" si="5"/>
        <v>41530</v>
      </c>
      <c r="D142" s="139">
        <v>0.22</v>
      </c>
      <c r="F142" s="135">
        <f t="shared" si="4"/>
        <v>165.75342499999999</v>
      </c>
    </row>
    <row r="143" spans="1:11" hidden="1" x14ac:dyDescent="0.25">
      <c r="B143" s="127">
        <f t="shared" si="5"/>
        <v>41531</v>
      </c>
      <c r="D143" s="139">
        <v>0.22</v>
      </c>
      <c r="F143" s="135">
        <f t="shared" si="4"/>
        <v>165.75342499999999</v>
      </c>
    </row>
    <row r="144" spans="1:11" hidden="1" x14ac:dyDescent="0.25">
      <c r="B144" s="127">
        <f t="shared" si="5"/>
        <v>41532</v>
      </c>
      <c r="D144" s="139">
        <v>0.22</v>
      </c>
      <c r="F144" s="135">
        <f t="shared" ref="F144:F190" si="6">ROUND(D144/100*$A$3/365,6)</f>
        <v>165.75342499999999</v>
      </c>
    </row>
    <row r="145" spans="1:11" hidden="1" x14ac:dyDescent="0.25">
      <c r="B145" s="127">
        <f t="shared" si="5"/>
        <v>41533</v>
      </c>
      <c r="D145" s="139">
        <v>0.22</v>
      </c>
      <c r="F145" s="135">
        <f t="shared" si="6"/>
        <v>165.75342499999999</v>
      </c>
    </row>
    <row r="146" spans="1:11" hidden="1" x14ac:dyDescent="0.25">
      <c r="B146" s="127">
        <f t="shared" si="5"/>
        <v>41534</v>
      </c>
      <c r="D146" s="139">
        <v>0.22</v>
      </c>
      <c r="F146" s="135">
        <f t="shared" si="6"/>
        <v>165.75342499999999</v>
      </c>
    </row>
    <row r="147" spans="1:11" hidden="1" x14ac:dyDescent="0.25">
      <c r="B147" s="127">
        <f t="shared" si="5"/>
        <v>41535</v>
      </c>
      <c r="D147" s="139">
        <v>0.22</v>
      </c>
      <c r="F147" s="135">
        <f t="shared" si="6"/>
        <v>165.75342499999999</v>
      </c>
    </row>
    <row r="148" spans="1:11" hidden="1" x14ac:dyDescent="0.25">
      <c r="B148" s="127">
        <f t="shared" si="5"/>
        <v>41536</v>
      </c>
      <c r="D148" s="139">
        <v>0.22</v>
      </c>
      <c r="F148" s="135">
        <f t="shared" si="6"/>
        <v>165.75342499999999</v>
      </c>
    </row>
    <row r="149" spans="1:11" hidden="1" x14ac:dyDescent="0.25">
      <c r="B149" s="127">
        <f t="shared" si="5"/>
        <v>41537</v>
      </c>
      <c r="D149" s="139">
        <v>0.22</v>
      </c>
      <c r="F149" s="135">
        <f t="shared" si="6"/>
        <v>165.75342499999999</v>
      </c>
    </row>
    <row r="150" spans="1:11" hidden="1" x14ac:dyDescent="0.25">
      <c r="B150" s="127">
        <f t="shared" si="5"/>
        <v>41538</v>
      </c>
      <c r="D150" s="139">
        <v>0.22</v>
      </c>
      <c r="F150" s="135">
        <f t="shared" si="6"/>
        <v>165.75342499999999</v>
      </c>
    </row>
    <row r="151" spans="1:11" hidden="1" x14ac:dyDescent="0.25">
      <c r="B151" s="127">
        <f t="shared" si="5"/>
        <v>41539</v>
      </c>
      <c r="D151" s="139">
        <v>0.22</v>
      </c>
      <c r="F151" s="135">
        <f t="shared" si="6"/>
        <v>165.75342499999999</v>
      </c>
    </row>
    <row r="152" spans="1:11" hidden="1" x14ac:dyDescent="0.25">
      <c r="B152" s="127">
        <f t="shared" si="5"/>
        <v>41540</v>
      </c>
      <c r="D152" s="139">
        <v>0.22</v>
      </c>
      <c r="F152" s="135">
        <f t="shared" si="6"/>
        <v>165.75342499999999</v>
      </c>
    </row>
    <row r="153" spans="1:11" hidden="1" x14ac:dyDescent="0.25">
      <c r="B153" s="127">
        <f t="shared" si="5"/>
        <v>41541</v>
      </c>
      <c r="D153" s="139">
        <v>0.22</v>
      </c>
      <c r="F153" s="135">
        <f t="shared" si="6"/>
        <v>165.75342499999999</v>
      </c>
    </row>
    <row r="154" spans="1:11" hidden="1" x14ac:dyDescent="0.25">
      <c r="B154" s="127">
        <f t="shared" si="5"/>
        <v>41542</v>
      </c>
      <c r="D154" s="139">
        <v>0.22</v>
      </c>
      <c r="F154" s="135">
        <f t="shared" si="6"/>
        <v>165.75342499999999</v>
      </c>
    </row>
    <row r="155" spans="1:11" hidden="1" x14ac:dyDescent="0.25">
      <c r="B155" s="127">
        <f t="shared" si="5"/>
        <v>41543</v>
      </c>
      <c r="D155" s="139">
        <v>0.22</v>
      </c>
      <c r="F155" s="135">
        <f t="shared" si="6"/>
        <v>165.75342499999999</v>
      </c>
    </row>
    <row r="156" spans="1:11" hidden="1" x14ac:dyDescent="0.25">
      <c r="B156" s="127">
        <f t="shared" si="5"/>
        <v>41544</v>
      </c>
      <c r="D156" s="139">
        <v>0.22</v>
      </c>
      <c r="F156" s="135">
        <f t="shared" si="6"/>
        <v>165.75342499999999</v>
      </c>
    </row>
    <row r="157" spans="1:11" hidden="1" x14ac:dyDescent="0.25">
      <c r="B157" s="127">
        <f t="shared" si="5"/>
        <v>41545</v>
      </c>
      <c r="D157" s="139">
        <v>0.22</v>
      </c>
      <c r="F157" s="135">
        <f t="shared" si="6"/>
        <v>165.75342499999999</v>
      </c>
    </row>
    <row r="158" spans="1:11" hidden="1" x14ac:dyDescent="0.25">
      <c r="B158" s="127">
        <f t="shared" si="5"/>
        <v>41546</v>
      </c>
      <c r="D158" s="139">
        <v>0.22</v>
      </c>
      <c r="F158" s="135">
        <f t="shared" si="6"/>
        <v>165.75342499999999</v>
      </c>
    </row>
    <row r="159" spans="1:11" hidden="1" x14ac:dyDescent="0.25">
      <c r="B159" s="127">
        <f t="shared" si="5"/>
        <v>41547</v>
      </c>
      <c r="D159" s="139">
        <v>0.22</v>
      </c>
      <c r="F159" s="135">
        <f t="shared" si="6"/>
        <v>165.75342499999999</v>
      </c>
      <c r="H159" s="136">
        <f>SUM(F130:F159)</f>
        <v>4972.6027499999973</v>
      </c>
      <c r="I159" s="164">
        <f>AVERAGE(D130:D159)</f>
        <v>0.21999999999999995</v>
      </c>
      <c r="J159" s="165">
        <f>AVERAGE(D7:D159)</f>
        <v>0.23058823529411704</v>
      </c>
      <c r="K159" s="166">
        <f>AVERAGE(D7:D159)</f>
        <v>0.23058823529411704</v>
      </c>
    </row>
    <row r="160" spans="1:11" x14ac:dyDescent="0.25">
      <c r="A160" s="126">
        <v>41548</v>
      </c>
      <c r="B160" s="127">
        <f t="shared" si="5"/>
        <v>41548</v>
      </c>
      <c r="D160" s="139">
        <v>0.22</v>
      </c>
      <c r="F160" s="135">
        <f t="shared" si="6"/>
        <v>165.75342499999999</v>
      </c>
    </row>
    <row r="161" spans="2:6" x14ac:dyDescent="0.25">
      <c r="B161" s="127">
        <f t="shared" si="5"/>
        <v>41549</v>
      </c>
      <c r="D161" s="139">
        <v>0.22</v>
      </c>
      <c r="F161" s="135">
        <f t="shared" si="6"/>
        <v>165.75342499999999</v>
      </c>
    </row>
    <row r="162" spans="2:6" x14ac:dyDescent="0.25">
      <c r="B162" s="127">
        <f t="shared" si="5"/>
        <v>41550</v>
      </c>
      <c r="D162" s="139">
        <v>0.22</v>
      </c>
      <c r="F162" s="135">
        <f t="shared" si="6"/>
        <v>165.75342499999999</v>
      </c>
    </row>
    <row r="163" spans="2:6" x14ac:dyDescent="0.25">
      <c r="B163" s="127">
        <f t="shared" si="5"/>
        <v>41551</v>
      </c>
      <c r="D163" s="139">
        <v>0.2</v>
      </c>
      <c r="F163" s="135">
        <f t="shared" si="6"/>
        <v>150.684932</v>
      </c>
    </row>
    <row r="164" spans="2:6" x14ac:dyDescent="0.25">
      <c r="B164" s="127">
        <f t="shared" si="5"/>
        <v>41552</v>
      </c>
      <c r="D164" s="139">
        <v>0.2</v>
      </c>
      <c r="F164" s="135">
        <f t="shared" si="6"/>
        <v>150.684932</v>
      </c>
    </row>
    <row r="165" spans="2:6" x14ac:dyDescent="0.25">
      <c r="B165" s="127">
        <f t="shared" si="5"/>
        <v>41553</v>
      </c>
      <c r="D165" s="139">
        <v>0.2</v>
      </c>
      <c r="F165" s="135">
        <f t="shared" si="6"/>
        <v>150.684932</v>
      </c>
    </row>
    <row r="166" spans="2:6" x14ac:dyDescent="0.25">
      <c r="B166" s="127">
        <f t="shared" si="5"/>
        <v>41554</v>
      </c>
      <c r="D166" s="139">
        <v>0.2</v>
      </c>
      <c r="F166" s="135">
        <f t="shared" si="6"/>
        <v>150.684932</v>
      </c>
    </row>
    <row r="167" spans="2:6" x14ac:dyDescent="0.25">
      <c r="B167" s="127">
        <f t="shared" si="5"/>
        <v>41555</v>
      </c>
      <c r="D167" s="139">
        <v>0.2</v>
      </c>
      <c r="F167" s="135">
        <f t="shared" si="6"/>
        <v>150.684932</v>
      </c>
    </row>
    <row r="168" spans="2:6" x14ac:dyDescent="0.25">
      <c r="B168" s="127">
        <f t="shared" si="5"/>
        <v>41556</v>
      </c>
      <c r="D168" s="139">
        <v>0.2</v>
      </c>
      <c r="F168" s="135">
        <f t="shared" si="6"/>
        <v>150.684932</v>
      </c>
    </row>
    <row r="169" spans="2:6" x14ac:dyDescent="0.25">
      <c r="B169" s="127">
        <f t="shared" si="5"/>
        <v>41557</v>
      </c>
      <c r="D169" s="139">
        <v>0.2</v>
      </c>
      <c r="F169" s="135">
        <f t="shared" si="6"/>
        <v>150.684932</v>
      </c>
    </row>
    <row r="170" spans="2:6" x14ac:dyDescent="0.25">
      <c r="B170" s="127">
        <f t="shared" si="5"/>
        <v>41558</v>
      </c>
      <c r="D170" s="139">
        <v>0.2</v>
      </c>
      <c r="F170" s="135">
        <f t="shared" si="6"/>
        <v>150.684932</v>
      </c>
    </row>
    <row r="171" spans="2:6" x14ac:dyDescent="0.25">
      <c r="B171" s="127">
        <f t="shared" si="5"/>
        <v>41559</v>
      </c>
      <c r="D171" s="139">
        <v>0.2</v>
      </c>
      <c r="F171" s="135">
        <f t="shared" si="6"/>
        <v>150.684932</v>
      </c>
    </row>
    <row r="172" spans="2:6" x14ac:dyDescent="0.25">
      <c r="B172" s="127">
        <f t="shared" si="5"/>
        <v>41560</v>
      </c>
      <c r="D172" s="139">
        <v>0.2</v>
      </c>
      <c r="F172" s="135">
        <f t="shared" si="6"/>
        <v>150.684932</v>
      </c>
    </row>
    <row r="173" spans="2:6" x14ac:dyDescent="0.25">
      <c r="B173" s="127">
        <f t="shared" si="5"/>
        <v>41561</v>
      </c>
      <c r="D173" s="139">
        <v>0.2</v>
      </c>
      <c r="F173" s="135">
        <f t="shared" si="6"/>
        <v>150.684932</v>
      </c>
    </row>
    <row r="174" spans="2:6" x14ac:dyDescent="0.25">
      <c r="B174" s="127">
        <f t="shared" si="5"/>
        <v>41562</v>
      </c>
      <c r="D174" s="139">
        <v>0.2</v>
      </c>
      <c r="F174" s="135">
        <f t="shared" si="6"/>
        <v>150.684932</v>
      </c>
    </row>
    <row r="175" spans="2:6" x14ac:dyDescent="0.25">
      <c r="B175" s="127">
        <f t="shared" si="5"/>
        <v>41563</v>
      </c>
      <c r="D175" s="139">
        <v>0.2</v>
      </c>
      <c r="F175" s="135">
        <f t="shared" si="6"/>
        <v>150.684932</v>
      </c>
    </row>
    <row r="176" spans="2:6" x14ac:dyDescent="0.25">
      <c r="B176" s="127">
        <f t="shared" si="5"/>
        <v>41564</v>
      </c>
      <c r="D176" s="139">
        <v>0.2</v>
      </c>
      <c r="F176" s="135">
        <f t="shared" si="6"/>
        <v>150.684932</v>
      </c>
    </row>
    <row r="177" spans="2:11" x14ac:dyDescent="0.25">
      <c r="B177" s="127">
        <f t="shared" si="5"/>
        <v>41565</v>
      </c>
      <c r="D177" s="139">
        <v>0.2</v>
      </c>
      <c r="F177" s="135">
        <f t="shared" si="6"/>
        <v>150.684932</v>
      </c>
    </row>
    <row r="178" spans="2:11" x14ac:dyDescent="0.25">
      <c r="B178" s="127">
        <f t="shared" si="5"/>
        <v>41566</v>
      </c>
      <c r="D178" s="139">
        <v>0.2</v>
      </c>
      <c r="F178" s="135">
        <f t="shared" si="6"/>
        <v>150.684932</v>
      </c>
    </row>
    <row r="179" spans="2:11" x14ac:dyDescent="0.25">
      <c r="B179" s="127">
        <f t="shared" si="5"/>
        <v>41567</v>
      </c>
      <c r="D179" s="139">
        <v>0.2</v>
      </c>
      <c r="F179" s="135">
        <f t="shared" si="6"/>
        <v>150.684932</v>
      </c>
    </row>
    <row r="180" spans="2:11" x14ac:dyDescent="0.25">
      <c r="B180" s="127">
        <f t="shared" si="5"/>
        <v>41568</v>
      </c>
      <c r="D180" s="139">
        <v>0.2</v>
      </c>
      <c r="F180" s="135">
        <f t="shared" si="6"/>
        <v>150.684932</v>
      </c>
    </row>
    <row r="181" spans="2:11" x14ac:dyDescent="0.25">
      <c r="B181" s="127">
        <f t="shared" si="5"/>
        <v>41569</v>
      </c>
      <c r="D181" s="139">
        <v>0.2</v>
      </c>
      <c r="F181" s="135">
        <f t="shared" si="6"/>
        <v>150.684932</v>
      </c>
    </row>
    <row r="182" spans="2:11" x14ac:dyDescent="0.25">
      <c r="B182" s="127">
        <f t="shared" si="5"/>
        <v>41570</v>
      </c>
      <c r="D182" s="139">
        <v>0.2</v>
      </c>
      <c r="F182" s="135">
        <f t="shared" si="6"/>
        <v>150.684932</v>
      </c>
    </row>
    <row r="183" spans="2:11" x14ac:dyDescent="0.25">
      <c r="B183" s="127">
        <f t="shared" si="5"/>
        <v>41571</v>
      </c>
      <c r="D183" s="139">
        <v>0.2</v>
      </c>
      <c r="F183" s="135">
        <f t="shared" si="6"/>
        <v>150.684932</v>
      </c>
    </row>
    <row r="184" spans="2:11" x14ac:dyDescent="0.25">
      <c r="B184" s="127">
        <f t="shared" si="5"/>
        <v>41572</v>
      </c>
      <c r="D184" s="139">
        <v>0.2</v>
      </c>
      <c r="F184" s="135">
        <f t="shared" si="6"/>
        <v>150.684932</v>
      </c>
    </row>
    <row r="185" spans="2:11" x14ac:dyDescent="0.25">
      <c r="B185" s="127">
        <f t="shared" si="5"/>
        <v>41573</v>
      </c>
      <c r="D185" s="139">
        <v>0.2</v>
      </c>
      <c r="F185" s="135">
        <f t="shared" si="6"/>
        <v>150.684932</v>
      </c>
    </row>
    <row r="186" spans="2:11" x14ac:dyDescent="0.25">
      <c r="B186" s="127">
        <f t="shared" si="5"/>
        <v>41574</v>
      </c>
      <c r="D186" s="139">
        <v>0.2</v>
      </c>
      <c r="F186" s="135">
        <f t="shared" si="6"/>
        <v>150.684932</v>
      </c>
    </row>
    <row r="187" spans="2:11" x14ac:dyDescent="0.25">
      <c r="B187" s="127">
        <f t="shared" si="5"/>
        <v>41575</v>
      </c>
      <c r="D187" s="139">
        <v>0.2</v>
      </c>
      <c r="F187" s="135">
        <f t="shared" si="6"/>
        <v>150.684932</v>
      </c>
    </row>
    <row r="188" spans="2:11" x14ac:dyDescent="0.25">
      <c r="B188" s="127">
        <f t="shared" si="5"/>
        <v>41576</v>
      </c>
      <c r="D188" s="139">
        <v>0.2</v>
      </c>
      <c r="F188" s="135">
        <f t="shared" si="6"/>
        <v>150.684932</v>
      </c>
    </row>
    <row r="189" spans="2:11" x14ac:dyDescent="0.25">
      <c r="B189" s="127">
        <f t="shared" si="5"/>
        <v>41577</v>
      </c>
      <c r="D189" s="139">
        <v>0.2</v>
      </c>
      <c r="F189" s="135">
        <f t="shared" si="6"/>
        <v>150.684932</v>
      </c>
    </row>
    <row r="190" spans="2:11" x14ac:dyDescent="0.25">
      <c r="B190" s="127">
        <f t="shared" si="5"/>
        <v>41578</v>
      </c>
      <c r="D190" s="139">
        <v>0.2</v>
      </c>
      <c r="F190" s="135">
        <f t="shared" si="6"/>
        <v>150.684932</v>
      </c>
      <c r="H190" s="136">
        <f>SUM(F160:F190)</f>
        <v>4716.4383710000029</v>
      </c>
      <c r="I190" s="164">
        <f>AVERAGE(D160:D190)</f>
        <v>0.20193548387096785</v>
      </c>
      <c r="J190" s="165">
        <f>AVERAGE(D7:D190)</f>
        <v>0.22576086956521732</v>
      </c>
      <c r="K190" s="166">
        <f>AVERAGE(D7:D190)</f>
        <v>0.22576086956521732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>
    <pageSetUpPr fitToPage="1"/>
  </sheetPr>
  <dimension ref="A1:AA190"/>
  <sheetViews>
    <sheetView zoomScaleNormal="100" workbookViewId="0">
      <pane ySplit="5" topLeftCell="A6" activePane="bottomLeft" state="frozen"/>
      <selection activeCell="M22" sqref="M22"/>
      <selection pane="bottomLeft" activeCell="A191" sqref="A191:XFD670"/>
    </sheetView>
  </sheetViews>
  <sheetFormatPr defaultRowHeight="15" x14ac:dyDescent="0.25"/>
  <cols>
    <col min="1" max="1" width="8.5703125" style="126" customWidth="1"/>
    <col min="2" max="2" width="9.7109375" style="151" bestFit="1" customWidth="1"/>
    <col min="3" max="3" width="5.7109375" style="125" customWidth="1"/>
    <col min="4" max="4" width="10.7109375" style="125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53" customWidth="1"/>
    <col min="9" max="9" width="11.7109375" style="162" customWidth="1"/>
    <col min="10" max="10" width="11.7109375" style="163" customWidth="1"/>
    <col min="11" max="11" width="9.140625" style="166"/>
    <col min="12" max="14" width="9.140625" style="125"/>
    <col min="15" max="27" width="9.140625" style="158"/>
    <col min="28" max="16384" width="9.140625" style="125"/>
  </cols>
  <sheetData>
    <row r="1" spans="1:14" ht="12.75" x14ac:dyDescent="0.2">
      <c r="A1" s="636" t="s">
        <v>141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133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35000000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237182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7" customHeight="1" x14ac:dyDescent="0.25">
      <c r="B5" s="127"/>
      <c r="D5" s="128"/>
      <c r="H5" s="152" t="s">
        <v>134</v>
      </c>
      <c r="I5" s="159" t="s">
        <v>135</v>
      </c>
      <c r="J5" s="160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52"/>
      <c r="I6" s="159"/>
      <c r="J6" s="160"/>
      <c r="K6" s="167"/>
      <c r="L6" s="133"/>
      <c r="M6" s="133"/>
      <c r="N6" s="133"/>
    </row>
    <row r="7" spans="1:14" hidden="1" x14ac:dyDescent="0.25">
      <c r="A7" s="126">
        <v>41395</v>
      </c>
      <c r="B7" s="127">
        <v>41395</v>
      </c>
      <c r="D7" s="146">
        <v>0.4</v>
      </c>
      <c r="F7" s="135">
        <f t="shared" ref="F7:F15" si="0">ROUND(D7/100*$A$3/365,6)</f>
        <v>383.561644</v>
      </c>
    </row>
    <row r="8" spans="1:14" hidden="1" x14ac:dyDescent="0.25">
      <c r="B8" s="127">
        <f t="shared" ref="B8:B66" si="1">B7+1</f>
        <v>41396</v>
      </c>
      <c r="D8" s="146">
        <v>0.4</v>
      </c>
      <c r="F8" s="135">
        <f t="shared" si="0"/>
        <v>383.561644</v>
      </c>
    </row>
    <row r="9" spans="1:14" hidden="1" x14ac:dyDescent="0.25">
      <c r="B9" s="127">
        <f t="shared" si="1"/>
        <v>41397</v>
      </c>
      <c r="D9" s="146">
        <v>0.4</v>
      </c>
      <c r="F9" s="135">
        <f t="shared" si="0"/>
        <v>383.561644</v>
      </c>
    </row>
    <row r="10" spans="1:14" hidden="1" x14ac:dyDescent="0.25">
      <c r="B10" s="127">
        <f t="shared" si="1"/>
        <v>41398</v>
      </c>
      <c r="D10" s="146">
        <v>0.4</v>
      </c>
      <c r="F10" s="135">
        <f t="shared" si="0"/>
        <v>383.561644</v>
      </c>
    </row>
    <row r="11" spans="1:14" hidden="1" x14ac:dyDescent="0.25">
      <c r="B11" s="127">
        <f t="shared" si="1"/>
        <v>41399</v>
      </c>
      <c r="D11" s="146">
        <v>0.4</v>
      </c>
      <c r="F11" s="135">
        <f t="shared" si="0"/>
        <v>383.561644</v>
      </c>
    </row>
    <row r="12" spans="1:14" hidden="1" x14ac:dyDescent="0.25">
      <c r="B12" s="127">
        <f t="shared" si="1"/>
        <v>41400</v>
      </c>
      <c r="D12" s="146">
        <v>0.4</v>
      </c>
      <c r="F12" s="135">
        <f t="shared" si="0"/>
        <v>383.561644</v>
      </c>
    </row>
    <row r="13" spans="1:14" hidden="1" x14ac:dyDescent="0.25">
      <c r="B13" s="127">
        <f t="shared" si="1"/>
        <v>41401</v>
      </c>
      <c r="D13" s="146">
        <v>0.4</v>
      </c>
      <c r="F13" s="135">
        <f t="shared" si="0"/>
        <v>383.561644</v>
      </c>
    </row>
    <row r="14" spans="1:14" hidden="1" x14ac:dyDescent="0.25">
      <c r="B14" s="127">
        <f t="shared" si="1"/>
        <v>41402</v>
      </c>
      <c r="D14" s="146">
        <v>0.4</v>
      </c>
      <c r="F14" s="135">
        <f t="shared" si="0"/>
        <v>383.561644</v>
      </c>
    </row>
    <row r="15" spans="1:14" hidden="1" x14ac:dyDescent="0.25">
      <c r="B15" s="127">
        <f t="shared" si="1"/>
        <v>41403</v>
      </c>
      <c r="D15" s="146">
        <v>0.4</v>
      </c>
      <c r="F15" s="135">
        <f t="shared" si="0"/>
        <v>383.561644</v>
      </c>
    </row>
    <row r="16" spans="1:14" hidden="1" x14ac:dyDescent="0.25">
      <c r="B16" s="127">
        <f t="shared" si="1"/>
        <v>41404</v>
      </c>
      <c r="D16" s="146">
        <v>0.4</v>
      </c>
      <c r="F16" s="135">
        <f t="shared" ref="F16:F79" si="2">ROUND(D16/100*$A$3/365,6)</f>
        <v>383.561644</v>
      </c>
    </row>
    <row r="17" spans="2:6" hidden="1" x14ac:dyDescent="0.25">
      <c r="B17" s="127">
        <f t="shared" si="1"/>
        <v>41405</v>
      </c>
      <c r="D17" s="146">
        <v>0.4</v>
      </c>
      <c r="F17" s="135">
        <f t="shared" si="2"/>
        <v>383.561644</v>
      </c>
    </row>
    <row r="18" spans="2:6" hidden="1" x14ac:dyDescent="0.25">
      <c r="B18" s="127">
        <f t="shared" si="1"/>
        <v>41406</v>
      </c>
      <c r="D18" s="146">
        <v>0.4</v>
      </c>
      <c r="F18" s="135">
        <f t="shared" si="2"/>
        <v>383.561644</v>
      </c>
    </row>
    <row r="19" spans="2:6" hidden="1" x14ac:dyDescent="0.25">
      <c r="B19" s="127">
        <f t="shared" si="1"/>
        <v>41407</v>
      </c>
      <c r="D19" s="146">
        <v>0.4</v>
      </c>
      <c r="F19" s="135">
        <f t="shared" si="2"/>
        <v>383.561644</v>
      </c>
    </row>
    <row r="20" spans="2:6" hidden="1" x14ac:dyDescent="0.25">
      <c r="B20" s="127">
        <f t="shared" si="1"/>
        <v>41408</v>
      </c>
      <c r="D20" s="146">
        <v>0.4</v>
      </c>
      <c r="F20" s="135">
        <f t="shared" si="2"/>
        <v>383.561644</v>
      </c>
    </row>
    <row r="21" spans="2:6" hidden="1" x14ac:dyDescent="0.25">
      <c r="B21" s="127">
        <f t="shared" si="1"/>
        <v>41409</v>
      </c>
      <c r="D21" s="146">
        <v>0.4</v>
      </c>
      <c r="F21" s="135">
        <f t="shared" si="2"/>
        <v>383.561644</v>
      </c>
    </row>
    <row r="22" spans="2:6" hidden="1" x14ac:dyDescent="0.25">
      <c r="B22" s="127">
        <f t="shared" si="1"/>
        <v>41410</v>
      </c>
      <c r="D22" s="146">
        <v>0.4</v>
      </c>
      <c r="F22" s="135">
        <f t="shared" si="2"/>
        <v>383.561644</v>
      </c>
    </row>
    <row r="23" spans="2:6" hidden="1" x14ac:dyDescent="0.25">
      <c r="B23" s="127">
        <f t="shared" si="1"/>
        <v>41411</v>
      </c>
      <c r="D23" s="146">
        <v>0.4</v>
      </c>
      <c r="F23" s="135">
        <f t="shared" si="2"/>
        <v>383.561644</v>
      </c>
    </row>
    <row r="24" spans="2:6" hidden="1" x14ac:dyDescent="0.25">
      <c r="B24" s="127">
        <f t="shared" si="1"/>
        <v>41412</v>
      </c>
      <c r="D24" s="146">
        <v>0.4</v>
      </c>
      <c r="F24" s="135">
        <f t="shared" si="2"/>
        <v>383.561644</v>
      </c>
    </row>
    <row r="25" spans="2:6" hidden="1" x14ac:dyDescent="0.25">
      <c r="B25" s="127">
        <f t="shared" si="1"/>
        <v>41413</v>
      </c>
      <c r="D25" s="146">
        <v>0.4</v>
      </c>
      <c r="F25" s="135">
        <f t="shared" si="2"/>
        <v>383.561644</v>
      </c>
    </row>
    <row r="26" spans="2:6" hidden="1" x14ac:dyDescent="0.25">
      <c r="B26" s="127">
        <f t="shared" si="1"/>
        <v>41414</v>
      </c>
      <c r="D26" s="146">
        <v>0.4</v>
      </c>
      <c r="F26" s="135">
        <f t="shared" si="2"/>
        <v>383.561644</v>
      </c>
    </row>
    <row r="27" spans="2:6" hidden="1" x14ac:dyDescent="0.25">
      <c r="B27" s="127">
        <f t="shared" si="1"/>
        <v>41415</v>
      </c>
      <c r="D27" s="146">
        <v>0.4</v>
      </c>
      <c r="F27" s="135">
        <f t="shared" si="2"/>
        <v>383.561644</v>
      </c>
    </row>
    <row r="28" spans="2:6" hidden="1" x14ac:dyDescent="0.25">
      <c r="B28" s="127">
        <f t="shared" si="1"/>
        <v>41416</v>
      </c>
      <c r="D28" s="146">
        <v>0.4</v>
      </c>
      <c r="F28" s="135">
        <f t="shared" si="2"/>
        <v>383.561644</v>
      </c>
    </row>
    <row r="29" spans="2:6" hidden="1" x14ac:dyDescent="0.25">
      <c r="B29" s="127">
        <f t="shared" si="1"/>
        <v>41417</v>
      </c>
      <c r="D29" s="146">
        <v>0.4</v>
      </c>
      <c r="F29" s="135">
        <f t="shared" si="2"/>
        <v>383.561644</v>
      </c>
    </row>
    <row r="30" spans="2:6" hidden="1" x14ac:dyDescent="0.25">
      <c r="B30" s="127">
        <f t="shared" si="1"/>
        <v>41418</v>
      </c>
      <c r="D30" s="146">
        <v>0.4</v>
      </c>
      <c r="F30" s="135">
        <f t="shared" si="2"/>
        <v>383.561644</v>
      </c>
    </row>
    <row r="31" spans="2:6" hidden="1" x14ac:dyDescent="0.25">
      <c r="B31" s="127">
        <f t="shared" si="1"/>
        <v>41419</v>
      </c>
      <c r="D31" s="146">
        <v>0.4</v>
      </c>
      <c r="F31" s="135">
        <f t="shared" si="2"/>
        <v>383.561644</v>
      </c>
    </row>
    <row r="32" spans="2:6" hidden="1" x14ac:dyDescent="0.25">
      <c r="B32" s="127">
        <f t="shared" si="1"/>
        <v>41420</v>
      </c>
      <c r="D32" s="146">
        <v>0.4</v>
      </c>
      <c r="F32" s="135">
        <f t="shared" si="2"/>
        <v>383.561644</v>
      </c>
    </row>
    <row r="33" spans="1:11" hidden="1" x14ac:dyDescent="0.25">
      <c r="B33" s="127">
        <f t="shared" si="1"/>
        <v>41421</v>
      </c>
      <c r="D33" s="146">
        <v>0.4</v>
      </c>
      <c r="F33" s="135">
        <f t="shared" si="2"/>
        <v>383.561644</v>
      </c>
    </row>
    <row r="34" spans="1:11" hidden="1" x14ac:dyDescent="0.25">
      <c r="B34" s="127">
        <f t="shared" si="1"/>
        <v>41422</v>
      </c>
      <c r="D34" s="146">
        <v>0.4</v>
      </c>
      <c r="F34" s="135">
        <f t="shared" si="2"/>
        <v>383.561644</v>
      </c>
    </row>
    <row r="35" spans="1:11" hidden="1" x14ac:dyDescent="0.25">
      <c r="B35" s="127">
        <f t="shared" si="1"/>
        <v>41423</v>
      </c>
      <c r="D35" s="146">
        <v>0.4</v>
      </c>
      <c r="F35" s="135">
        <f t="shared" si="2"/>
        <v>383.561644</v>
      </c>
    </row>
    <row r="36" spans="1:11" hidden="1" x14ac:dyDescent="0.25">
      <c r="B36" s="127">
        <f t="shared" si="1"/>
        <v>41424</v>
      </c>
      <c r="D36" s="146">
        <v>0.4</v>
      </c>
      <c r="F36" s="135">
        <f t="shared" si="2"/>
        <v>383.561644</v>
      </c>
    </row>
    <row r="37" spans="1:11" hidden="1" x14ac:dyDescent="0.25">
      <c r="B37" s="127">
        <f t="shared" si="1"/>
        <v>41425</v>
      </c>
      <c r="D37" s="146">
        <v>0.4</v>
      </c>
      <c r="F37" s="135">
        <f t="shared" si="2"/>
        <v>383.561644</v>
      </c>
      <c r="H37" s="136">
        <f>SUM(F7:F37)</f>
        <v>11890.410963999997</v>
      </c>
      <c r="I37" s="164">
        <f>AVERAGE(D7:D37)</f>
        <v>0.40000000000000019</v>
      </c>
      <c r="J37" s="165">
        <f>AVERAGE(D7:D37)</f>
        <v>0.40000000000000019</v>
      </c>
      <c r="K37" s="166">
        <f>AVERAGE(D7:D37)</f>
        <v>0.40000000000000019</v>
      </c>
    </row>
    <row r="38" spans="1:11" hidden="1" x14ac:dyDescent="0.25">
      <c r="A38" s="126">
        <v>41426</v>
      </c>
      <c r="B38" s="127">
        <f t="shared" si="1"/>
        <v>41426</v>
      </c>
      <c r="D38" s="146">
        <v>0.4</v>
      </c>
      <c r="F38" s="135">
        <f t="shared" si="2"/>
        <v>383.561644</v>
      </c>
    </row>
    <row r="39" spans="1:11" hidden="1" x14ac:dyDescent="0.25">
      <c r="B39" s="127">
        <f t="shared" si="1"/>
        <v>41427</v>
      </c>
      <c r="D39" s="146">
        <v>0.4</v>
      </c>
      <c r="F39" s="135">
        <f t="shared" si="2"/>
        <v>383.561644</v>
      </c>
    </row>
    <row r="40" spans="1:11" hidden="1" x14ac:dyDescent="0.25">
      <c r="B40" s="127">
        <f t="shared" si="1"/>
        <v>41428</v>
      </c>
      <c r="D40" s="146">
        <v>0.4</v>
      </c>
      <c r="F40" s="135">
        <f t="shared" si="2"/>
        <v>383.561644</v>
      </c>
    </row>
    <row r="41" spans="1:11" hidden="1" x14ac:dyDescent="0.25">
      <c r="B41" s="127">
        <f t="shared" si="1"/>
        <v>41429</v>
      </c>
      <c r="D41" s="146">
        <v>0.4</v>
      </c>
      <c r="F41" s="135">
        <f t="shared" si="2"/>
        <v>383.561644</v>
      </c>
    </row>
    <row r="42" spans="1:11" hidden="1" x14ac:dyDescent="0.25">
      <c r="B42" s="127">
        <f t="shared" si="1"/>
        <v>41430</v>
      </c>
      <c r="D42" s="146">
        <v>0.4</v>
      </c>
      <c r="F42" s="135">
        <f t="shared" si="2"/>
        <v>383.561644</v>
      </c>
    </row>
    <row r="43" spans="1:11" hidden="1" x14ac:dyDescent="0.25">
      <c r="B43" s="127">
        <f t="shared" si="1"/>
        <v>41431</v>
      </c>
      <c r="D43" s="146">
        <v>0.4</v>
      </c>
      <c r="F43" s="135">
        <f t="shared" si="2"/>
        <v>383.561644</v>
      </c>
    </row>
    <row r="44" spans="1:11" hidden="1" x14ac:dyDescent="0.25">
      <c r="B44" s="127">
        <f t="shared" si="1"/>
        <v>41432</v>
      </c>
      <c r="D44" s="146">
        <v>0.4</v>
      </c>
      <c r="F44" s="135">
        <f t="shared" si="2"/>
        <v>383.561644</v>
      </c>
    </row>
    <row r="45" spans="1:11" hidden="1" x14ac:dyDescent="0.25">
      <c r="B45" s="127">
        <f t="shared" si="1"/>
        <v>41433</v>
      </c>
      <c r="D45" s="146">
        <v>0.4</v>
      </c>
      <c r="F45" s="135">
        <f t="shared" si="2"/>
        <v>383.561644</v>
      </c>
    </row>
    <row r="46" spans="1:11" hidden="1" x14ac:dyDescent="0.25">
      <c r="B46" s="127">
        <f t="shared" si="1"/>
        <v>41434</v>
      </c>
      <c r="D46" s="146">
        <v>0.4</v>
      </c>
      <c r="F46" s="135">
        <f t="shared" si="2"/>
        <v>383.561644</v>
      </c>
    </row>
    <row r="47" spans="1:11" hidden="1" x14ac:dyDescent="0.25">
      <c r="B47" s="127">
        <f t="shared" si="1"/>
        <v>41435</v>
      </c>
      <c r="D47" s="146">
        <v>0.4</v>
      </c>
      <c r="F47" s="135">
        <f t="shared" si="2"/>
        <v>383.561644</v>
      </c>
    </row>
    <row r="48" spans="1:11" hidden="1" x14ac:dyDescent="0.25">
      <c r="B48" s="127">
        <f t="shared" si="1"/>
        <v>41436</v>
      </c>
      <c r="D48" s="146">
        <v>0.37428600000000001</v>
      </c>
      <c r="F48" s="135">
        <f t="shared" si="2"/>
        <v>358.90438399999999</v>
      </c>
    </row>
    <row r="49" spans="2:6" hidden="1" x14ac:dyDescent="0.25">
      <c r="B49" s="127">
        <f t="shared" si="1"/>
        <v>41437</v>
      </c>
      <c r="D49" s="146">
        <v>0.37428600000000001</v>
      </c>
      <c r="F49" s="135">
        <f t="shared" si="2"/>
        <v>358.90438399999999</v>
      </c>
    </row>
    <row r="50" spans="2:6" hidden="1" x14ac:dyDescent="0.25">
      <c r="B50" s="127">
        <f t="shared" si="1"/>
        <v>41438</v>
      </c>
      <c r="D50" s="146">
        <v>0.37428600000000001</v>
      </c>
      <c r="F50" s="135">
        <f t="shared" si="2"/>
        <v>358.90438399999999</v>
      </c>
    </row>
    <row r="51" spans="2:6" hidden="1" x14ac:dyDescent="0.25">
      <c r="B51" s="127">
        <f t="shared" si="1"/>
        <v>41439</v>
      </c>
      <c r="D51" s="146">
        <v>0.37428600000000001</v>
      </c>
      <c r="F51" s="135">
        <f t="shared" si="2"/>
        <v>358.90438399999999</v>
      </c>
    </row>
    <row r="52" spans="2:6" hidden="1" x14ac:dyDescent="0.25">
      <c r="B52" s="127">
        <f t="shared" si="1"/>
        <v>41440</v>
      </c>
      <c r="D52" s="146">
        <v>0.37428600000000001</v>
      </c>
      <c r="F52" s="135">
        <f t="shared" si="2"/>
        <v>358.90438399999999</v>
      </c>
    </row>
    <row r="53" spans="2:6" hidden="1" x14ac:dyDescent="0.25">
      <c r="B53" s="127">
        <f t="shared" si="1"/>
        <v>41441</v>
      </c>
      <c r="D53" s="146">
        <v>0.37428600000000001</v>
      </c>
      <c r="F53" s="135">
        <f t="shared" si="2"/>
        <v>358.90438399999999</v>
      </c>
    </row>
    <row r="54" spans="2:6" hidden="1" x14ac:dyDescent="0.25">
      <c r="B54" s="127">
        <f t="shared" si="1"/>
        <v>41442</v>
      </c>
      <c r="D54" s="146">
        <v>0.37428600000000001</v>
      </c>
      <c r="F54" s="135">
        <f t="shared" si="2"/>
        <v>358.90438399999999</v>
      </c>
    </row>
    <row r="55" spans="2:6" hidden="1" x14ac:dyDescent="0.25">
      <c r="B55" s="127">
        <f t="shared" si="1"/>
        <v>41443</v>
      </c>
      <c r="D55" s="146">
        <v>0.37428600000000001</v>
      </c>
      <c r="F55" s="135">
        <f t="shared" si="2"/>
        <v>358.90438399999999</v>
      </c>
    </row>
    <row r="56" spans="2:6" hidden="1" x14ac:dyDescent="0.25">
      <c r="B56" s="127">
        <f t="shared" si="1"/>
        <v>41444</v>
      </c>
      <c r="D56" s="146">
        <v>0.37428600000000001</v>
      </c>
      <c r="F56" s="135">
        <f t="shared" si="2"/>
        <v>358.90438399999999</v>
      </c>
    </row>
    <row r="57" spans="2:6" hidden="1" x14ac:dyDescent="0.25">
      <c r="B57" s="127">
        <f t="shared" si="1"/>
        <v>41445</v>
      </c>
      <c r="D57" s="146">
        <v>0.37428600000000001</v>
      </c>
      <c r="F57" s="135">
        <f t="shared" si="2"/>
        <v>358.90438399999999</v>
      </c>
    </row>
    <row r="58" spans="2:6" hidden="1" x14ac:dyDescent="0.25">
      <c r="B58" s="127">
        <f t="shared" si="1"/>
        <v>41446</v>
      </c>
      <c r="D58" s="146">
        <v>0.37428600000000001</v>
      </c>
      <c r="F58" s="135">
        <f t="shared" si="2"/>
        <v>358.90438399999999</v>
      </c>
    </row>
    <row r="59" spans="2:6" hidden="1" x14ac:dyDescent="0.25">
      <c r="B59" s="127">
        <f t="shared" si="1"/>
        <v>41447</v>
      </c>
      <c r="D59" s="146">
        <v>0.37428600000000001</v>
      </c>
      <c r="F59" s="135">
        <f t="shared" si="2"/>
        <v>358.90438399999999</v>
      </c>
    </row>
    <row r="60" spans="2:6" hidden="1" x14ac:dyDescent="0.25">
      <c r="B60" s="127">
        <f t="shared" si="1"/>
        <v>41448</v>
      </c>
      <c r="D60" s="146">
        <v>0.37428600000000001</v>
      </c>
      <c r="F60" s="135">
        <f t="shared" si="2"/>
        <v>358.90438399999999</v>
      </c>
    </row>
    <row r="61" spans="2:6" hidden="1" x14ac:dyDescent="0.25">
      <c r="B61" s="127">
        <f t="shared" si="1"/>
        <v>41449</v>
      </c>
      <c r="D61" s="146">
        <v>0.37428600000000001</v>
      </c>
      <c r="F61" s="135">
        <f t="shared" si="2"/>
        <v>358.90438399999999</v>
      </c>
    </row>
    <row r="62" spans="2:6" hidden="1" x14ac:dyDescent="0.25">
      <c r="B62" s="127">
        <f t="shared" si="1"/>
        <v>41450</v>
      </c>
      <c r="D62" s="146">
        <v>0.37428600000000001</v>
      </c>
      <c r="F62" s="135">
        <f t="shared" si="2"/>
        <v>358.90438399999999</v>
      </c>
    </row>
    <row r="63" spans="2:6" hidden="1" x14ac:dyDescent="0.25">
      <c r="B63" s="127">
        <f t="shared" si="1"/>
        <v>41451</v>
      </c>
      <c r="D63" s="146">
        <v>0.37428600000000001</v>
      </c>
      <c r="F63" s="135">
        <f t="shared" si="2"/>
        <v>358.90438399999999</v>
      </c>
    </row>
    <row r="64" spans="2:6" hidden="1" x14ac:dyDescent="0.25">
      <c r="B64" s="127">
        <f t="shared" si="1"/>
        <v>41452</v>
      </c>
      <c r="D64" s="146">
        <v>0.37428600000000001</v>
      </c>
      <c r="F64" s="135">
        <f t="shared" si="2"/>
        <v>358.90438399999999</v>
      </c>
    </row>
    <row r="65" spans="1:11" hidden="1" x14ac:dyDescent="0.25">
      <c r="B65" s="127">
        <f t="shared" si="1"/>
        <v>41453</v>
      </c>
      <c r="D65" s="146">
        <v>0.37428600000000001</v>
      </c>
      <c r="F65" s="135">
        <f t="shared" si="2"/>
        <v>358.90438399999999</v>
      </c>
    </row>
    <row r="66" spans="1:11" hidden="1" x14ac:dyDescent="0.25">
      <c r="B66" s="127">
        <f t="shared" si="1"/>
        <v>41454</v>
      </c>
      <c r="D66" s="146">
        <v>0.37428600000000001</v>
      </c>
      <c r="F66" s="135">
        <f t="shared" si="2"/>
        <v>358.90438399999999</v>
      </c>
      <c r="I66" s="164"/>
      <c r="J66" s="165"/>
    </row>
    <row r="67" spans="1:11" hidden="1" x14ac:dyDescent="0.25">
      <c r="B67" s="127">
        <f t="shared" ref="B67:B130" si="3">B66+1</f>
        <v>41455</v>
      </c>
      <c r="D67" s="146">
        <v>0.37428600000000001</v>
      </c>
      <c r="F67" s="135">
        <f t="shared" si="2"/>
        <v>358.90438399999999</v>
      </c>
      <c r="H67" s="136">
        <f>SUM(F38:F67)</f>
        <v>11013.70412</v>
      </c>
      <c r="I67" s="164">
        <f>AVERAGE(D38:D67)</f>
        <v>0.38285733333333311</v>
      </c>
      <c r="J67" s="165">
        <f>AVERAGE(D7:D67)</f>
        <v>0.39156918032786941</v>
      </c>
      <c r="K67" s="166">
        <f>AVERAGE(D7:D67)</f>
        <v>0.39156918032786941</v>
      </c>
    </row>
    <row r="68" spans="1:11" hidden="1" x14ac:dyDescent="0.25">
      <c r="A68" s="126">
        <v>41456</v>
      </c>
      <c r="B68" s="127">
        <f t="shared" si="3"/>
        <v>41456</v>
      </c>
      <c r="D68" s="146">
        <v>0.37428600000000001</v>
      </c>
      <c r="F68" s="135">
        <f t="shared" si="2"/>
        <v>358.90438399999999</v>
      </c>
    </row>
    <row r="69" spans="1:11" hidden="1" x14ac:dyDescent="0.25">
      <c r="B69" s="127">
        <f t="shared" si="3"/>
        <v>41457</v>
      </c>
      <c r="D69" s="146">
        <v>0.37428600000000001</v>
      </c>
      <c r="F69" s="135">
        <f t="shared" si="2"/>
        <v>358.90438399999999</v>
      </c>
    </row>
    <row r="70" spans="1:11" hidden="1" x14ac:dyDescent="0.25">
      <c r="B70" s="127">
        <f t="shared" si="3"/>
        <v>41458</v>
      </c>
      <c r="D70" s="146">
        <v>0.37428600000000001</v>
      </c>
      <c r="F70" s="135">
        <f t="shared" si="2"/>
        <v>358.90438399999999</v>
      </c>
    </row>
    <row r="71" spans="1:11" hidden="1" x14ac:dyDescent="0.25">
      <c r="B71" s="127">
        <f t="shared" si="3"/>
        <v>41459</v>
      </c>
      <c r="D71" s="146">
        <v>0.37428600000000001</v>
      </c>
      <c r="F71" s="135">
        <f t="shared" si="2"/>
        <v>358.90438399999999</v>
      </c>
    </row>
    <row r="72" spans="1:11" hidden="1" x14ac:dyDescent="0.25">
      <c r="B72" s="127">
        <f t="shared" si="3"/>
        <v>41460</v>
      </c>
      <c r="D72" s="146">
        <v>0.37428600000000001</v>
      </c>
      <c r="F72" s="135">
        <f t="shared" si="2"/>
        <v>358.90438399999999</v>
      </c>
    </row>
    <row r="73" spans="1:11" hidden="1" x14ac:dyDescent="0.25">
      <c r="B73" s="127">
        <f t="shared" si="3"/>
        <v>41461</v>
      </c>
      <c r="D73" s="146">
        <v>0.37428600000000001</v>
      </c>
      <c r="F73" s="135">
        <f t="shared" si="2"/>
        <v>358.90438399999999</v>
      </c>
    </row>
    <row r="74" spans="1:11" hidden="1" x14ac:dyDescent="0.25">
      <c r="B74" s="127">
        <f t="shared" si="3"/>
        <v>41462</v>
      </c>
      <c r="D74" s="146">
        <v>0.37428600000000001</v>
      </c>
      <c r="F74" s="135">
        <f t="shared" si="2"/>
        <v>358.90438399999999</v>
      </c>
    </row>
    <row r="75" spans="1:11" hidden="1" x14ac:dyDescent="0.25">
      <c r="B75" s="127">
        <f t="shared" si="3"/>
        <v>41463</v>
      </c>
      <c r="D75" s="146">
        <v>0.37428600000000001</v>
      </c>
      <c r="F75" s="135">
        <f t="shared" si="2"/>
        <v>358.90438399999999</v>
      </c>
    </row>
    <row r="76" spans="1:11" hidden="1" x14ac:dyDescent="0.25">
      <c r="B76" s="127">
        <f t="shared" si="3"/>
        <v>41464</v>
      </c>
      <c r="D76" s="146">
        <v>0.37428600000000001</v>
      </c>
      <c r="F76" s="135">
        <f t="shared" si="2"/>
        <v>358.90438399999999</v>
      </c>
    </row>
    <row r="77" spans="1:11" hidden="1" x14ac:dyDescent="0.25">
      <c r="B77" s="127">
        <f t="shared" si="3"/>
        <v>41465</v>
      </c>
      <c r="D77" s="146">
        <v>0.37428600000000001</v>
      </c>
      <c r="F77" s="135">
        <f t="shared" si="2"/>
        <v>358.90438399999999</v>
      </c>
    </row>
    <row r="78" spans="1:11" hidden="1" x14ac:dyDescent="0.25">
      <c r="B78" s="127">
        <f t="shared" si="3"/>
        <v>41466</v>
      </c>
      <c r="D78" s="146">
        <v>0.37428600000000001</v>
      </c>
      <c r="F78" s="135">
        <f t="shared" si="2"/>
        <v>358.90438399999999</v>
      </c>
    </row>
    <row r="79" spans="1:11" hidden="1" x14ac:dyDescent="0.25">
      <c r="B79" s="127">
        <f t="shared" si="3"/>
        <v>41467</v>
      </c>
      <c r="D79" s="146">
        <v>0.37428600000000001</v>
      </c>
      <c r="F79" s="135">
        <f t="shared" si="2"/>
        <v>358.90438399999999</v>
      </c>
    </row>
    <row r="80" spans="1:11" hidden="1" x14ac:dyDescent="0.25">
      <c r="B80" s="127">
        <f t="shared" si="3"/>
        <v>41468</v>
      </c>
      <c r="D80" s="146">
        <v>0.37428600000000001</v>
      </c>
      <c r="F80" s="135">
        <f t="shared" ref="F80:F143" si="4">ROUND(D80/100*$A$3/365,6)</f>
        <v>358.90438399999999</v>
      </c>
    </row>
    <row r="81" spans="2:6" hidden="1" x14ac:dyDescent="0.25">
      <c r="B81" s="127">
        <f t="shared" si="3"/>
        <v>41469</v>
      </c>
      <c r="D81" s="146">
        <v>0.37428600000000001</v>
      </c>
      <c r="F81" s="135">
        <f t="shared" si="4"/>
        <v>358.90438399999999</v>
      </c>
    </row>
    <row r="82" spans="2:6" hidden="1" x14ac:dyDescent="0.25">
      <c r="B82" s="127">
        <f t="shared" si="3"/>
        <v>41470</v>
      </c>
      <c r="D82" s="146">
        <v>0.314285714285714</v>
      </c>
      <c r="F82" s="135">
        <f t="shared" si="4"/>
        <v>301.36986300000001</v>
      </c>
    </row>
    <row r="83" spans="2:6" hidden="1" x14ac:dyDescent="0.25">
      <c r="B83" s="127">
        <f t="shared" si="3"/>
        <v>41471</v>
      </c>
      <c r="D83" s="146">
        <v>0.314285714285714</v>
      </c>
      <c r="F83" s="135">
        <f t="shared" si="4"/>
        <v>301.36986300000001</v>
      </c>
    </row>
    <row r="84" spans="2:6" hidden="1" x14ac:dyDescent="0.25">
      <c r="B84" s="127">
        <f t="shared" si="3"/>
        <v>41472</v>
      </c>
      <c r="D84" s="146">
        <v>0.314285714285714</v>
      </c>
      <c r="F84" s="135">
        <f t="shared" si="4"/>
        <v>301.36986300000001</v>
      </c>
    </row>
    <row r="85" spans="2:6" hidden="1" x14ac:dyDescent="0.25">
      <c r="B85" s="127">
        <f t="shared" si="3"/>
        <v>41473</v>
      </c>
      <c r="D85" s="146">
        <v>0.314285714285714</v>
      </c>
      <c r="F85" s="135">
        <f t="shared" si="4"/>
        <v>301.36986300000001</v>
      </c>
    </row>
    <row r="86" spans="2:6" hidden="1" x14ac:dyDescent="0.25">
      <c r="B86" s="127">
        <f t="shared" si="3"/>
        <v>41474</v>
      </c>
      <c r="D86" s="146">
        <v>0.314285714285714</v>
      </c>
      <c r="F86" s="135">
        <f t="shared" si="4"/>
        <v>301.36986300000001</v>
      </c>
    </row>
    <row r="87" spans="2:6" hidden="1" x14ac:dyDescent="0.25">
      <c r="B87" s="127">
        <f t="shared" si="3"/>
        <v>41475</v>
      </c>
      <c r="D87" s="146">
        <v>0.314285714285714</v>
      </c>
      <c r="F87" s="135">
        <f t="shared" si="4"/>
        <v>301.36986300000001</v>
      </c>
    </row>
    <row r="88" spans="2:6" hidden="1" x14ac:dyDescent="0.25">
      <c r="B88" s="127">
        <f t="shared" si="3"/>
        <v>41476</v>
      </c>
      <c r="D88" s="146">
        <v>0.314285714285714</v>
      </c>
      <c r="F88" s="135">
        <f t="shared" si="4"/>
        <v>301.36986300000001</v>
      </c>
    </row>
    <row r="89" spans="2:6" hidden="1" x14ac:dyDescent="0.25">
      <c r="B89" s="127">
        <f t="shared" si="3"/>
        <v>41477</v>
      </c>
      <c r="D89" s="146">
        <v>0.314285714285714</v>
      </c>
      <c r="F89" s="135">
        <f t="shared" si="4"/>
        <v>301.36986300000001</v>
      </c>
    </row>
    <row r="90" spans="2:6" hidden="1" x14ac:dyDescent="0.25">
      <c r="B90" s="127">
        <f t="shared" si="3"/>
        <v>41478</v>
      </c>
      <c r="D90" s="146">
        <v>0.314285714285714</v>
      </c>
      <c r="F90" s="135">
        <f t="shared" si="4"/>
        <v>301.36986300000001</v>
      </c>
    </row>
    <row r="91" spans="2:6" hidden="1" x14ac:dyDescent="0.25">
      <c r="B91" s="127">
        <f t="shared" si="3"/>
        <v>41479</v>
      </c>
      <c r="D91" s="146">
        <v>0.314285714285714</v>
      </c>
      <c r="F91" s="135">
        <f t="shared" si="4"/>
        <v>301.36986300000001</v>
      </c>
    </row>
    <row r="92" spans="2:6" hidden="1" x14ac:dyDescent="0.25">
      <c r="B92" s="127">
        <f t="shared" si="3"/>
        <v>41480</v>
      </c>
      <c r="D92" s="146">
        <v>0.314285714285714</v>
      </c>
      <c r="F92" s="135">
        <f t="shared" si="4"/>
        <v>301.36986300000001</v>
      </c>
    </row>
    <row r="93" spans="2:6" hidden="1" x14ac:dyDescent="0.25">
      <c r="B93" s="127">
        <f t="shared" si="3"/>
        <v>41481</v>
      </c>
      <c r="D93" s="146">
        <v>0.314285714285714</v>
      </c>
      <c r="F93" s="135">
        <f t="shared" si="4"/>
        <v>301.36986300000001</v>
      </c>
    </row>
    <row r="94" spans="2:6" hidden="1" x14ac:dyDescent="0.25">
      <c r="B94" s="127">
        <f t="shared" si="3"/>
        <v>41482</v>
      </c>
      <c r="D94" s="146">
        <v>0.314285714285714</v>
      </c>
      <c r="F94" s="135">
        <f t="shared" si="4"/>
        <v>301.36986300000001</v>
      </c>
    </row>
    <row r="95" spans="2:6" hidden="1" x14ac:dyDescent="0.25">
      <c r="B95" s="127">
        <f t="shared" si="3"/>
        <v>41483</v>
      </c>
      <c r="D95" s="146">
        <v>0.314285714285714</v>
      </c>
      <c r="F95" s="135">
        <f t="shared" si="4"/>
        <v>301.36986300000001</v>
      </c>
    </row>
    <row r="96" spans="2:6" hidden="1" x14ac:dyDescent="0.25">
      <c r="B96" s="127">
        <f t="shared" si="3"/>
        <v>41484</v>
      </c>
      <c r="D96" s="146">
        <v>0.314285714285714</v>
      </c>
      <c r="F96" s="135">
        <f t="shared" si="4"/>
        <v>301.36986300000001</v>
      </c>
    </row>
    <row r="97" spans="1:11" hidden="1" x14ac:dyDescent="0.25">
      <c r="B97" s="127">
        <f t="shared" si="3"/>
        <v>41485</v>
      </c>
      <c r="D97" s="146">
        <v>0.314285714285714</v>
      </c>
      <c r="F97" s="135">
        <f t="shared" si="4"/>
        <v>301.36986300000001</v>
      </c>
    </row>
    <row r="98" spans="1:11" hidden="1" x14ac:dyDescent="0.25">
      <c r="B98" s="127">
        <f t="shared" si="3"/>
        <v>41486</v>
      </c>
      <c r="D98" s="146">
        <v>0.314285714285714</v>
      </c>
      <c r="F98" s="135">
        <f t="shared" si="4"/>
        <v>301.36986300000001</v>
      </c>
      <c r="H98" s="136">
        <f>SUM(F68:F98)</f>
        <v>10147.949047</v>
      </c>
      <c r="I98" s="164">
        <f>AVERAGE(D68:D98)</f>
        <v>0.34138261751152038</v>
      </c>
      <c r="J98" s="165">
        <f>AVERAGE(D7:D98)</f>
        <v>0.37465849068323048</v>
      </c>
      <c r="K98" s="166">
        <f>AVERAGE(D7:D98)</f>
        <v>0.37465849068323048</v>
      </c>
    </row>
    <row r="99" spans="1:11" hidden="1" x14ac:dyDescent="0.25">
      <c r="A99" s="126">
        <v>41487</v>
      </c>
      <c r="B99" s="127">
        <f t="shared" si="3"/>
        <v>41487</v>
      </c>
      <c r="D99" s="146">
        <v>0.314285714285714</v>
      </c>
      <c r="F99" s="135">
        <f t="shared" si="4"/>
        <v>301.36986300000001</v>
      </c>
    </row>
    <row r="100" spans="1:11" hidden="1" x14ac:dyDescent="0.25">
      <c r="B100" s="127">
        <f t="shared" si="3"/>
        <v>41488</v>
      </c>
      <c r="D100" s="146">
        <v>0.314285714285714</v>
      </c>
      <c r="F100" s="135">
        <f t="shared" si="4"/>
        <v>301.36986300000001</v>
      </c>
    </row>
    <row r="101" spans="1:11" hidden="1" x14ac:dyDescent="0.25">
      <c r="B101" s="127">
        <f t="shared" si="3"/>
        <v>41489</v>
      </c>
      <c r="D101" s="146">
        <v>0.314285714285714</v>
      </c>
      <c r="F101" s="135">
        <f t="shared" si="4"/>
        <v>301.36986300000001</v>
      </c>
    </row>
    <row r="102" spans="1:11" hidden="1" x14ac:dyDescent="0.25">
      <c r="B102" s="127">
        <f t="shared" si="3"/>
        <v>41490</v>
      </c>
      <c r="D102" s="146">
        <v>0.314285714285714</v>
      </c>
      <c r="F102" s="135">
        <f t="shared" si="4"/>
        <v>301.36986300000001</v>
      </c>
    </row>
    <row r="103" spans="1:11" hidden="1" x14ac:dyDescent="0.25">
      <c r="B103" s="127">
        <f t="shared" si="3"/>
        <v>41491</v>
      </c>
      <c r="D103" s="146">
        <v>0.314285714285714</v>
      </c>
      <c r="F103" s="135">
        <f t="shared" si="4"/>
        <v>301.36986300000001</v>
      </c>
    </row>
    <row r="104" spans="1:11" hidden="1" x14ac:dyDescent="0.25">
      <c r="B104" s="127">
        <f t="shared" si="3"/>
        <v>41492</v>
      </c>
      <c r="D104" s="146">
        <v>0.314285714285714</v>
      </c>
      <c r="F104" s="135">
        <f t="shared" si="4"/>
        <v>301.36986300000001</v>
      </c>
    </row>
    <row r="105" spans="1:11" hidden="1" x14ac:dyDescent="0.25">
      <c r="B105" s="127">
        <f t="shared" si="3"/>
        <v>41493</v>
      </c>
      <c r="D105" s="146">
        <v>0.314285714285714</v>
      </c>
      <c r="F105" s="135">
        <f t="shared" si="4"/>
        <v>301.36986300000001</v>
      </c>
    </row>
    <row r="106" spans="1:11" hidden="1" x14ac:dyDescent="0.25">
      <c r="B106" s="127">
        <f t="shared" si="3"/>
        <v>41494</v>
      </c>
      <c r="D106" s="146">
        <v>0.314285714285714</v>
      </c>
      <c r="F106" s="135">
        <f t="shared" si="4"/>
        <v>301.36986300000001</v>
      </c>
    </row>
    <row r="107" spans="1:11" hidden="1" x14ac:dyDescent="0.25">
      <c r="B107" s="127">
        <f t="shared" si="3"/>
        <v>41495</v>
      </c>
      <c r="D107" s="146">
        <v>0.314285714285714</v>
      </c>
      <c r="F107" s="135">
        <f t="shared" si="4"/>
        <v>301.36986300000001</v>
      </c>
    </row>
    <row r="108" spans="1:11" hidden="1" x14ac:dyDescent="0.25">
      <c r="B108" s="127">
        <f t="shared" si="3"/>
        <v>41496</v>
      </c>
      <c r="D108" s="146">
        <v>0.314285714285714</v>
      </c>
      <c r="F108" s="135">
        <f t="shared" si="4"/>
        <v>301.36986300000001</v>
      </c>
    </row>
    <row r="109" spans="1:11" hidden="1" x14ac:dyDescent="0.25">
      <c r="B109" s="127">
        <f t="shared" si="3"/>
        <v>41497</v>
      </c>
      <c r="D109" s="146">
        <v>0.314285714285714</v>
      </c>
      <c r="F109" s="135">
        <f t="shared" si="4"/>
        <v>301.36986300000001</v>
      </c>
    </row>
    <row r="110" spans="1:11" hidden="1" x14ac:dyDescent="0.25">
      <c r="B110" s="127">
        <f t="shared" si="3"/>
        <v>41498</v>
      </c>
      <c r="D110" s="146">
        <v>0.314285714285714</v>
      </c>
      <c r="F110" s="135">
        <f t="shared" si="4"/>
        <v>301.36986300000001</v>
      </c>
    </row>
    <row r="111" spans="1:11" hidden="1" x14ac:dyDescent="0.25">
      <c r="B111" s="127">
        <f t="shared" si="3"/>
        <v>41499</v>
      </c>
      <c r="D111" s="146">
        <v>0.314285714285714</v>
      </c>
      <c r="F111" s="135">
        <f t="shared" si="4"/>
        <v>301.36986300000001</v>
      </c>
    </row>
    <row r="112" spans="1:11" hidden="1" x14ac:dyDescent="0.25">
      <c r="B112" s="127">
        <f t="shared" si="3"/>
        <v>41500</v>
      </c>
      <c r="D112" s="146">
        <v>0.314285714285714</v>
      </c>
      <c r="F112" s="135">
        <f t="shared" si="4"/>
        <v>301.36986300000001</v>
      </c>
    </row>
    <row r="113" spans="2:6" hidden="1" x14ac:dyDescent="0.25">
      <c r="B113" s="127">
        <f t="shared" si="3"/>
        <v>41501</v>
      </c>
      <c r="D113" s="146">
        <v>0.314285714285714</v>
      </c>
      <c r="F113" s="135">
        <f t="shared" si="4"/>
        <v>301.36986300000001</v>
      </c>
    </row>
    <row r="114" spans="2:6" hidden="1" x14ac:dyDescent="0.25">
      <c r="B114" s="127">
        <f t="shared" si="3"/>
        <v>41502</v>
      </c>
      <c r="D114" s="146">
        <v>0.314285714285714</v>
      </c>
      <c r="F114" s="135">
        <f t="shared" si="4"/>
        <v>301.36986300000001</v>
      </c>
    </row>
    <row r="115" spans="2:6" hidden="1" x14ac:dyDescent="0.25">
      <c r="B115" s="127">
        <f t="shared" si="3"/>
        <v>41503</v>
      </c>
      <c r="D115" s="146">
        <v>0.314285714285714</v>
      </c>
      <c r="F115" s="135">
        <f t="shared" si="4"/>
        <v>301.36986300000001</v>
      </c>
    </row>
    <row r="116" spans="2:6" hidden="1" x14ac:dyDescent="0.25">
      <c r="B116" s="127">
        <f t="shared" si="3"/>
        <v>41504</v>
      </c>
      <c r="D116" s="146">
        <v>0.314285714285714</v>
      </c>
      <c r="F116" s="135">
        <f t="shared" si="4"/>
        <v>301.36986300000001</v>
      </c>
    </row>
    <row r="117" spans="2:6" hidden="1" x14ac:dyDescent="0.25">
      <c r="B117" s="127">
        <f t="shared" si="3"/>
        <v>41505</v>
      </c>
      <c r="D117" s="146">
        <v>0.314285714285714</v>
      </c>
      <c r="F117" s="135">
        <f t="shared" si="4"/>
        <v>301.36986300000001</v>
      </c>
    </row>
    <row r="118" spans="2:6" hidden="1" x14ac:dyDescent="0.25">
      <c r="B118" s="127">
        <f t="shared" si="3"/>
        <v>41506</v>
      </c>
      <c r="D118" s="146">
        <v>0.314285714285714</v>
      </c>
      <c r="F118" s="135">
        <f t="shared" si="4"/>
        <v>301.36986300000001</v>
      </c>
    </row>
    <row r="119" spans="2:6" hidden="1" x14ac:dyDescent="0.25">
      <c r="B119" s="127">
        <f t="shared" si="3"/>
        <v>41507</v>
      </c>
      <c r="D119" s="143">
        <v>0.33142857142857102</v>
      </c>
      <c r="F119" s="135">
        <f t="shared" si="4"/>
        <v>317.80821900000001</v>
      </c>
    </row>
    <row r="120" spans="2:6" hidden="1" x14ac:dyDescent="0.25">
      <c r="B120" s="127">
        <f t="shared" si="3"/>
        <v>41508</v>
      </c>
      <c r="D120" s="143">
        <v>0.33142857142857102</v>
      </c>
      <c r="F120" s="135">
        <f t="shared" si="4"/>
        <v>317.80821900000001</v>
      </c>
    </row>
    <row r="121" spans="2:6" hidden="1" x14ac:dyDescent="0.25">
      <c r="B121" s="127">
        <f t="shared" si="3"/>
        <v>41509</v>
      </c>
      <c r="D121" s="143">
        <v>0.33142857142857102</v>
      </c>
      <c r="F121" s="135">
        <f t="shared" si="4"/>
        <v>317.80821900000001</v>
      </c>
    </row>
    <row r="122" spans="2:6" hidden="1" x14ac:dyDescent="0.25">
      <c r="B122" s="127">
        <f t="shared" si="3"/>
        <v>41510</v>
      </c>
      <c r="D122" s="143">
        <v>0.33142857142857102</v>
      </c>
      <c r="F122" s="135">
        <f t="shared" si="4"/>
        <v>317.80821900000001</v>
      </c>
    </row>
    <row r="123" spans="2:6" hidden="1" x14ac:dyDescent="0.25">
      <c r="B123" s="127">
        <f t="shared" si="3"/>
        <v>41511</v>
      </c>
      <c r="D123" s="143">
        <v>0.33142857142857102</v>
      </c>
      <c r="F123" s="135">
        <f t="shared" si="4"/>
        <v>317.80821900000001</v>
      </c>
    </row>
    <row r="124" spans="2:6" hidden="1" x14ac:dyDescent="0.25">
      <c r="B124" s="127">
        <f t="shared" si="3"/>
        <v>41512</v>
      </c>
      <c r="D124" s="143">
        <v>0.33142857142857102</v>
      </c>
      <c r="F124" s="135">
        <f t="shared" si="4"/>
        <v>317.80821900000001</v>
      </c>
    </row>
    <row r="125" spans="2:6" hidden="1" x14ac:dyDescent="0.25">
      <c r="B125" s="127">
        <f t="shared" si="3"/>
        <v>41513</v>
      </c>
      <c r="D125" s="143">
        <v>0.33142857142857102</v>
      </c>
      <c r="F125" s="135">
        <f t="shared" si="4"/>
        <v>317.80821900000001</v>
      </c>
    </row>
    <row r="126" spans="2:6" hidden="1" x14ac:dyDescent="0.25">
      <c r="B126" s="127">
        <f t="shared" si="3"/>
        <v>41514</v>
      </c>
      <c r="D126" s="143">
        <v>0.33142857142857102</v>
      </c>
      <c r="F126" s="135">
        <f t="shared" si="4"/>
        <v>317.80821900000001</v>
      </c>
    </row>
    <row r="127" spans="2:6" hidden="1" x14ac:dyDescent="0.25">
      <c r="B127" s="127">
        <f t="shared" si="3"/>
        <v>41515</v>
      </c>
      <c r="D127" s="143">
        <v>0.33142857142857102</v>
      </c>
      <c r="F127" s="135">
        <f t="shared" si="4"/>
        <v>317.80821900000001</v>
      </c>
    </row>
    <row r="128" spans="2:6" hidden="1" x14ac:dyDescent="0.25">
      <c r="B128" s="127">
        <f t="shared" si="3"/>
        <v>41516</v>
      </c>
      <c r="D128" s="143">
        <v>0.33142857142857102</v>
      </c>
      <c r="F128" s="135">
        <f t="shared" si="4"/>
        <v>317.80821900000001</v>
      </c>
    </row>
    <row r="129" spans="1:11" hidden="1" x14ac:dyDescent="0.25">
      <c r="B129" s="127">
        <f t="shared" si="3"/>
        <v>41517</v>
      </c>
      <c r="D129" s="143">
        <v>0.33142857142857102</v>
      </c>
      <c r="F129" s="135">
        <f t="shared" si="4"/>
        <v>317.80821900000001</v>
      </c>
      <c r="H129" s="136">
        <f>SUM(F99:F129)</f>
        <v>9523.287669000003</v>
      </c>
      <c r="I129" s="164">
        <f>AVERAGE(D99:D129)</f>
        <v>0.32036866359446975</v>
      </c>
      <c r="J129" s="165">
        <f>AVERAGE(D7:D129)</f>
        <v>0.36097568873403135</v>
      </c>
      <c r="K129" s="166">
        <f>AVERAGE(D7:D129)</f>
        <v>0.36097568873403135</v>
      </c>
    </row>
    <row r="130" spans="1:11" hidden="1" x14ac:dyDescent="0.25">
      <c r="A130" s="126">
        <v>41518</v>
      </c>
      <c r="B130" s="127">
        <f t="shared" si="3"/>
        <v>41518</v>
      </c>
      <c r="D130" s="143">
        <v>0.33142857142857102</v>
      </c>
      <c r="F130" s="135">
        <f t="shared" si="4"/>
        <v>317.80821900000001</v>
      </c>
    </row>
    <row r="131" spans="1:11" hidden="1" x14ac:dyDescent="0.25">
      <c r="B131" s="127">
        <f t="shared" ref="B131:B190" si="5">B130+1</f>
        <v>41519</v>
      </c>
      <c r="D131" s="143">
        <v>0.33142857142857102</v>
      </c>
      <c r="F131" s="135">
        <f t="shared" si="4"/>
        <v>317.80821900000001</v>
      </c>
    </row>
    <row r="132" spans="1:11" hidden="1" x14ac:dyDescent="0.25">
      <c r="B132" s="127">
        <f t="shared" si="5"/>
        <v>41520</v>
      </c>
      <c r="D132" s="143">
        <v>0.33142857142857102</v>
      </c>
      <c r="F132" s="135">
        <f t="shared" si="4"/>
        <v>317.80821900000001</v>
      </c>
    </row>
    <row r="133" spans="1:11" hidden="1" x14ac:dyDescent="0.25">
      <c r="B133" s="127">
        <f t="shared" si="5"/>
        <v>41521</v>
      </c>
      <c r="D133" s="143">
        <v>0.33142857142857102</v>
      </c>
      <c r="F133" s="135">
        <f t="shared" si="4"/>
        <v>317.80821900000001</v>
      </c>
    </row>
    <row r="134" spans="1:11" hidden="1" x14ac:dyDescent="0.25">
      <c r="B134" s="127">
        <f t="shared" si="5"/>
        <v>41522</v>
      </c>
      <c r="D134" s="143">
        <v>0.33142857142857102</v>
      </c>
      <c r="F134" s="135">
        <f t="shared" si="4"/>
        <v>317.80821900000001</v>
      </c>
    </row>
    <row r="135" spans="1:11" hidden="1" x14ac:dyDescent="0.25">
      <c r="B135" s="127">
        <f t="shared" si="5"/>
        <v>41523</v>
      </c>
      <c r="D135" s="143">
        <v>0.33142857142857102</v>
      </c>
      <c r="F135" s="135">
        <f t="shared" si="4"/>
        <v>317.80821900000001</v>
      </c>
    </row>
    <row r="136" spans="1:11" hidden="1" x14ac:dyDescent="0.25">
      <c r="B136" s="127">
        <f t="shared" si="5"/>
        <v>41524</v>
      </c>
      <c r="D136" s="143">
        <v>0.33142857142857102</v>
      </c>
      <c r="F136" s="135">
        <f t="shared" si="4"/>
        <v>317.80821900000001</v>
      </c>
    </row>
    <row r="137" spans="1:11" hidden="1" x14ac:dyDescent="0.25">
      <c r="B137" s="127">
        <f t="shared" si="5"/>
        <v>41525</v>
      </c>
      <c r="D137" s="143">
        <v>0.33142857142857102</v>
      </c>
      <c r="F137" s="135">
        <f t="shared" si="4"/>
        <v>317.80821900000001</v>
      </c>
    </row>
    <row r="138" spans="1:11" hidden="1" x14ac:dyDescent="0.25">
      <c r="B138" s="127">
        <f t="shared" si="5"/>
        <v>41526</v>
      </c>
      <c r="D138" s="143">
        <v>0.33142857142857102</v>
      </c>
      <c r="F138" s="135">
        <f t="shared" si="4"/>
        <v>317.80821900000001</v>
      </c>
    </row>
    <row r="139" spans="1:11" hidden="1" x14ac:dyDescent="0.25">
      <c r="B139" s="127">
        <f t="shared" si="5"/>
        <v>41527</v>
      </c>
      <c r="D139" s="143">
        <v>0.32142857142857101</v>
      </c>
      <c r="F139" s="135">
        <f t="shared" si="4"/>
        <v>308.219178</v>
      </c>
    </row>
    <row r="140" spans="1:11" hidden="1" x14ac:dyDescent="0.25">
      <c r="B140" s="127">
        <f t="shared" si="5"/>
        <v>41528</v>
      </c>
      <c r="D140" s="143">
        <v>0.32142857142857101</v>
      </c>
      <c r="F140" s="135">
        <f t="shared" si="4"/>
        <v>308.219178</v>
      </c>
    </row>
    <row r="141" spans="1:11" hidden="1" x14ac:dyDescent="0.25">
      <c r="B141" s="127">
        <f t="shared" si="5"/>
        <v>41529</v>
      </c>
      <c r="D141" s="143">
        <v>0.32142857142857101</v>
      </c>
      <c r="F141" s="135">
        <f t="shared" si="4"/>
        <v>308.219178</v>
      </c>
    </row>
    <row r="142" spans="1:11" hidden="1" x14ac:dyDescent="0.25">
      <c r="B142" s="127">
        <f t="shared" si="5"/>
        <v>41530</v>
      </c>
      <c r="D142" s="143">
        <v>0.32142857142857101</v>
      </c>
      <c r="F142" s="135">
        <f t="shared" si="4"/>
        <v>308.219178</v>
      </c>
    </row>
    <row r="143" spans="1:11" hidden="1" x14ac:dyDescent="0.25">
      <c r="B143" s="127">
        <f t="shared" si="5"/>
        <v>41531</v>
      </c>
      <c r="D143" s="143">
        <v>0.32142857142857101</v>
      </c>
      <c r="F143" s="135">
        <f t="shared" si="4"/>
        <v>308.219178</v>
      </c>
    </row>
    <row r="144" spans="1:11" hidden="1" x14ac:dyDescent="0.25">
      <c r="B144" s="127">
        <f t="shared" si="5"/>
        <v>41532</v>
      </c>
      <c r="D144" s="143">
        <v>0.32142857142857101</v>
      </c>
      <c r="F144" s="135">
        <f t="shared" ref="F144:F190" si="6">ROUND(D144/100*$A$3/365,6)</f>
        <v>308.219178</v>
      </c>
    </row>
    <row r="145" spans="1:11" hidden="1" x14ac:dyDescent="0.25">
      <c r="B145" s="127">
        <f t="shared" si="5"/>
        <v>41533</v>
      </c>
      <c r="D145" s="143">
        <v>0.32142857142857101</v>
      </c>
      <c r="F145" s="135">
        <f t="shared" si="6"/>
        <v>308.219178</v>
      </c>
    </row>
    <row r="146" spans="1:11" hidden="1" x14ac:dyDescent="0.25">
      <c r="B146" s="127">
        <f t="shared" si="5"/>
        <v>41534</v>
      </c>
      <c r="D146" s="143">
        <v>0.32142857142857101</v>
      </c>
      <c r="F146" s="135">
        <f t="shared" si="6"/>
        <v>308.219178</v>
      </c>
    </row>
    <row r="147" spans="1:11" hidden="1" x14ac:dyDescent="0.25">
      <c r="B147" s="127">
        <f t="shared" si="5"/>
        <v>41535</v>
      </c>
      <c r="D147" s="143">
        <v>0.32142857142857101</v>
      </c>
      <c r="F147" s="135">
        <f t="shared" si="6"/>
        <v>308.219178</v>
      </c>
    </row>
    <row r="148" spans="1:11" hidden="1" x14ac:dyDescent="0.25">
      <c r="B148" s="127">
        <f t="shared" si="5"/>
        <v>41536</v>
      </c>
      <c r="D148" s="143">
        <v>0.32142857142857101</v>
      </c>
      <c r="F148" s="135">
        <f t="shared" si="6"/>
        <v>308.219178</v>
      </c>
    </row>
    <row r="149" spans="1:11" hidden="1" x14ac:dyDescent="0.25">
      <c r="B149" s="127">
        <f t="shared" si="5"/>
        <v>41537</v>
      </c>
      <c r="D149" s="143">
        <v>0.32142857142857101</v>
      </c>
      <c r="F149" s="135">
        <f t="shared" si="6"/>
        <v>308.219178</v>
      </c>
    </row>
    <row r="150" spans="1:11" hidden="1" x14ac:dyDescent="0.25">
      <c r="B150" s="127">
        <f t="shared" si="5"/>
        <v>41538</v>
      </c>
      <c r="D150" s="143">
        <v>0.32142857142857101</v>
      </c>
      <c r="F150" s="135">
        <f t="shared" si="6"/>
        <v>308.219178</v>
      </c>
    </row>
    <row r="151" spans="1:11" hidden="1" x14ac:dyDescent="0.25">
      <c r="B151" s="127">
        <f t="shared" si="5"/>
        <v>41539</v>
      </c>
      <c r="D151" s="143">
        <v>0.32142857142857101</v>
      </c>
      <c r="F151" s="135">
        <f t="shared" si="6"/>
        <v>308.219178</v>
      </c>
    </row>
    <row r="152" spans="1:11" hidden="1" x14ac:dyDescent="0.25">
      <c r="B152" s="127">
        <f t="shared" si="5"/>
        <v>41540</v>
      </c>
      <c r="D152" s="143">
        <v>0.32142857142857101</v>
      </c>
      <c r="F152" s="135">
        <f t="shared" si="6"/>
        <v>308.219178</v>
      </c>
    </row>
    <row r="153" spans="1:11" hidden="1" x14ac:dyDescent="0.25">
      <c r="B153" s="127">
        <f t="shared" si="5"/>
        <v>41541</v>
      </c>
      <c r="D153" s="143">
        <v>0.32142857142857101</v>
      </c>
      <c r="F153" s="135">
        <f t="shared" si="6"/>
        <v>308.219178</v>
      </c>
    </row>
    <row r="154" spans="1:11" hidden="1" x14ac:dyDescent="0.25">
      <c r="B154" s="127">
        <f t="shared" si="5"/>
        <v>41542</v>
      </c>
      <c r="D154" s="143">
        <v>0.32142857142857101</v>
      </c>
      <c r="F154" s="135">
        <f t="shared" si="6"/>
        <v>308.219178</v>
      </c>
    </row>
    <row r="155" spans="1:11" hidden="1" x14ac:dyDescent="0.25">
      <c r="B155" s="127">
        <f t="shared" si="5"/>
        <v>41543</v>
      </c>
      <c r="D155" s="143">
        <v>0.32142857142857101</v>
      </c>
      <c r="F155" s="135">
        <f t="shared" si="6"/>
        <v>308.219178</v>
      </c>
    </row>
    <row r="156" spans="1:11" hidden="1" x14ac:dyDescent="0.25">
      <c r="B156" s="127">
        <f t="shared" si="5"/>
        <v>41544</v>
      </c>
      <c r="D156" s="143">
        <v>0.32142857142857101</v>
      </c>
      <c r="F156" s="135">
        <f t="shared" si="6"/>
        <v>308.219178</v>
      </c>
    </row>
    <row r="157" spans="1:11" hidden="1" x14ac:dyDescent="0.25">
      <c r="B157" s="127">
        <f t="shared" si="5"/>
        <v>41545</v>
      </c>
      <c r="D157" s="143">
        <v>0.32142857142857101</v>
      </c>
      <c r="F157" s="135">
        <f t="shared" si="6"/>
        <v>308.219178</v>
      </c>
    </row>
    <row r="158" spans="1:11" hidden="1" x14ac:dyDescent="0.25">
      <c r="B158" s="127">
        <f t="shared" si="5"/>
        <v>41546</v>
      </c>
      <c r="D158" s="143">
        <v>0.32142857142857101</v>
      </c>
      <c r="F158" s="135">
        <f t="shared" si="6"/>
        <v>308.219178</v>
      </c>
    </row>
    <row r="159" spans="1:11" hidden="1" x14ac:dyDescent="0.25">
      <c r="B159" s="127">
        <f t="shared" si="5"/>
        <v>41547</v>
      </c>
      <c r="D159" s="143">
        <v>0.32142857142857101</v>
      </c>
      <c r="F159" s="135">
        <f t="shared" si="6"/>
        <v>308.219178</v>
      </c>
      <c r="H159" s="136">
        <f>SUM(F130:F159)</f>
        <v>9332.8767090000001</v>
      </c>
      <c r="I159" s="164">
        <f>AVERAGE(D130:D159)</f>
        <v>0.32442857142857112</v>
      </c>
      <c r="J159" s="165">
        <f>AVERAGE(D7:D159)</f>
        <v>0.35380958730158812</v>
      </c>
      <c r="K159" s="166">
        <f>AVERAGE(D7:D159)</f>
        <v>0.35380958730158812</v>
      </c>
    </row>
    <row r="160" spans="1:11" x14ac:dyDescent="0.25">
      <c r="A160" s="126">
        <v>41548</v>
      </c>
      <c r="B160" s="127">
        <f t="shared" si="5"/>
        <v>41548</v>
      </c>
      <c r="D160" s="143">
        <v>0.32142857142857101</v>
      </c>
      <c r="F160" s="135">
        <f t="shared" si="6"/>
        <v>308.219178</v>
      </c>
    </row>
    <row r="161" spans="2:6" x14ac:dyDescent="0.25">
      <c r="B161" s="127">
        <f t="shared" si="5"/>
        <v>41549</v>
      </c>
      <c r="D161" s="143">
        <v>0.32142857142857101</v>
      </c>
      <c r="F161" s="135">
        <f t="shared" si="6"/>
        <v>308.219178</v>
      </c>
    </row>
    <row r="162" spans="2:6" x14ac:dyDescent="0.25">
      <c r="B162" s="127">
        <f t="shared" si="5"/>
        <v>41550</v>
      </c>
      <c r="D162" s="143">
        <v>0.32142857142857101</v>
      </c>
      <c r="F162" s="135">
        <f t="shared" si="6"/>
        <v>308.219178</v>
      </c>
    </row>
    <row r="163" spans="2:6" x14ac:dyDescent="0.25">
      <c r="B163" s="127">
        <f t="shared" si="5"/>
        <v>41551</v>
      </c>
      <c r="D163" s="143">
        <v>0.32142857142857101</v>
      </c>
      <c r="F163" s="135">
        <f t="shared" si="6"/>
        <v>308.219178</v>
      </c>
    </row>
    <row r="164" spans="2:6" x14ac:dyDescent="0.25">
      <c r="B164" s="127">
        <f t="shared" si="5"/>
        <v>41552</v>
      </c>
      <c r="D164" s="143">
        <v>0.32142857142857101</v>
      </c>
      <c r="F164" s="135">
        <f t="shared" si="6"/>
        <v>308.219178</v>
      </c>
    </row>
    <row r="165" spans="2:6" x14ac:dyDescent="0.25">
      <c r="B165" s="127">
        <f t="shared" si="5"/>
        <v>41553</v>
      </c>
      <c r="D165" s="143">
        <v>0.32142857142857101</v>
      </c>
      <c r="F165" s="135">
        <f t="shared" si="6"/>
        <v>308.219178</v>
      </c>
    </row>
    <row r="166" spans="2:6" x14ac:dyDescent="0.25">
      <c r="B166" s="127">
        <f t="shared" si="5"/>
        <v>41554</v>
      </c>
      <c r="D166" s="143">
        <v>0.32142857142857101</v>
      </c>
      <c r="F166" s="135">
        <f t="shared" si="6"/>
        <v>308.219178</v>
      </c>
    </row>
    <row r="167" spans="2:6" x14ac:dyDescent="0.25">
      <c r="B167" s="127">
        <f t="shared" si="5"/>
        <v>41555</v>
      </c>
      <c r="D167" s="143">
        <v>0.32142857142857101</v>
      </c>
      <c r="F167" s="135">
        <f t="shared" si="6"/>
        <v>308.219178</v>
      </c>
    </row>
    <row r="168" spans="2:6" x14ac:dyDescent="0.25">
      <c r="B168" s="127">
        <f t="shared" si="5"/>
        <v>41556</v>
      </c>
      <c r="D168" s="143">
        <v>0.32142857142857101</v>
      </c>
      <c r="F168" s="135">
        <f t="shared" si="6"/>
        <v>308.219178</v>
      </c>
    </row>
    <row r="169" spans="2:6" x14ac:dyDescent="0.25">
      <c r="B169" s="127">
        <f t="shared" si="5"/>
        <v>41557</v>
      </c>
      <c r="D169" s="143">
        <v>0.32142857142857101</v>
      </c>
      <c r="F169" s="135">
        <f t="shared" si="6"/>
        <v>308.219178</v>
      </c>
    </row>
    <row r="170" spans="2:6" x14ac:dyDescent="0.25">
      <c r="B170" s="127">
        <f t="shared" si="5"/>
        <v>41558</v>
      </c>
      <c r="D170" s="143">
        <v>0.32142857142857101</v>
      </c>
      <c r="F170" s="135">
        <f t="shared" si="6"/>
        <v>308.219178</v>
      </c>
    </row>
    <row r="171" spans="2:6" x14ac:dyDescent="0.25">
      <c r="B171" s="127">
        <f t="shared" si="5"/>
        <v>41559</v>
      </c>
      <c r="D171" s="143">
        <v>0.32142857142857101</v>
      </c>
      <c r="F171" s="135">
        <f t="shared" si="6"/>
        <v>308.219178</v>
      </c>
    </row>
    <row r="172" spans="2:6" x14ac:dyDescent="0.25">
      <c r="B172" s="127">
        <f t="shared" si="5"/>
        <v>41560</v>
      </c>
      <c r="D172" s="143">
        <v>0.32142857142857101</v>
      </c>
      <c r="F172" s="135">
        <f t="shared" si="6"/>
        <v>308.219178</v>
      </c>
    </row>
    <row r="173" spans="2:6" x14ac:dyDescent="0.25">
      <c r="B173" s="127">
        <f t="shared" si="5"/>
        <v>41561</v>
      </c>
      <c r="D173" s="143">
        <v>0.32142857142857101</v>
      </c>
      <c r="F173" s="135">
        <f t="shared" si="6"/>
        <v>308.219178</v>
      </c>
    </row>
    <row r="174" spans="2:6" x14ac:dyDescent="0.25">
      <c r="B174" s="127">
        <f t="shared" si="5"/>
        <v>41562</v>
      </c>
      <c r="D174" s="143">
        <v>0.32142857142857101</v>
      </c>
      <c r="F174" s="135">
        <f t="shared" si="6"/>
        <v>308.219178</v>
      </c>
    </row>
    <row r="175" spans="2:6" x14ac:dyDescent="0.25">
      <c r="B175" s="127">
        <f t="shared" si="5"/>
        <v>41563</v>
      </c>
      <c r="D175" s="143">
        <v>0.317142857142857</v>
      </c>
      <c r="F175" s="135">
        <f t="shared" si="6"/>
        <v>304.10958900000003</v>
      </c>
    </row>
    <row r="176" spans="2:6" x14ac:dyDescent="0.25">
      <c r="B176" s="127">
        <f t="shared" si="5"/>
        <v>41564</v>
      </c>
      <c r="D176" s="143">
        <v>0.317142857142857</v>
      </c>
      <c r="F176" s="135">
        <f t="shared" si="6"/>
        <v>304.10958900000003</v>
      </c>
    </row>
    <row r="177" spans="2:11" x14ac:dyDescent="0.25">
      <c r="B177" s="127">
        <f t="shared" si="5"/>
        <v>41565</v>
      </c>
      <c r="D177" s="143">
        <v>0.317142857142857</v>
      </c>
      <c r="F177" s="135">
        <f t="shared" si="6"/>
        <v>304.10958900000003</v>
      </c>
    </row>
    <row r="178" spans="2:11" x14ac:dyDescent="0.25">
      <c r="B178" s="127">
        <f t="shared" si="5"/>
        <v>41566</v>
      </c>
      <c r="D178" s="143">
        <v>0.317142857142857</v>
      </c>
      <c r="F178" s="135">
        <f t="shared" si="6"/>
        <v>304.10958900000003</v>
      </c>
    </row>
    <row r="179" spans="2:11" x14ac:dyDescent="0.25">
      <c r="B179" s="127">
        <f t="shared" si="5"/>
        <v>41567</v>
      </c>
      <c r="D179" s="143">
        <v>0.317142857142857</v>
      </c>
      <c r="F179" s="135">
        <f t="shared" si="6"/>
        <v>304.10958900000003</v>
      </c>
    </row>
    <row r="180" spans="2:11" x14ac:dyDescent="0.25">
      <c r="B180" s="127">
        <f t="shared" si="5"/>
        <v>41568</v>
      </c>
      <c r="D180" s="143">
        <v>0.317142857142857</v>
      </c>
      <c r="F180" s="135">
        <f t="shared" si="6"/>
        <v>304.10958900000003</v>
      </c>
    </row>
    <row r="181" spans="2:11" x14ac:dyDescent="0.25">
      <c r="B181" s="127">
        <f t="shared" si="5"/>
        <v>41569</v>
      </c>
      <c r="D181" s="143">
        <v>0.317142857142857</v>
      </c>
      <c r="F181" s="135">
        <f t="shared" si="6"/>
        <v>304.10958900000003</v>
      </c>
    </row>
    <row r="182" spans="2:11" x14ac:dyDescent="0.25">
      <c r="B182" s="127">
        <f t="shared" si="5"/>
        <v>41570</v>
      </c>
      <c r="D182" s="143">
        <v>0.317142857142857</v>
      </c>
      <c r="F182" s="135">
        <f t="shared" si="6"/>
        <v>304.10958900000003</v>
      </c>
    </row>
    <row r="183" spans="2:11" x14ac:dyDescent="0.25">
      <c r="B183" s="127">
        <f t="shared" si="5"/>
        <v>41571</v>
      </c>
      <c r="D183" s="143">
        <v>0.317142857142857</v>
      </c>
      <c r="F183" s="135">
        <f t="shared" si="6"/>
        <v>304.10958900000003</v>
      </c>
    </row>
    <row r="184" spans="2:11" x14ac:dyDescent="0.25">
      <c r="B184" s="127">
        <f t="shared" si="5"/>
        <v>41572</v>
      </c>
      <c r="D184" s="143">
        <v>0.317142857142857</v>
      </c>
      <c r="F184" s="135">
        <f t="shared" si="6"/>
        <v>304.10958900000003</v>
      </c>
    </row>
    <row r="185" spans="2:11" x14ac:dyDescent="0.25">
      <c r="B185" s="127">
        <f t="shared" si="5"/>
        <v>41573</v>
      </c>
      <c r="D185" s="143">
        <v>0.317142857142857</v>
      </c>
      <c r="F185" s="135">
        <f t="shared" si="6"/>
        <v>304.10958900000003</v>
      </c>
    </row>
    <row r="186" spans="2:11" x14ac:dyDescent="0.25">
      <c r="B186" s="127">
        <f t="shared" si="5"/>
        <v>41574</v>
      </c>
      <c r="D186" s="143">
        <v>0.317142857142857</v>
      </c>
      <c r="F186" s="135">
        <f t="shared" si="6"/>
        <v>304.10958900000003</v>
      </c>
    </row>
    <row r="187" spans="2:11" x14ac:dyDescent="0.25">
      <c r="B187" s="127">
        <f t="shared" si="5"/>
        <v>41575</v>
      </c>
      <c r="D187" s="143">
        <v>0.317142857142857</v>
      </c>
      <c r="F187" s="135">
        <f t="shared" si="6"/>
        <v>304.10958900000003</v>
      </c>
    </row>
    <row r="188" spans="2:11" x14ac:dyDescent="0.25">
      <c r="B188" s="127">
        <f t="shared" si="5"/>
        <v>41576</v>
      </c>
      <c r="D188" s="143">
        <v>0.317142857142857</v>
      </c>
      <c r="F188" s="135">
        <f t="shared" si="6"/>
        <v>304.10958900000003</v>
      </c>
    </row>
    <row r="189" spans="2:11" x14ac:dyDescent="0.25">
      <c r="B189" s="127">
        <f t="shared" si="5"/>
        <v>41577</v>
      </c>
      <c r="D189" s="143">
        <v>0.317142857142857</v>
      </c>
      <c r="F189" s="135">
        <f t="shared" si="6"/>
        <v>304.10958900000003</v>
      </c>
    </row>
    <row r="190" spans="2:11" x14ac:dyDescent="0.25">
      <c r="B190" s="127">
        <f t="shared" si="5"/>
        <v>41578</v>
      </c>
      <c r="D190" s="143">
        <v>0.317142857142857</v>
      </c>
      <c r="F190" s="135">
        <f t="shared" si="6"/>
        <v>304.10958900000003</v>
      </c>
      <c r="H190" s="136">
        <f>SUM(F160:F190)</f>
        <v>9489.0410939999947</v>
      </c>
      <c r="I190" s="164">
        <f>AVERAGE(D160:D190)</f>
        <v>0.31921658986175078</v>
      </c>
      <c r="J190" s="165">
        <f>AVERAGE(D7:D190)</f>
        <v>0.34798141925465875</v>
      </c>
      <c r="K190" s="166">
        <f>AVERAGE(D7:D190)</f>
        <v>0.34798141925465875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>
    <pageSetUpPr fitToPage="1"/>
  </sheetPr>
  <dimension ref="A1:AA190"/>
  <sheetViews>
    <sheetView zoomScaleNormal="100" workbookViewId="0">
      <pane ySplit="5" topLeftCell="A6" activePane="bottomLeft" state="frozen"/>
      <selection activeCell="M22" sqref="M22"/>
      <selection pane="bottomLeft" activeCell="A191" sqref="A191:XFD412"/>
    </sheetView>
  </sheetViews>
  <sheetFormatPr defaultRowHeight="15" x14ac:dyDescent="0.25"/>
  <cols>
    <col min="1" max="1" width="8.5703125" style="126" customWidth="1"/>
    <col min="2" max="2" width="9.7109375" style="151" bestFit="1" customWidth="1"/>
    <col min="3" max="3" width="5.7109375" style="125" customWidth="1"/>
    <col min="4" max="4" width="10.7109375" style="125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53" customWidth="1"/>
    <col min="9" max="9" width="11.7109375" style="162" customWidth="1"/>
    <col min="10" max="10" width="11.7109375" style="163" customWidth="1"/>
    <col min="11" max="11" width="9.140625" style="157"/>
    <col min="12" max="14" width="9.140625" style="125"/>
    <col min="15" max="27" width="9.140625" style="158"/>
    <col min="28" max="16384" width="9.140625" style="125"/>
  </cols>
  <sheetData>
    <row r="1" spans="1:14" ht="12.75" x14ac:dyDescent="0.2">
      <c r="A1" s="636" t="s">
        <v>142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133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35000000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237183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7" customHeight="1" x14ac:dyDescent="0.25">
      <c r="B5" s="127"/>
      <c r="D5" s="128"/>
      <c r="H5" s="152" t="s">
        <v>134</v>
      </c>
      <c r="I5" s="159" t="s">
        <v>135</v>
      </c>
      <c r="J5" s="160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52"/>
      <c r="I6" s="159"/>
      <c r="J6" s="160"/>
      <c r="K6" s="161"/>
      <c r="L6" s="133"/>
      <c r="M6" s="133"/>
      <c r="N6" s="133"/>
    </row>
    <row r="7" spans="1:14" hidden="1" x14ac:dyDescent="0.25">
      <c r="A7" s="126">
        <v>41395</v>
      </c>
      <c r="B7" s="127">
        <v>41395</v>
      </c>
      <c r="D7" s="139">
        <v>0.4</v>
      </c>
      <c r="F7" s="135">
        <f t="shared" ref="F7:F15" si="0">ROUND(D7/100*$A$3/365,6)</f>
        <v>383.561644</v>
      </c>
    </row>
    <row r="8" spans="1:14" hidden="1" x14ac:dyDescent="0.25">
      <c r="B8" s="127">
        <f t="shared" ref="B8:B66" si="1">B7+1</f>
        <v>41396</v>
      </c>
      <c r="D8" s="139">
        <v>0.4</v>
      </c>
      <c r="F8" s="135">
        <f t="shared" si="0"/>
        <v>383.561644</v>
      </c>
    </row>
    <row r="9" spans="1:14" hidden="1" x14ac:dyDescent="0.25">
      <c r="B9" s="127">
        <f t="shared" si="1"/>
        <v>41397</v>
      </c>
      <c r="D9" s="139">
        <v>0.4</v>
      </c>
      <c r="F9" s="135">
        <f t="shared" si="0"/>
        <v>383.561644</v>
      </c>
    </row>
    <row r="10" spans="1:14" hidden="1" x14ac:dyDescent="0.25">
      <c r="B10" s="127">
        <f t="shared" si="1"/>
        <v>41398</v>
      </c>
      <c r="D10" s="139">
        <v>0.4</v>
      </c>
      <c r="F10" s="135">
        <f t="shared" si="0"/>
        <v>383.561644</v>
      </c>
    </row>
    <row r="11" spans="1:14" hidden="1" x14ac:dyDescent="0.25">
      <c r="B11" s="127">
        <f t="shared" si="1"/>
        <v>41399</v>
      </c>
      <c r="D11" s="139">
        <v>0.4</v>
      </c>
      <c r="F11" s="135">
        <f t="shared" si="0"/>
        <v>383.561644</v>
      </c>
    </row>
    <row r="12" spans="1:14" hidden="1" x14ac:dyDescent="0.25">
      <c r="B12" s="127">
        <f t="shared" si="1"/>
        <v>41400</v>
      </c>
      <c r="D12" s="139">
        <v>0.4</v>
      </c>
      <c r="F12" s="135">
        <f t="shared" si="0"/>
        <v>383.561644</v>
      </c>
    </row>
    <row r="13" spans="1:14" hidden="1" x14ac:dyDescent="0.25">
      <c r="B13" s="127">
        <f t="shared" si="1"/>
        <v>41401</v>
      </c>
      <c r="D13" s="139">
        <v>0.4</v>
      </c>
      <c r="F13" s="135">
        <f t="shared" si="0"/>
        <v>383.561644</v>
      </c>
    </row>
    <row r="14" spans="1:14" hidden="1" x14ac:dyDescent="0.25">
      <c r="B14" s="127">
        <f t="shared" si="1"/>
        <v>41402</v>
      </c>
      <c r="D14" s="139">
        <v>0.4</v>
      </c>
      <c r="F14" s="135">
        <f t="shared" si="0"/>
        <v>383.561644</v>
      </c>
    </row>
    <row r="15" spans="1:14" hidden="1" x14ac:dyDescent="0.25">
      <c r="B15" s="127">
        <f t="shared" si="1"/>
        <v>41403</v>
      </c>
      <c r="D15" s="139">
        <v>0.4</v>
      </c>
      <c r="F15" s="135">
        <f t="shared" si="0"/>
        <v>383.561644</v>
      </c>
    </row>
    <row r="16" spans="1:14" hidden="1" x14ac:dyDescent="0.25">
      <c r="B16" s="127">
        <f t="shared" si="1"/>
        <v>41404</v>
      </c>
      <c r="D16" s="139">
        <v>0.4</v>
      </c>
      <c r="F16" s="135">
        <f t="shared" ref="F16:F79" si="2">ROUND(D16/100*$A$3/365,6)</f>
        <v>383.561644</v>
      </c>
    </row>
    <row r="17" spans="2:6" hidden="1" x14ac:dyDescent="0.25">
      <c r="B17" s="127">
        <f t="shared" si="1"/>
        <v>41405</v>
      </c>
      <c r="D17" s="139">
        <v>0.4</v>
      </c>
      <c r="F17" s="135">
        <f t="shared" si="2"/>
        <v>383.561644</v>
      </c>
    </row>
    <row r="18" spans="2:6" hidden="1" x14ac:dyDescent="0.25">
      <c r="B18" s="127">
        <f t="shared" si="1"/>
        <v>41406</v>
      </c>
      <c r="D18" s="139">
        <v>0.4</v>
      </c>
      <c r="F18" s="135">
        <f t="shared" si="2"/>
        <v>383.561644</v>
      </c>
    </row>
    <row r="19" spans="2:6" hidden="1" x14ac:dyDescent="0.25">
      <c r="B19" s="127">
        <f t="shared" si="1"/>
        <v>41407</v>
      </c>
      <c r="D19" s="139">
        <v>0.4</v>
      </c>
      <c r="F19" s="135">
        <f t="shared" si="2"/>
        <v>383.561644</v>
      </c>
    </row>
    <row r="20" spans="2:6" hidden="1" x14ac:dyDescent="0.25">
      <c r="B20" s="127">
        <f t="shared" si="1"/>
        <v>41408</v>
      </c>
      <c r="D20" s="139">
        <v>0.4</v>
      </c>
      <c r="F20" s="135">
        <f t="shared" si="2"/>
        <v>383.561644</v>
      </c>
    </row>
    <row r="21" spans="2:6" hidden="1" x14ac:dyDescent="0.25">
      <c r="B21" s="127">
        <f t="shared" si="1"/>
        <v>41409</v>
      </c>
      <c r="D21" s="139">
        <v>0.4</v>
      </c>
      <c r="F21" s="135">
        <f t="shared" si="2"/>
        <v>383.561644</v>
      </c>
    </row>
    <row r="22" spans="2:6" hidden="1" x14ac:dyDescent="0.25">
      <c r="B22" s="127">
        <f t="shared" si="1"/>
        <v>41410</v>
      </c>
      <c r="D22" s="139">
        <v>0.4</v>
      </c>
      <c r="F22" s="135">
        <f t="shared" si="2"/>
        <v>383.561644</v>
      </c>
    </row>
    <row r="23" spans="2:6" hidden="1" x14ac:dyDescent="0.25">
      <c r="B23" s="127">
        <f t="shared" si="1"/>
        <v>41411</v>
      </c>
      <c r="D23" s="139">
        <v>0.4</v>
      </c>
      <c r="F23" s="135">
        <f t="shared" si="2"/>
        <v>383.561644</v>
      </c>
    </row>
    <row r="24" spans="2:6" hidden="1" x14ac:dyDescent="0.25">
      <c r="B24" s="127">
        <f t="shared" si="1"/>
        <v>41412</v>
      </c>
      <c r="D24" s="139">
        <v>0.4</v>
      </c>
      <c r="F24" s="135">
        <f t="shared" si="2"/>
        <v>383.561644</v>
      </c>
    </row>
    <row r="25" spans="2:6" hidden="1" x14ac:dyDescent="0.25">
      <c r="B25" s="127">
        <f t="shared" si="1"/>
        <v>41413</v>
      </c>
      <c r="D25" s="139">
        <v>0.4</v>
      </c>
      <c r="F25" s="135">
        <f t="shared" si="2"/>
        <v>383.561644</v>
      </c>
    </row>
    <row r="26" spans="2:6" hidden="1" x14ac:dyDescent="0.25">
      <c r="B26" s="127">
        <f t="shared" si="1"/>
        <v>41414</v>
      </c>
      <c r="D26" s="139">
        <v>0.4</v>
      </c>
      <c r="F26" s="135">
        <f t="shared" si="2"/>
        <v>383.561644</v>
      </c>
    </row>
    <row r="27" spans="2:6" hidden="1" x14ac:dyDescent="0.25">
      <c r="B27" s="127">
        <f t="shared" si="1"/>
        <v>41415</v>
      </c>
      <c r="D27" s="139">
        <v>0.4</v>
      </c>
      <c r="F27" s="135">
        <f t="shared" si="2"/>
        <v>383.561644</v>
      </c>
    </row>
    <row r="28" spans="2:6" hidden="1" x14ac:dyDescent="0.25">
      <c r="B28" s="127">
        <f t="shared" si="1"/>
        <v>41416</v>
      </c>
      <c r="D28" s="139">
        <v>0.4</v>
      </c>
      <c r="F28" s="135">
        <f t="shared" si="2"/>
        <v>383.561644</v>
      </c>
    </row>
    <row r="29" spans="2:6" hidden="1" x14ac:dyDescent="0.25">
      <c r="B29" s="127">
        <f t="shared" si="1"/>
        <v>41417</v>
      </c>
      <c r="D29" s="139">
        <v>0.4</v>
      </c>
      <c r="F29" s="135">
        <f t="shared" si="2"/>
        <v>383.561644</v>
      </c>
    </row>
    <row r="30" spans="2:6" hidden="1" x14ac:dyDescent="0.25">
      <c r="B30" s="127">
        <f t="shared" si="1"/>
        <v>41418</v>
      </c>
      <c r="D30" s="139">
        <v>0.4</v>
      </c>
      <c r="F30" s="135">
        <f t="shared" si="2"/>
        <v>383.561644</v>
      </c>
    </row>
    <row r="31" spans="2:6" hidden="1" x14ac:dyDescent="0.25">
      <c r="B31" s="127">
        <f t="shared" si="1"/>
        <v>41419</v>
      </c>
      <c r="D31" s="139">
        <v>0.4</v>
      </c>
      <c r="F31" s="135">
        <f t="shared" si="2"/>
        <v>383.561644</v>
      </c>
    </row>
    <row r="32" spans="2:6" hidden="1" x14ac:dyDescent="0.25">
      <c r="B32" s="127">
        <f t="shared" si="1"/>
        <v>41420</v>
      </c>
      <c r="D32" s="139">
        <v>0.4</v>
      </c>
      <c r="F32" s="135">
        <f t="shared" si="2"/>
        <v>383.561644</v>
      </c>
    </row>
    <row r="33" spans="1:11" hidden="1" x14ac:dyDescent="0.25">
      <c r="B33" s="127">
        <f t="shared" si="1"/>
        <v>41421</v>
      </c>
      <c r="D33" s="139">
        <v>0.4</v>
      </c>
      <c r="F33" s="135">
        <f t="shared" si="2"/>
        <v>383.561644</v>
      </c>
    </row>
    <row r="34" spans="1:11" hidden="1" x14ac:dyDescent="0.25">
      <c r="B34" s="127">
        <f t="shared" si="1"/>
        <v>41422</v>
      </c>
      <c r="D34" s="139">
        <v>0.4</v>
      </c>
      <c r="F34" s="135">
        <f t="shared" si="2"/>
        <v>383.561644</v>
      </c>
    </row>
    <row r="35" spans="1:11" hidden="1" x14ac:dyDescent="0.25">
      <c r="B35" s="127">
        <f t="shared" si="1"/>
        <v>41423</v>
      </c>
      <c r="D35" s="139">
        <v>0.4</v>
      </c>
      <c r="F35" s="135">
        <f t="shared" si="2"/>
        <v>383.561644</v>
      </c>
    </row>
    <row r="36" spans="1:11" hidden="1" x14ac:dyDescent="0.25">
      <c r="B36" s="127">
        <f t="shared" si="1"/>
        <v>41424</v>
      </c>
      <c r="D36" s="139">
        <v>0.4</v>
      </c>
      <c r="F36" s="135">
        <f t="shared" si="2"/>
        <v>383.561644</v>
      </c>
    </row>
    <row r="37" spans="1:11" hidden="1" x14ac:dyDescent="0.25">
      <c r="B37" s="127">
        <f t="shared" si="1"/>
        <v>41425</v>
      </c>
      <c r="D37" s="139">
        <v>0.4</v>
      </c>
      <c r="F37" s="135">
        <f t="shared" si="2"/>
        <v>383.561644</v>
      </c>
      <c r="H37" s="136">
        <f>SUM(F7:F37)</f>
        <v>11890.410963999997</v>
      </c>
      <c r="I37" s="164">
        <f>AVERAGE(D7:D37)</f>
        <v>0.40000000000000019</v>
      </c>
      <c r="J37" s="165">
        <f>AVERAGE(D7:D37)</f>
        <v>0.40000000000000019</v>
      </c>
      <c r="K37" s="166">
        <f>AVERAGE(D7:D37)</f>
        <v>0.40000000000000019</v>
      </c>
    </row>
    <row r="38" spans="1:11" hidden="1" x14ac:dyDescent="0.25">
      <c r="A38" s="126">
        <v>41426</v>
      </c>
      <c r="B38" s="127">
        <f t="shared" si="1"/>
        <v>41426</v>
      </c>
      <c r="D38" s="139">
        <v>0.4</v>
      </c>
      <c r="F38" s="135">
        <f t="shared" si="2"/>
        <v>383.561644</v>
      </c>
    </row>
    <row r="39" spans="1:11" hidden="1" x14ac:dyDescent="0.25">
      <c r="B39" s="127">
        <f t="shared" si="1"/>
        <v>41427</v>
      </c>
      <c r="D39" s="139">
        <v>0.4</v>
      </c>
      <c r="F39" s="135">
        <f t="shared" si="2"/>
        <v>383.561644</v>
      </c>
    </row>
    <row r="40" spans="1:11" hidden="1" x14ac:dyDescent="0.25">
      <c r="B40" s="127">
        <f t="shared" si="1"/>
        <v>41428</v>
      </c>
      <c r="D40" s="139">
        <v>0.4</v>
      </c>
      <c r="F40" s="135">
        <f t="shared" si="2"/>
        <v>383.561644</v>
      </c>
    </row>
    <row r="41" spans="1:11" hidden="1" x14ac:dyDescent="0.25">
      <c r="B41" s="127">
        <f t="shared" si="1"/>
        <v>41429</v>
      </c>
      <c r="D41" s="139">
        <v>0.4</v>
      </c>
      <c r="F41" s="135">
        <f t="shared" si="2"/>
        <v>383.561644</v>
      </c>
    </row>
    <row r="42" spans="1:11" hidden="1" x14ac:dyDescent="0.25">
      <c r="B42" s="127">
        <f t="shared" si="1"/>
        <v>41430</v>
      </c>
      <c r="D42" s="139">
        <v>0.4</v>
      </c>
      <c r="F42" s="135">
        <f t="shared" si="2"/>
        <v>383.561644</v>
      </c>
    </row>
    <row r="43" spans="1:11" hidden="1" x14ac:dyDescent="0.25">
      <c r="B43" s="127">
        <f t="shared" si="1"/>
        <v>41431</v>
      </c>
      <c r="D43" s="139">
        <v>0.4</v>
      </c>
      <c r="F43" s="135">
        <f t="shared" si="2"/>
        <v>383.561644</v>
      </c>
    </row>
    <row r="44" spans="1:11" hidden="1" x14ac:dyDescent="0.25">
      <c r="B44" s="127">
        <f t="shared" si="1"/>
        <v>41432</v>
      </c>
      <c r="D44" s="139">
        <v>0.4</v>
      </c>
      <c r="F44" s="135">
        <f t="shared" si="2"/>
        <v>383.561644</v>
      </c>
    </row>
    <row r="45" spans="1:11" hidden="1" x14ac:dyDescent="0.25">
      <c r="B45" s="127">
        <f t="shared" si="1"/>
        <v>41433</v>
      </c>
      <c r="D45" s="139">
        <v>0.4</v>
      </c>
      <c r="F45" s="135">
        <f t="shared" si="2"/>
        <v>383.561644</v>
      </c>
    </row>
    <row r="46" spans="1:11" hidden="1" x14ac:dyDescent="0.25">
      <c r="B46" s="127">
        <f t="shared" si="1"/>
        <v>41434</v>
      </c>
      <c r="D46" s="139">
        <v>0.4</v>
      </c>
      <c r="F46" s="135">
        <f t="shared" si="2"/>
        <v>383.561644</v>
      </c>
    </row>
    <row r="47" spans="1:11" hidden="1" x14ac:dyDescent="0.25">
      <c r="B47" s="127">
        <f t="shared" si="1"/>
        <v>41435</v>
      </c>
      <c r="D47" s="139">
        <v>0.4</v>
      </c>
      <c r="F47" s="135">
        <f t="shared" si="2"/>
        <v>383.561644</v>
      </c>
    </row>
    <row r="48" spans="1:11" hidden="1" x14ac:dyDescent="0.25">
      <c r="B48" s="127">
        <f t="shared" si="1"/>
        <v>41436</v>
      </c>
      <c r="D48" s="139">
        <v>0.37</v>
      </c>
      <c r="F48" s="135">
        <f t="shared" si="2"/>
        <v>354.79452099999997</v>
      </c>
    </row>
    <row r="49" spans="2:6" hidden="1" x14ac:dyDescent="0.25">
      <c r="B49" s="127">
        <f t="shared" si="1"/>
        <v>41437</v>
      </c>
      <c r="D49" s="139">
        <v>0.37</v>
      </c>
      <c r="F49" s="135">
        <f t="shared" si="2"/>
        <v>354.79452099999997</v>
      </c>
    </row>
    <row r="50" spans="2:6" hidden="1" x14ac:dyDescent="0.25">
      <c r="B50" s="127">
        <f t="shared" si="1"/>
        <v>41438</v>
      </c>
      <c r="D50" s="139">
        <v>0.37</v>
      </c>
      <c r="F50" s="135">
        <f t="shared" si="2"/>
        <v>354.79452099999997</v>
      </c>
    </row>
    <row r="51" spans="2:6" hidden="1" x14ac:dyDescent="0.25">
      <c r="B51" s="127">
        <f t="shared" si="1"/>
        <v>41439</v>
      </c>
      <c r="D51" s="139">
        <v>0.37</v>
      </c>
      <c r="F51" s="135">
        <f t="shared" si="2"/>
        <v>354.79452099999997</v>
      </c>
    </row>
    <row r="52" spans="2:6" hidden="1" x14ac:dyDescent="0.25">
      <c r="B52" s="127">
        <f t="shared" si="1"/>
        <v>41440</v>
      </c>
      <c r="D52" s="139">
        <v>0.37</v>
      </c>
      <c r="F52" s="135">
        <f t="shared" si="2"/>
        <v>354.79452099999997</v>
      </c>
    </row>
    <row r="53" spans="2:6" hidden="1" x14ac:dyDescent="0.25">
      <c r="B53" s="127">
        <f t="shared" si="1"/>
        <v>41441</v>
      </c>
      <c r="D53" s="139">
        <v>0.37</v>
      </c>
      <c r="F53" s="135">
        <f t="shared" si="2"/>
        <v>354.79452099999997</v>
      </c>
    </row>
    <row r="54" spans="2:6" hidden="1" x14ac:dyDescent="0.25">
      <c r="B54" s="127">
        <f t="shared" si="1"/>
        <v>41442</v>
      </c>
      <c r="D54" s="139">
        <v>0.37</v>
      </c>
      <c r="F54" s="135">
        <f t="shared" si="2"/>
        <v>354.79452099999997</v>
      </c>
    </row>
    <row r="55" spans="2:6" hidden="1" x14ac:dyDescent="0.25">
      <c r="B55" s="127">
        <f t="shared" si="1"/>
        <v>41443</v>
      </c>
      <c r="D55" s="139">
        <v>0.37</v>
      </c>
      <c r="F55" s="135">
        <f t="shared" si="2"/>
        <v>354.79452099999997</v>
      </c>
    </row>
    <row r="56" spans="2:6" hidden="1" x14ac:dyDescent="0.25">
      <c r="B56" s="127">
        <f t="shared" si="1"/>
        <v>41444</v>
      </c>
      <c r="D56" s="139">
        <v>0.37</v>
      </c>
      <c r="F56" s="135">
        <f t="shared" si="2"/>
        <v>354.79452099999997</v>
      </c>
    </row>
    <row r="57" spans="2:6" hidden="1" x14ac:dyDescent="0.25">
      <c r="B57" s="127">
        <f t="shared" si="1"/>
        <v>41445</v>
      </c>
      <c r="D57" s="139">
        <v>0.37</v>
      </c>
      <c r="F57" s="135">
        <f t="shared" si="2"/>
        <v>354.79452099999997</v>
      </c>
    </row>
    <row r="58" spans="2:6" hidden="1" x14ac:dyDescent="0.25">
      <c r="B58" s="127">
        <f t="shared" si="1"/>
        <v>41446</v>
      </c>
      <c r="D58" s="139">
        <v>0.37</v>
      </c>
      <c r="F58" s="135">
        <f t="shared" si="2"/>
        <v>354.79452099999997</v>
      </c>
    </row>
    <row r="59" spans="2:6" hidden="1" x14ac:dyDescent="0.25">
      <c r="B59" s="127">
        <f t="shared" si="1"/>
        <v>41447</v>
      </c>
      <c r="D59" s="139">
        <v>0.37</v>
      </c>
      <c r="F59" s="135">
        <f t="shared" si="2"/>
        <v>354.79452099999997</v>
      </c>
    </row>
    <row r="60" spans="2:6" hidden="1" x14ac:dyDescent="0.25">
      <c r="B60" s="127">
        <f t="shared" si="1"/>
        <v>41448</v>
      </c>
      <c r="D60" s="139">
        <v>0.37</v>
      </c>
      <c r="F60" s="135">
        <f t="shared" si="2"/>
        <v>354.79452099999997</v>
      </c>
    </row>
    <row r="61" spans="2:6" hidden="1" x14ac:dyDescent="0.25">
      <c r="B61" s="127">
        <f t="shared" si="1"/>
        <v>41449</v>
      </c>
      <c r="D61" s="139">
        <v>0.37</v>
      </c>
      <c r="F61" s="135">
        <f t="shared" si="2"/>
        <v>354.79452099999997</v>
      </c>
    </row>
    <row r="62" spans="2:6" hidden="1" x14ac:dyDescent="0.25">
      <c r="B62" s="127">
        <f t="shared" si="1"/>
        <v>41450</v>
      </c>
      <c r="D62" s="139">
        <v>0.37</v>
      </c>
      <c r="F62" s="135">
        <f t="shared" si="2"/>
        <v>354.79452099999997</v>
      </c>
    </row>
    <row r="63" spans="2:6" hidden="1" x14ac:dyDescent="0.25">
      <c r="B63" s="127">
        <f t="shared" si="1"/>
        <v>41451</v>
      </c>
      <c r="D63" s="139">
        <v>0.37</v>
      </c>
      <c r="F63" s="135">
        <f t="shared" si="2"/>
        <v>354.79452099999997</v>
      </c>
    </row>
    <row r="64" spans="2:6" hidden="1" x14ac:dyDescent="0.25">
      <c r="B64" s="127">
        <f t="shared" si="1"/>
        <v>41452</v>
      </c>
      <c r="D64" s="139">
        <v>0.37</v>
      </c>
      <c r="F64" s="135">
        <f t="shared" si="2"/>
        <v>354.79452099999997</v>
      </c>
    </row>
    <row r="65" spans="1:11" hidden="1" x14ac:dyDescent="0.25">
      <c r="B65" s="127">
        <f t="shared" si="1"/>
        <v>41453</v>
      </c>
      <c r="D65" s="139">
        <v>0.37</v>
      </c>
      <c r="F65" s="135">
        <f t="shared" si="2"/>
        <v>354.79452099999997</v>
      </c>
    </row>
    <row r="66" spans="1:11" hidden="1" x14ac:dyDescent="0.25">
      <c r="B66" s="127">
        <f t="shared" si="1"/>
        <v>41454</v>
      </c>
      <c r="D66" s="139">
        <v>0.37</v>
      </c>
      <c r="F66" s="135">
        <f t="shared" si="2"/>
        <v>354.79452099999997</v>
      </c>
    </row>
    <row r="67" spans="1:11" hidden="1" x14ac:dyDescent="0.25">
      <c r="B67" s="127">
        <f t="shared" ref="B67:B130" si="3">B66+1</f>
        <v>41455</v>
      </c>
      <c r="D67" s="139">
        <v>0.37</v>
      </c>
      <c r="F67" s="135">
        <f t="shared" si="2"/>
        <v>354.79452099999997</v>
      </c>
      <c r="H67" s="136">
        <f>SUM(F38:F67)</f>
        <v>10931.506859999996</v>
      </c>
      <c r="I67" s="164">
        <f>AVERAGE(D38:D67)</f>
        <v>0.37999999999999978</v>
      </c>
      <c r="J67" s="165">
        <f>AVERAGE(D7:D67)</f>
        <v>0.39016393442622993</v>
      </c>
      <c r="K67" s="166">
        <f>AVERAGE(D7:D67)</f>
        <v>0.39016393442622993</v>
      </c>
    </row>
    <row r="68" spans="1:11" hidden="1" x14ac:dyDescent="0.25">
      <c r="A68" s="126">
        <v>41456</v>
      </c>
      <c r="B68" s="127">
        <f t="shared" si="3"/>
        <v>41456</v>
      </c>
      <c r="D68" s="139">
        <v>0.37</v>
      </c>
      <c r="F68" s="135">
        <f t="shared" si="2"/>
        <v>354.79452099999997</v>
      </c>
    </row>
    <row r="69" spans="1:11" hidden="1" x14ac:dyDescent="0.25">
      <c r="B69" s="127">
        <f t="shared" si="3"/>
        <v>41457</v>
      </c>
      <c r="D69" s="139">
        <v>0.37</v>
      </c>
      <c r="F69" s="135">
        <f t="shared" si="2"/>
        <v>354.79452099999997</v>
      </c>
    </row>
    <row r="70" spans="1:11" hidden="1" x14ac:dyDescent="0.25">
      <c r="B70" s="127">
        <f t="shared" si="3"/>
        <v>41458</v>
      </c>
      <c r="D70" s="139">
        <v>0.37</v>
      </c>
      <c r="F70" s="135">
        <f t="shared" si="2"/>
        <v>354.79452099999997</v>
      </c>
    </row>
    <row r="71" spans="1:11" hidden="1" x14ac:dyDescent="0.25">
      <c r="B71" s="127">
        <f t="shared" si="3"/>
        <v>41459</v>
      </c>
      <c r="D71" s="139">
        <v>0.37</v>
      </c>
      <c r="F71" s="135">
        <f t="shared" si="2"/>
        <v>354.79452099999997</v>
      </c>
    </row>
    <row r="72" spans="1:11" hidden="1" x14ac:dyDescent="0.25">
      <c r="B72" s="127">
        <f t="shared" si="3"/>
        <v>41460</v>
      </c>
      <c r="D72" s="139">
        <v>0.37</v>
      </c>
      <c r="F72" s="135">
        <f t="shared" si="2"/>
        <v>354.79452099999997</v>
      </c>
    </row>
    <row r="73" spans="1:11" hidden="1" x14ac:dyDescent="0.25">
      <c r="B73" s="127">
        <f t="shared" si="3"/>
        <v>41461</v>
      </c>
      <c r="D73" s="139">
        <v>0.37</v>
      </c>
      <c r="F73" s="135">
        <f t="shared" si="2"/>
        <v>354.79452099999997</v>
      </c>
    </row>
    <row r="74" spans="1:11" hidden="1" x14ac:dyDescent="0.25">
      <c r="B74" s="127">
        <f t="shared" si="3"/>
        <v>41462</v>
      </c>
      <c r="D74" s="139">
        <v>0.37</v>
      </c>
      <c r="F74" s="135">
        <f t="shared" si="2"/>
        <v>354.79452099999997</v>
      </c>
    </row>
    <row r="75" spans="1:11" hidden="1" x14ac:dyDescent="0.25">
      <c r="B75" s="127">
        <f t="shared" si="3"/>
        <v>41463</v>
      </c>
      <c r="D75" s="139">
        <v>0.37</v>
      </c>
      <c r="F75" s="135">
        <f t="shared" si="2"/>
        <v>354.79452099999997</v>
      </c>
    </row>
    <row r="76" spans="1:11" hidden="1" x14ac:dyDescent="0.25">
      <c r="B76" s="127">
        <f t="shared" si="3"/>
        <v>41464</v>
      </c>
      <c r="D76" s="139">
        <v>0.37</v>
      </c>
      <c r="F76" s="135">
        <f t="shared" si="2"/>
        <v>354.79452099999997</v>
      </c>
    </row>
    <row r="77" spans="1:11" hidden="1" x14ac:dyDescent="0.25">
      <c r="B77" s="127">
        <f t="shared" si="3"/>
        <v>41465</v>
      </c>
      <c r="D77" s="139">
        <v>0.37</v>
      </c>
      <c r="F77" s="135">
        <f t="shared" si="2"/>
        <v>354.79452099999997</v>
      </c>
    </row>
    <row r="78" spans="1:11" hidden="1" x14ac:dyDescent="0.25">
      <c r="B78" s="127">
        <f t="shared" si="3"/>
        <v>41466</v>
      </c>
      <c r="D78" s="139">
        <v>0.37</v>
      </c>
      <c r="F78" s="135">
        <f t="shared" si="2"/>
        <v>354.79452099999997</v>
      </c>
    </row>
    <row r="79" spans="1:11" hidden="1" x14ac:dyDescent="0.25">
      <c r="B79" s="127">
        <f t="shared" si="3"/>
        <v>41467</v>
      </c>
      <c r="D79" s="139">
        <v>0.37</v>
      </c>
      <c r="F79" s="135">
        <f t="shared" si="2"/>
        <v>354.79452099999997</v>
      </c>
    </row>
    <row r="80" spans="1:11" hidden="1" x14ac:dyDescent="0.25">
      <c r="B80" s="127">
        <f t="shared" si="3"/>
        <v>41468</v>
      </c>
      <c r="D80" s="139">
        <v>0.37</v>
      </c>
      <c r="F80" s="135">
        <f t="shared" ref="F80:F143" si="4">ROUND(D80/100*$A$3/365,6)</f>
        <v>354.79452099999997</v>
      </c>
    </row>
    <row r="81" spans="2:6" hidden="1" x14ac:dyDescent="0.25">
      <c r="B81" s="127">
        <f t="shared" si="3"/>
        <v>41469</v>
      </c>
      <c r="D81" s="139">
        <v>0.37</v>
      </c>
      <c r="F81" s="135">
        <f t="shared" si="4"/>
        <v>354.79452099999997</v>
      </c>
    </row>
    <row r="82" spans="2:6" hidden="1" x14ac:dyDescent="0.25">
      <c r="B82" s="127">
        <f t="shared" si="3"/>
        <v>41470</v>
      </c>
      <c r="D82" s="139">
        <v>0.3</v>
      </c>
      <c r="F82" s="135">
        <f t="shared" si="4"/>
        <v>287.67123299999997</v>
      </c>
    </row>
    <row r="83" spans="2:6" hidden="1" x14ac:dyDescent="0.25">
      <c r="B83" s="127">
        <f t="shared" si="3"/>
        <v>41471</v>
      </c>
      <c r="D83" s="139">
        <v>0.3</v>
      </c>
      <c r="F83" s="135">
        <f t="shared" si="4"/>
        <v>287.67123299999997</v>
      </c>
    </row>
    <row r="84" spans="2:6" hidden="1" x14ac:dyDescent="0.25">
      <c r="B84" s="127">
        <f t="shared" si="3"/>
        <v>41472</v>
      </c>
      <c r="D84" s="139">
        <v>0.3</v>
      </c>
      <c r="F84" s="135">
        <f t="shared" si="4"/>
        <v>287.67123299999997</v>
      </c>
    </row>
    <row r="85" spans="2:6" hidden="1" x14ac:dyDescent="0.25">
      <c r="B85" s="127">
        <f t="shared" si="3"/>
        <v>41473</v>
      </c>
      <c r="D85" s="139">
        <v>0.3</v>
      </c>
      <c r="F85" s="135">
        <f t="shared" si="4"/>
        <v>287.67123299999997</v>
      </c>
    </row>
    <row r="86" spans="2:6" hidden="1" x14ac:dyDescent="0.25">
      <c r="B86" s="127">
        <f t="shared" si="3"/>
        <v>41474</v>
      </c>
      <c r="D86" s="139">
        <v>0.3</v>
      </c>
      <c r="F86" s="135">
        <f t="shared" si="4"/>
        <v>287.67123299999997</v>
      </c>
    </row>
    <row r="87" spans="2:6" hidden="1" x14ac:dyDescent="0.25">
      <c r="B87" s="127">
        <f t="shared" si="3"/>
        <v>41475</v>
      </c>
      <c r="D87" s="139">
        <v>0.3</v>
      </c>
      <c r="F87" s="135">
        <f t="shared" si="4"/>
        <v>287.67123299999997</v>
      </c>
    </row>
    <row r="88" spans="2:6" hidden="1" x14ac:dyDescent="0.25">
      <c r="B88" s="127">
        <f t="shared" si="3"/>
        <v>41476</v>
      </c>
      <c r="D88" s="139">
        <v>0.3</v>
      </c>
      <c r="F88" s="135">
        <f t="shared" si="4"/>
        <v>287.67123299999997</v>
      </c>
    </row>
    <row r="89" spans="2:6" hidden="1" x14ac:dyDescent="0.25">
      <c r="B89" s="127">
        <f t="shared" si="3"/>
        <v>41477</v>
      </c>
      <c r="D89" s="139">
        <v>0.3</v>
      </c>
      <c r="F89" s="135">
        <f t="shared" si="4"/>
        <v>287.67123299999997</v>
      </c>
    </row>
    <row r="90" spans="2:6" hidden="1" x14ac:dyDescent="0.25">
      <c r="B90" s="127">
        <f t="shared" si="3"/>
        <v>41478</v>
      </c>
      <c r="D90" s="139">
        <v>0.3</v>
      </c>
      <c r="F90" s="135">
        <f t="shared" si="4"/>
        <v>287.67123299999997</v>
      </c>
    </row>
    <row r="91" spans="2:6" hidden="1" x14ac:dyDescent="0.25">
      <c r="B91" s="127">
        <f t="shared" si="3"/>
        <v>41479</v>
      </c>
      <c r="D91" s="139">
        <v>0.3</v>
      </c>
      <c r="F91" s="135">
        <f t="shared" si="4"/>
        <v>287.67123299999997</v>
      </c>
    </row>
    <row r="92" spans="2:6" hidden="1" x14ac:dyDescent="0.25">
      <c r="B92" s="127">
        <f t="shared" si="3"/>
        <v>41480</v>
      </c>
      <c r="D92" s="139">
        <v>0.3</v>
      </c>
      <c r="F92" s="135">
        <f t="shared" si="4"/>
        <v>287.67123299999997</v>
      </c>
    </row>
    <row r="93" spans="2:6" hidden="1" x14ac:dyDescent="0.25">
      <c r="B93" s="127">
        <f t="shared" si="3"/>
        <v>41481</v>
      </c>
      <c r="D93" s="139">
        <v>0.3</v>
      </c>
      <c r="F93" s="135">
        <f t="shared" si="4"/>
        <v>287.67123299999997</v>
      </c>
    </row>
    <row r="94" spans="2:6" hidden="1" x14ac:dyDescent="0.25">
      <c r="B94" s="127">
        <f t="shared" si="3"/>
        <v>41482</v>
      </c>
      <c r="D94" s="139">
        <v>0.3</v>
      </c>
      <c r="F94" s="135">
        <f t="shared" si="4"/>
        <v>287.67123299999997</v>
      </c>
    </row>
    <row r="95" spans="2:6" hidden="1" x14ac:dyDescent="0.25">
      <c r="B95" s="127">
        <f t="shared" si="3"/>
        <v>41483</v>
      </c>
      <c r="D95" s="139">
        <v>0.3</v>
      </c>
      <c r="F95" s="135">
        <f t="shared" si="4"/>
        <v>287.67123299999997</v>
      </c>
    </row>
    <row r="96" spans="2:6" hidden="1" x14ac:dyDescent="0.25">
      <c r="B96" s="127">
        <f t="shared" si="3"/>
        <v>41484</v>
      </c>
      <c r="D96" s="139">
        <v>0.3</v>
      </c>
      <c r="F96" s="135">
        <f t="shared" si="4"/>
        <v>287.67123299999997</v>
      </c>
    </row>
    <row r="97" spans="1:11" hidden="1" x14ac:dyDescent="0.25">
      <c r="B97" s="127">
        <f t="shared" si="3"/>
        <v>41485</v>
      </c>
      <c r="D97" s="139">
        <v>0.3</v>
      </c>
      <c r="F97" s="135">
        <f t="shared" si="4"/>
        <v>287.67123299999997</v>
      </c>
    </row>
    <row r="98" spans="1:11" hidden="1" x14ac:dyDescent="0.25">
      <c r="B98" s="127">
        <f t="shared" si="3"/>
        <v>41486</v>
      </c>
      <c r="D98" s="139">
        <v>0.3</v>
      </c>
      <c r="F98" s="135">
        <f t="shared" si="4"/>
        <v>287.67123299999997</v>
      </c>
      <c r="H98" s="136">
        <f>SUM(F68:F98)</f>
        <v>9857.5342549999932</v>
      </c>
      <c r="I98" s="164">
        <f>AVERAGE(D68:D98)</f>
        <v>0.33161290322580661</v>
      </c>
      <c r="J98" s="165">
        <f>AVERAGE(D7:D98)</f>
        <v>0.37043478260869594</v>
      </c>
      <c r="K98" s="166">
        <f>AVERAGE(D7:D98)</f>
        <v>0.37043478260869594</v>
      </c>
    </row>
    <row r="99" spans="1:11" hidden="1" x14ac:dyDescent="0.25">
      <c r="A99" s="126">
        <v>41499</v>
      </c>
      <c r="B99" s="127">
        <f t="shared" si="3"/>
        <v>41487</v>
      </c>
      <c r="D99" s="139">
        <v>0.3</v>
      </c>
      <c r="F99" s="135">
        <f t="shared" si="4"/>
        <v>287.67123299999997</v>
      </c>
    </row>
    <row r="100" spans="1:11" hidden="1" x14ac:dyDescent="0.25">
      <c r="B100" s="127">
        <f t="shared" si="3"/>
        <v>41488</v>
      </c>
      <c r="D100" s="139">
        <v>0.3</v>
      </c>
      <c r="F100" s="135">
        <f t="shared" si="4"/>
        <v>287.67123299999997</v>
      </c>
    </row>
    <row r="101" spans="1:11" hidden="1" x14ac:dyDescent="0.25">
      <c r="B101" s="127">
        <f t="shared" si="3"/>
        <v>41489</v>
      </c>
      <c r="D101" s="139">
        <v>0.3</v>
      </c>
      <c r="F101" s="135">
        <f t="shared" si="4"/>
        <v>287.67123299999997</v>
      </c>
    </row>
    <row r="102" spans="1:11" hidden="1" x14ac:dyDescent="0.25">
      <c r="B102" s="127">
        <f t="shared" si="3"/>
        <v>41490</v>
      </c>
      <c r="D102" s="139">
        <v>0.3</v>
      </c>
      <c r="F102" s="135">
        <f t="shared" si="4"/>
        <v>287.67123299999997</v>
      </c>
    </row>
    <row r="103" spans="1:11" hidden="1" x14ac:dyDescent="0.25">
      <c r="B103" s="127">
        <f t="shared" si="3"/>
        <v>41491</v>
      </c>
      <c r="D103" s="139">
        <v>0.3</v>
      </c>
      <c r="F103" s="135">
        <f t="shared" si="4"/>
        <v>287.67123299999997</v>
      </c>
    </row>
    <row r="104" spans="1:11" hidden="1" x14ac:dyDescent="0.25">
      <c r="B104" s="127">
        <f t="shared" si="3"/>
        <v>41492</v>
      </c>
      <c r="D104" s="139">
        <v>0.3</v>
      </c>
      <c r="F104" s="135">
        <f t="shared" si="4"/>
        <v>287.67123299999997</v>
      </c>
    </row>
    <row r="105" spans="1:11" hidden="1" x14ac:dyDescent="0.25">
      <c r="B105" s="127">
        <f t="shared" si="3"/>
        <v>41493</v>
      </c>
      <c r="D105" s="139">
        <v>0.3</v>
      </c>
      <c r="F105" s="135">
        <f t="shared" si="4"/>
        <v>287.67123299999997</v>
      </c>
    </row>
    <row r="106" spans="1:11" hidden="1" x14ac:dyDescent="0.25">
      <c r="B106" s="127">
        <f t="shared" si="3"/>
        <v>41494</v>
      </c>
      <c r="D106" s="139">
        <v>0.3</v>
      </c>
      <c r="F106" s="135">
        <f t="shared" si="4"/>
        <v>287.67123299999997</v>
      </c>
    </row>
    <row r="107" spans="1:11" hidden="1" x14ac:dyDescent="0.25">
      <c r="B107" s="127">
        <f t="shared" si="3"/>
        <v>41495</v>
      </c>
      <c r="D107" s="139">
        <v>0.3</v>
      </c>
      <c r="F107" s="135">
        <f t="shared" si="4"/>
        <v>287.67123299999997</v>
      </c>
    </row>
    <row r="108" spans="1:11" hidden="1" x14ac:dyDescent="0.25">
      <c r="B108" s="127">
        <f t="shared" si="3"/>
        <v>41496</v>
      </c>
      <c r="D108" s="139">
        <v>0.3</v>
      </c>
      <c r="F108" s="135">
        <f t="shared" si="4"/>
        <v>287.67123299999997</v>
      </c>
    </row>
    <row r="109" spans="1:11" hidden="1" x14ac:dyDescent="0.25">
      <c r="B109" s="127">
        <f t="shared" si="3"/>
        <v>41497</v>
      </c>
      <c r="D109" s="139">
        <v>0.3</v>
      </c>
      <c r="F109" s="135">
        <f t="shared" si="4"/>
        <v>287.67123299999997</v>
      </c>
    </row>
    <row r="110" spans="1:11" hidden="1" x14ac:dyDescent="0.25">
      <c r="B110" s="127">
        <f t="shared" si="3"/>
        <v>41498</v>
      </c>
      <c r="D110" s="139">
        <v>0.3</v>
      </c>
      <c r="F110" s="135">
        <f t="shared" si="4"/>
        <v>287.67123299999997</v>
      </c>
    </row>
    <row r="111" spans="1:11" hidden="1" x14ac:dyDescent="0.25">
      <c r="B111" s="127">
        <f t="shared" si="3"/>
        <v>41499</v>
      </c>
      <c r="D111" s="139">
        <v>0.3</v>
      </c>
      <c r="F111" s="135">
        <f t="shared" si="4"/>
        <v>287.67123299999997</v>
      </c>
    </row>
    <row r="112" spans="1:11" hidden="1" x14ac:dyDescent="0.25">
      <c r="B112" s="127">
        <f t="shared" si="3"/>
        <v>41500</v>
      </c>
      <c r="D112" s="139">
        <v>0.3</v>
      </c>
      <c r="F112" s="135">
        <f t="shared" si="4"/>
        <v>287.67123299999997</v>
      </c>
    </row>
    <row r="113" spans="2:6" hidden="1" x14ac:dyDescent="0.25">
      <c r="B113" s="127">
        <f t="shared" si="3"/>
        <v>41501</v>
      </c>
      <c r="D113" s="139">
        <v>0.3</v>
      </c>
      <c r="F113" s="135">
        <f t="shared" si="4"/>
        <v>287.67123299999997</v>
      </c>
    </row>
    <row r="114" spans="2:6" hidden="1" x14ac:dyDescent="0.25">
      <c r="B114" s="127">
        <f t="shared" si="3"/>
        <v>41502</v>
      </c>
      <c r="D114" s="139">
        <v>0.3</v>
      </c>
      <c r="F114" s="135">
        <f t="shared" si="4"/>
        <v>287.67123299999997</v>
      </c>
    </row>
    <row r="115" spans="2:6" hidden="1" x14ac:dyDescent="0.25">
      <c r="B115" s="127">
        <f t="shared" si="3"/>
        <v>41503</v>
      </c>
      <c r="D115" s="139">
        <v>0.3</v>
      </c>
      <c r="F115" s="135">
        <f t="shared" si="4"/>
        <v>287.67123299999997</v>
      </c>
    </row>
    <row r="116" spans="2:6" hidden="1" x14ac:dyDescent="0.25">
      <c r="B116" s="127">
        <f t="shared" si="3"/>
        <v>41504</v>
      </c>
      <c r="D116" s="139">
        <v>0.3</v>
      </c>
      <c r="F116" s="135">
        <f t="shared" si="4"/>
        <v>287.67123299999997</v>
      </c>
    </row>
    <row r="117" spans="2:6" hidden="1" x14ac:dyDescent="0.25">
      <c r="B117" s="127">
        <f t="shared" si="3"/>
        <v>41505</v>
      </c>
      <c r="D117" s="139">
        <v>0.3</v>
      </c>
      <c r="F117" s="135">
        <f t="shared" si="4"/>
        <v>287.67123299999997</v>
      </c>
    </row>
    <row r="118" spans="2:6" hidden="1" x14ac:dyDescent="0.25">
      <c r="B118" s="127">
        <f t="shared" si="3"/>
        <v>41506</v>
      </c>
      <c r="D118" s="139">
        <v>0.3</v>
      </c>
      <c r="F118" s="135">
        <f t="shared" si="4"/>
        <v>287.67123299999997</v>
      </c>
    </row>
    <row r="119" spans="2:6" hidden="1" x14ac:dyDescent="0.25">
      <c r="B119" s="127">
        <f t="shared" si="3"/>
        <v>41507</v>
      </c>
      <c r="D119" s="139">
        <v>0.32</v>
      </c>
      <c r="F119" s="135">
        <f t="shared" si="4"/>
        <v>306.84931499999999</v>
      </c>
    </row>
    <row r="120" spans="2:6" hidden="1" x14ac:dyDescent="0.25">
      <c r="B120" s="127">
        <f t="shared" si="3"/>
        <v>41508</v>
      </c>
      <c r="D120" s="139">
        <v>0.32</v>
      </c>
      <c r="F120" s="135">
        <f t="shared" si="4"/>
        <v>306.84931499999999</v>
      </c>
    </row>
    <row r="121" spans="2:6" hidden="1" x14ac:dyDescent="0.25">
      <c r="B121" s="127">
        <f t="shared" si="3"/>
        <v>41509</v>
      </c>
      <c r="D121" s="139">
        <v>0.32</v>
      </c>
      <c r="F121" s="135">
        <f t="shared" si="4"/>
        <v>306.84931499999999</v>
      </c>
    </row>
    <row r="122" spans="2:6" hidden="1" x14ac:dyDescent="0.25">
      <c r="B122" s="127">
        <f t="shared" si="3"/>
        <v>41510</v>
      </c>
      <c r="D122" s="139">
        <v>0.32</v>
      </c>
      <c r="F122" s="135">
        <f t="shared" si="4"/>
        <v>306.84931499999999</v>
      </c>
    </row>
    <row r="123" spans="2:6" hidden="1" x14ac:dyDescent="0.25">
      <c r="B123" s="127">
        <f t="shared" si="3"/>
        <v>41511</v>
      </c>
      <c r="D123" s="139">
        <v>0.32</v>
      </c>
      <c r="F123" s="135">
        <f t="shared" si="4"/>
        <v>306.84931499999999</v>
      </c>
    </row>
    <row r="124" spans="2:6" hidden="1" x14ac:dyDescent="0.25">
      <c r="B124" s="127">
        <f t="shared" si="3"/>
        <v>41512</v>
      </c>
      <c r="D124" s="139">
        <v>0.32</v>
      </c>
      <c r="F124" s="135">
        <f t="shared" si="4"/>
        <v>306.84931499999999</v>
      </c>
    </row>
    <row r="125" spans="2:6" hidden="1" x14ac:dyDescent="0.25">
      <c r="B125" s="127">
        <f t="shared" si="3"/>
        <v>41513</v>
      </c>
      <c r="D125" s="139">
        <v>0.32</v>
      </c>
      <c r="F125" s="135">
        <f t="shared" si="4"/>
        <v>306.84931499999999</v>
      </c>
    </row>
    <row r="126" spans="2:6" hidden="1" x14ac:dyDescent="0.25">
      <c r="B126" s="127">
        <f t="shared" si="3"/>
        <v>41514</v>
      </c>
      <c r="D126" s="139">
        <v>0.32</v>
      </c>
      <c r="F126" s="135">
        <f t="shared" si="4"/>
        <v>306.84931499999999</v>
      </c>
    </row>
    <row r="127" spans="2:6" hidden="1" x14ac:dyDescent="0.25">
      <c r="B127" s="127">
        <f t="shared" si="3"/>
        <v>41515</v>
      </c>
      <c r="D127" s="139">
        <v>0.32</v>
      </c>
      <c r="F127" s="135">
        <f t="shared" si="4"/>
        <v>306.84931499999999</v>
      </c>
    </row>
    <row r="128" spans="2:6" hidden="1" x14ac:dyDescent="0.25">
      <c r="B128" s="127">
        <f t="shared" si="3"/>
        <v>41516</v>
      </c>
      <c r="D128" s="139">
        <v>0.32</v>
      </c>
      <c r="F128" s="135">
        <f t="shared" si="4"/>
        <v>306.84931499999999</v>
      </c>
    </row>
    <row r="129" spans="1:11" hidden="1" x14ac:dyDescent="0.25">
      <c r="B129" s="127">
        <f t="shared" si="3"/>
        <v>41517</v>
      </c>
      <c r="D129" s="139">
        <v>0.32</v>
      </c>
      <c r="F129" s="135">
        <f t="shared" si="4"/>
        <v>306.84931499999999</v>
      </c>
      <c r="H129" s="136">
        <f>SUM(F99:F129)</f>
        <v>9128.7671250000003</v>
      </c>
      <c r="I129" s="164">
        <f>AVERAGE(D99:D129)</f>
        <v>0.30709677419354842</v>
      </c>
      <c r="J129" s="165">
        <f>AVERAGE(D7:D129)</f>
        <v>0.35447154471544695</v>
      </c>
      <c r="K129" s="166">
        <f>AVERAGE(D7:D129)</f>
        <v>0.35447154471544695</v>
      </c>
    </row>
    <row r="130" spans="1:11" hidden="1" x14ac:dyDescent="0.25">
      <c r="A130" s="126">
        <v>41518</v>
      </c>
      <c r="B130" s="127">
        <f t="shared" si="3"/>
        <v>41518</v>
      </c>
      <c r="D130" s="139">
        <v>0.32</v>
      </c>
      <c r="F130" s="135">
        <f t="shared" si="4"/>
        <v>306.84931499999999</v>
      </c>
    </row>
    <row r="131" spans="1:11" hidden="1" x14ac:dyDescent="0.25">
      <c r="B131" s="127">
        <f t="shared" ref="B131:B190" si="5">B130+1</f>
        <v>41519</v>
      </c>
      <c r="D131" s="139">
        <v>0.32</v>
      </c>
      <c r="F131" s="135">
        <f t="shared" si="4"/>
        <v>306.84931499999999</v>
      </c>
    </row>
    <row r="132" spans="1:11" hidden="1" x14ac:dyDescent="0.25">
      <c r="B132" s="127">
        <f t="shared" si="5"/>
        <v>41520</v>
      </c>
      <c r="D132" s="139">
        <v>0.32</v>
      </c>
      <c r="F132" s="135">
        <f t="shared" si="4"/>
        <v>306.84931499999999</v>
      </c>
    </row>
    <row r="133" spans="1:11" hidden="1" x14ac:dyDescent="0.25">
      <c r="B133" s="127">
        <f t="shared" si="5"/>
        <v>41521</v>
      </c>
      <c r="D133" s="139">
        <v>0.32</v>
      </c>
      <c r="F133" s="135">
        <f t="shared" si="4"/>
        <v>306.84931499999999</v>
      </c>
    </row>
    <row r="134" spans="1:11" hidden="1" x14ac:dyDescent="0.25">
      <c r="B134" s="127">
        <f t="shared" si="5"/>
        <v>41522</v>
      </c>
      <c r="D134" s="139">
        <v>0.32</v>
      </c>
      <c r="F134" s="135">
        <f t="shared" si="4"/>
        <v>306.84931499999999</v>
      </c>
    </row>
    <row r="135" spans="1:11" hidden="1" x14ac:dyDescent="0.25">
      <c r="B135" s="127">
        <f t="shared" si="5"/>
        <v>41523</v>
      </c>
      <c r="D135" s="139">
        <v>0.32</v>
      </c>
      <c r="F135" s="135">
        <f t="shared" si="4"/>
        <v>306.84931499999999</v>
      </c>
    </row>
    <row r="136" spans="1:11" hidden="1" x14ac:dyDescent="0.25">
      <c r="B136" s="127">
        <f t="shared" si="5"/>
        <v>41524</v>
      </c>
      <c r="D136" s="139">
        <v>0.32</v>
      </c>
      <c r="F136" s="135">
        <f t="shared" si="4"/>
        <v>306.84931499999999</v>
      </c>
    </row>
    <row r="137" spans="1:11" hidden="1" x14ac:dyDescent="0.25">
      <c r="B137" s="127">
        <f t="shared" si="5"/>
        <v>41525</v>
      </c>
      <c r="D137" s="139">
        <v>0.32</v>
      </c>
      <c r="F137" s="135">
        <f t="shared" si="4"/>
        <v>306.84931499999999</v>
      </c>
    </row>
    <row r="138" spans="1:11" hidden="1" x14ac:dyDescent="0.25">
      <c r="B138" s="127">
        <f t="shared" si="5"/>
        <v>41526</v>
      </c>
      <c r="D138" s="139">
        <v>0.32</v>
      </c>
      <c r="F138" s="135">
        <f t="shared" si="4"/>
        <v>306.84931499999999</v>
      </c>
    </row>
    <row r="139" spans="1:11" hidden="1" x14ac:dyDescent="0.25">
      <c r="B139" s="127">
        <f t="shared" si="5"/>
        <v>41527</v>
      </c>
      <c r="D139" s="139">
        <v>0.32</v>
      </c>
      <c r="F139" s="135">
        <f t="shared" si="4"/>
        <v>306.84931499999999</v>
      </c>
    </row>
    <row r="140" spans="1:11" hidden="1" x14ac:dyDescent="0.25">
      <c r="B140" s="127">
        <f t="shared" si="5"/>
        <v>41528</v>
      </c>
      <c r="D140" s="139">
        <v>0.32</v>
      </c>
      <c r="F140" s="135">
        <f t="shared" si="4"/>
        <v>306.84931499999999</v>
      </c>
    </row>
    <row r="141" spans="1:11" hidden="1" x14ac:dyDescent="0.25">
      <c r="B141" s="127">
        <f t="shared" si="5"/>
        <v>41529</v>
      </c>
      <c r="D141" s="139">
        <v>0.32</v>
      </c>
      <c r="F141" s="135">
        <f t="shared" si="4"/>
        <v>306.84931499999999</v>
      </c>
    </row>
    <row r="142" spans="1:11" hidden="1" x14ac:dyDescent="0.25">
      <c r="B142" s="127">
        <f t="shared" si="5"/>
        <v>41530</v>
      </c>
      <c r="D142" s="139">
        <v>0.32</v>
      </c>
      <c r="F142" s="135">
        <f t="shared" si="4"/>
        <v>306.84931499999999</v>
      </c>
    </row>
    <row r="143" spans="1:11" hidden="1" x14ac:dyDescent="0.25">
      <c r="B143" s="127">
        <f t="shared" si="5"/>
        <v>41531</v>
      </c>
      <c r="D143" s="139">
        <v>0.32</v>
      </c>
      <c r="F143" s="135">
        <f t="shared" si="4"/>
        <v>306.84931499999999</v>
      </c>
    </row>
    <row r="144" spans="1:11" hidden="1" x14ac:dyDescent="0.25">
      <c r="B144" s="127">
        <f t="shared" si="5"/>
        <v>41532</v>
      </c>
      <c r="D144" s="139">
        <v>0.32</v>
      </c>
      <c r="F144" s="135">
        <f t="shared" ref="F144:F190" si="6">ROUND(D144/100*$A$3/365,6)</f>
        <v>306.84931499999999</v>
      </c>
    </row>
    <row r="145" spans="1:11" hidden="1" x14ac:dyDescent="0.25">
      <c r="B145" s="127">
        <f t="shared" si="5"/>
        <v>41533</v>
      </c>
      <c r="D145" s="139">
        <v>0.32</v>
      </c>
      <c r="F145" s="135">
        <f t="shared" si="6"/>
        <v>306.84931499999999</v>
      </c>
    </row>
    <row r="146" spans="1:11" hidden="1" x14ac:dyDescent="0.25">
      <c r="B146" s="127">
        <f t="shared" si="5"/>
        <v>41534</v>
      </c>
      <c r="D146" s="139">
        <v>0.32</v>
      </c>
      <c r="F146" s="135">
        <f t="shared" si="6"/>
        <v>306.84931499999999</v>
      </c>
    </row>
    <row r="147" spans="1:11" hidden="1" x14ac:dyDescent="0.25">
      <c r="B147" s="127">
        <f t="shared" si="5"/>
        <v>41535</v>
      </c>
      <c r="D147" s="139">
        <v>0.32</v>
      </c>
      <c r="F147" s="135">
        <f t="shared" si="6"/>
        <v>306.84931499999999</v>
      </c>
    </row>
    <row r="148" spans="1:11" hidden="1" x14ac:dyDescent="0.25">
      <c r="B148" s="127">
        <f t="shared" si="5"/>
        <v>41536</v>
      </c>
      <c r="D148" s="139">
        <v>0.32</v>
      </c>
      <c r="F148" s="135">
        <f t="shared" si="6"/>
        <v>306.84931499999999</v>
      </c>
    </row>
    <row r="149" spans="1:11" hidden="1" x14ac:dyDescent="0.25">
      <c r="B149" s="127">
        <f t="shared" si="5"/>
        <v>41537</v>
      </c>
      <c r="D149" s="139">
        <v>0.32</v>
      </c>
      <c r="F149" s="135">
        <f t="shared" si="6"/>
        <v>306.84931499999999</v>
      </c>
    </row>
    <row r="150" spans="1:11" hidden="1" x14ac:dyDescent="0.25">
      <c r="B150" s="127">
        <f t="shared" si="5"/>
        <v>41538</v>
      </c>
      <c r="D150" s="139">
        <v>0.32</v>
      </c>
      <c r="F150" s="135">
        <f t="shared" si="6"/>
        <v>306.84931499999999</v>
      </c>
    </row>
    <row r="151" spans="1:11" hidden="1" x14ac:dyDescent="0.25">
      <c r="B151" s="127">
        <f t="shared" si="5"/>
        <v>41539</v>
      </c>
      <c r="D151" s="139">
        <v>0.32</v>
      </c>
      <c r="F151" s="135">
        <f t="shared" si="6"/>
        <v>306.84931499999999</v>
      </c>
    </row>
    <row r="152" spans="1:11" hidden="1" x14ac:dyDescent="0.25">
      <c r="B152" s="127">
        <f t="shared" si="5"/>
        <v>41540</v>
      </c>
      <c r="D152" s="139">
        <v>0.32</v>
      </c>
      <c r="F152" s="135">
        <f t="shared" si="6"/>
        <v>306.84931499999999</v>
      </c>
    </row>
    <row r="153" spans="1:11" hidden="1" x14ac:dyDescent="0.25">
      <c r="B153" s="127">
        <f t="shared" si="5"/>
        <v>41541</v>
      </c>
      <c r="D153" s="139">
        <v>0.32</v>
      </c>
      <c r="F153" s="135">
        <f t="shared" si="6"/>
        <v>306.84931499999999</v>
      </c>
    </row>
    <row r="154" spans="1:11" hidden="1" x14ac:dyDescent="0.25">
      <c r="B154" s="127">
        <f t="shared" si="5"/>
        <v>41542</v>
      </c>
      <c r="D154" s="139">
        <v>0.32</v>
      </c>
      <c r="F154" s="135">
        <f t="shared" si="6"/>
        <v>306.84931499999999</v>
      </c>
    </row>
    <row r="155" spans="1:11" hidden="1" x14ac:dyDescent="0.25">
      <c r="B155" s="127">
        <f t="shared" si="5"/>
        <v>41543</v>
      </c>
      <c r="D155" s="139">
        <v>0.32</v>
      </c>
      <c r="F155" s="135">
        <f t="shared" si="6"/>
        <v>306.84931499999999</v>
      </c>
    </row>
    <row r="156" spans="1:11" hidden="1" x14ac:dyDescent="0.25">
      <c r="B156" s="127">
        <f t="shared" si="5"/>
        <v>41544</v>
      </c>
      <c r="D156" s="139">
        <v>0.32</v>
      </c>
      <c r="F156" s="135">
        <f t="shared" si="6"/>
        <v>306.84931499999999</v>
      </c>
    </row>
    <row r="157" spans="1:11" hidden="1" x14ac:dyDescent="0.25">
      <c r="B157" s="127">
        <f t="shared" si="5"/>
        <v>41545</v>
      </c>
      <c r="D157" s="139">
        <v>0.32</v>
      </c>
      <c r="F157" s="135">
        <f t="shared" si="6"/>
        <v>306.84931499999999</v>
      </c>
    </row>
    <row r="158" spans="1:11" hidden="1" x14ac:dyDescent="0.25">
      <c r="B158" s="127">
        <f t="shared" si="5"/>
        <v>41546</v>
      </c>
      <c r="D158" s="139">
        <v>0.32</v>
      </c>
      <c r="F158" s="135">
        <f t="shared" si="6"/>
        <v>306.84931499999999</v>
      </c>
    </row>
    <row r="159" spans="1:11" hidden="1" x14ac:dyDescent="0.25">
      <c r="B159" s="127">
        <f t="shared" si="5"/>
        <v>41547</v>
      </c>
      <c r="D159" s="139">
        <v>0.32</v>
      </c>
      <c r="F159" s="135">
        <f t="shared" si="6"/>
        <v>306.84931499999999</v>
      </c>
      <c r="H159" s="136">
        <f>SUM(F130:F159)</f>
        <v>9205.4794500000025</v>
      </c>
      <c r="I159" s="164">
        <f>AVERAGE(D130:D159)</f>
        <v>0.32000000000000012</v>
      </c>
      <c r="J159" s="165">
        <f>AVERAGE(D7:D159)</f>
        <v>0.34771241830065347</v>
      </c>
      <c r="K159" s="166">
        <f>AVERAGE(D7:D159)</f>
        <v>0.34771241830065347</v>
      </c>
    </row>
    <row r="160" spans="1:11" x14ac:dyDescent="0.25">
      <c r="A160" s="126">
        <v>41548</v>
      </c>
      <c r="B160" s="127">
        <f t="shared" si="5"/>
        <v>41548</v>
      </c>
      <c r="D160" s="139">
        <v>0.32</v>
      </c>
      <c r="F160" s="135">
        <f t="shared" si="6"/>
        <v>306.84931499999999</v>
      </c>
    </row>
    <row r="161" spans="2:6" x14ac:dyDescent="0.25">
      <c r="B161" s="127">
        <f t="shared" si="5"/>
        <v>41549</v>
      </c>
      <c r="D161" s="139">
        <v>0.32</v>
      </c>
      <c r="F161" s="135">
        <f t="shared" si="6"/>
        <v>306.84931499999999</v>
      </c>
    </row>
    <row r="162" spans="2:6" x14ac:dyDescent="0.25">
      <c r="B162" s="127">
        <f t="shared" si="5"/>
        <v>41550</v>
      </c>
      <c r="D162" s="139">
        <v>0.32</v>
      </c>
      <c r="F162" s="135">
        <f t="shared" si="6"/>
        <v>306.84931499999999</v>
      </c>
    </row>
    <row r="163" spans="2:6" x14ac:dyDescent="0.25">
      <c r="B163" s="127">
        <f t="shared" si="5"/>
        <v>41551</v>
      </c>
      <c r="D163" s="139">
        <v>0.32</v>
      </c>
      <c r="F163" s="135">
        <f t="shared" si="6"/>
        <v>306.84931499999999</v>
      </c>
    </row>
    <row r="164" spans="2:6" x14ac:dyDescent="0.25">
      <c r="B164" s="127">
        <f t="shared" si="5"/>
        <v>41552</v>
      </c>
      <c r="D164" s="139">
        <v>0.32</v>
      </c>
      <c r="F164" s="135">
        <f t="shared" si="6"/>
        <v>306.84931499999999</v>
      </c>
    </row>
    <row r="165" spans="2:6" x14ac:dyDescent="0.25">
      <c r="B165" s="127">
        <f t="shared" si="5"/>
        <v>41553</v>
      </c>
      <c r="D165" s="139">
        <v>0.32</v>
      </c>
      <c r="F165" s="135">
        <f t="shared" si="6"/>
        <v>306.84931499999999</v>
      </c>
    </row>
    <row r="166" spans="2:6" x14ac:dyDescent="0.25">
      <c r="B166" s="127">
        <f t="shared" si="5"/>
        <v>41554</v>
      </c>
      <c r="D166" s="139">
        <v>0.32</v>
      </c>
      <c r="F166" s="135">
        <f t="shared" si="6"/>
        <v>306.84931499999999</v>
      </c>
    </row>
    <row r="167" spans="2:6" x14ac:dyDescent="0.25">
      <c r="B167" s="127">
        <f t="shared" si="5"/>
        <v>41555</v>
      </c>
      <c r="D167" s="139">
        <v>0.32</v>
      </c>
      <c r="F167" s="135">
        <f t="shared" si="6"/>
        <v>306.84931499999999</v>
      </c>
    </row>
    <row r="168" spans="2:6" x14ac:dyDescent="0.25">
      <c r="B168" s="127">
        <f t="shared" si="5"/>
        <v>41556</v>
      </c>
      <c r="D168" s="139">
        <v>0.32</v>
      </c>
      <c r="F168" s="135">
        <f t="shared" si="6"/>
        <v>306.84931499999999</v>
      </c>
    </row>
    <row r="169" spans="2:6" x14ac:dyDescent="0.25">
      <c r="B169" s="127">
        <f t="shared" si="5"/>
        <v>41557</v>
      </c>
      <c r="D169" s="139">
        <v>0.32</v>
      </c>
      <c r="F169" s="135">
        <f t="shared" si="6"/>
        <v>306.84931499999999</v>
      </c>
    </row>
    <row r="170" spans="2:6" x14ac:dyDescent="0.25">
      <c r="B170" s="127">
        <f t="shared" si="5"/>
        <v>41558</v>
      </c>
      <c r="D170" s="139">
        <v>0.32</v>
      </c>
      <c r="F170" s="135">
        <f t="shared" si="6"/>
        <v>306.84931499999999</v>
      </c>
    </row>
    <row r="171" spans="2:6" x14ac:dyDescent="0.25">
      <c r="B171" s="127">
        <f t="shared" si="5"/>
        <v>41559</v>
      </c>
      <c r="D171" s="139">
        <v>0.32</v>
      </c>
      <c r="F171" s="135">
        <f t="shared" si="6"/>
        <v>306.84931499999999</v>
      </c>
    </row>
    <row r="172" spans="2:6" x14ac:dyDescent="0.25">
      <c r="B172" s="127">
        <f t="shared" si="5"/>
        <v>41560</v>
      </c>
      <c r="D172" s="139">
        <v>0.32</v>
      </c>
      <c r="F172" s="135">
        <f t="shared" si="6"/>
        <v>306.84931499999999</v>
      </c>
    </row>
    <row r="173" spans="2:6" x14ac:dyDescent="0.25">
      <c r="B173" s="127">
        <f t="shared" si="5"/>
        <v>41561</v>
      </c>
      <c r="D173" s="139">
        <v>0.32</v>
      </c>
      <c r="F173" s="135">
        <f t="shared" si="6"/>
        <v>306.84931499999999</v>
      </c>
    </row>
    <row r="174" spans="2:6" x14ac:dyDescent="0.25">
      <c r="B174" s="127">
        <f t="shared" si="5"/>
        <v>41562</v>
      </c>
      <c r="D174" s="139">
        <v>0.32</v>
      </c>
      <c r="F174" s="135">
        <f t="shared" si="6"/>
        <v>306.84931499999999</v>
      </c>
    </row>
    <row r="175" spans="2:6" x14ac:dyDescent="0.25">
      <c r="B175" s="127">
        <f t="shared" si="5"/>
        <v>41563</v>
      </c>
      <c r="D175" s="139">
        <v>0.32</v>
      </c>
      <c r="F175" s="135">
        <f t="shared" si="6"/>
        <v>306.84931499999999</v>
      </c>
    </row>
    <row r="176" spans="2:6" x14ac:dyDescent="0.25">
      <c r="B176" s="127">
        <f t="shared" si="5"/>
        <v>41564</v>
      </c>
      <c r="D176" s="139">
        <v>0.32</v>
      </c>
      <c r="F176" s="135">
        <f t="shared" si="6"/>
        <v>306.84931499999999</v>
      </c>
    </row>
    <row r="177" spans="2:11" x14ac:dyDescent="0.25">
      <c r="B177" s="127">
        <f t="shared" si="5"/>
        <v>41565</v>
      </c>
      <c r="D177" s="139">
        <v>0.32</v>
      </c>
      <c r="F177" s="135">
        <f t="shared" si="6"/>
        <v>306.84931499999999</v>
      </c>
    </row>
    <row r="178" spans="2:11" x14ac:dyDescent="0.25">
      <c r="B178" s="127">
        <f t="shared" si="5"/>
        <v>41566</v>
      </c>
      <c r="D178" s="139">
        <v>0.32</v>
      </c>
      <c r="F178" s="135">
        <f t="shared" si="6"/>
        <v>306.84931499999999</v>
      </c>
    </row>
    <row r="179" spans="2:11" x14ac:dyDescent="0.25">
      <c r="B179" s="127">
        <f t="shared" si="5"/>
        <v>41567</v>
      </c>
      <c r="D179" s="139">
        <v>0.32</v>
      </c>
      <c r="F179" s="135">
        <f t="shared" si="6"/>
        <v>306.84931499999999</v>
      </c>
    </row>
    <row r="180" spans="2:11" x14ac:dyDescent="0.25">
      <c r="B180" s="127">
        <f t="shared" si="5"/>
        <v>41568</v>
      </c>
      <c r="D180" s="139">
        <v>0.32</v>
      </c>
      <c r="F180" s="135">
        <f t="shared" si="6"/>
        <v>306.84931499999999</v>
      </c>
    </row>
    <row r="181" spans="2:11" x14ac:dyDescent="0.25">
      <c r="B181" s="127">
        <f t="shared" si="5"/>
        <v>41569</v>
      </c>
      <c r="D181" s="139">
        <v>0.32</v>
      </c>
      <c r="F181" s="135">
        <f t="shared" si="6"/>
        <v>306.84931499999999</v>
      </c>
    </row>
    <row r="182" spans="2:11" x14ac:dyDescent="0.25">
      <c r="B182" s="127">
        <f t="shared" si="5"/>
        <v>41570</v>
      </c>
      <c r="D182" s="139">
        <v>0.32</v>
      </c>
      <c r="F182" s="135">
        <f t="shared" si="6"/>
        <v>306.84931499999999</v>
      </c>
    </row>
    <row r="183" spans="2:11" x14ac:dyDescent="0.25">
      <c r="B183" s="127">
        <f t="shared" si="5"/>
        <v>41571</v>
      </c>
      <c r="D183" s="139">
        <v>0.32</v>
      </c>
      <c r="F183" s="135">
        <f t="shared" si="6"/>
        <v>306.84931499999999</v>
      </c>
    </row>
    <row r="184" spans="2:11" x14ac:dyDescent="0.25">
      <c r="B184" s="127">
        <f t="shared" si="5"/>
        <v>41572</v>
      </c>
      <c r="D184" s="139">
        <v>0.32</v>
      </c>
      <c r="F184" s="135">
        <f t="shared" si="6"/>
        <v>306.84931499999999</v>
      </c>
    </row>
    <row r="185" spans="2:11" x14ac:dyDescent="0.25">
      <c r="B185" s="127">
        <f t="shared" si="5"/>
        <v>41573</v>
      </c>
      <c r="D185" s="139">
        <v>0.32</v>
      </c>
      <c r="F185" s="135">
        <f t="shared" si="6"/>
        <v>306.84931499999999</v>
      </c>
    </row>
    <row r="186" spans="2:11" x14ac:dyDescent="0.25">
      <c r="B186" s="127">
        <f t="shared" si="5"/>
        <v>41574</v>
      </c>
      <c r="D186" s="139">
        <v>0.32</v>
      </c>
      <c r="F186" s="135">
        <f t="shared" si="6"/>
        <v>306.84931499999999</v>
      </c>
    </row>
    <row r="187" spans="2:11" x14ac:dyDescent="0.25">
      <c r="B187" s="127">
        <f t="shared" si="5"/>
        <v>41575</v>
      </c>
      <c r="D187" s="139">
        <v>0.32</v>
      </c>
      <c r="F187" s="135">
        <f t="shared" si="6"/>
        <v>306.84931499999999</v>
      </c>
    </row>
    <row r="188" spans="2:11" x14ac:dyDescent="0.25">
      <c r="B188" s="127">
        <f t="shared" si="5"/>
        <v>41576</v>
      </c>
      <c r="D188" s="139">
        <v>0.32</v>
      </c>
      <c r="F188" s="135">
        <f t="shared" si="6"/>
        <v>306.84931499999999</v>
      </c>
    </row>
    <row r="189" spans="2:11" x14ac:dyDescent="0.25">
      <c r="B189" s="127">
        <f t="shared" si="5"/>
        <v>41577</v>
      </c>
      <c r="D189" s="139">
        <v>0.32</v>
      </c>
      <c r="F189" s="135">
        <f t="shared" si="6"/>
        <v>306.84931499999999</v>
      </c>
    </row>
    <row r="190" spans="2:11" x14ac:dyDescent="0.25">
      <c r="B190" s="127">
        <f t="shared" si="5"/>
        <v>41578</v>
      </c>
      <c r="D190" s="139">
        <v>0.32</v>
      </c>
      <c r="F190" s="135">
        <f t="shared" si="6"/>
        <v>306.84931499999999</v>
      </c>
      <c r="H190" s="136">
        <f>SUM(F160:F190)</f>
        <v>9512.328765000002</v>
      </c>
      <c r="I190" s="164">
        <f>AVERAGE(D160:D190)</f>
        <v>0.32000000000000012</v>
      </c>
      <c r="J190" s="165">
        <f>AVERAGE(D7:D190)</f>
        <v>0.34304347826086951</v>
      </c>
      <c r="K190" s="166">
        <f>AVERAGE(D7:D190)</f>
        <v>0.34304347826086951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pageSetUpPr fitToPage="1"/>
  </sheetPr>
  <dimension ref="A1:N190"/>
  <sheetViews>
    <sheetView zoomScaleNormal="100" workbookViewId="0">
      <pane ySplit="5" topLeftCell="A6" activePane="bottomLeft" state="frozen"/>
      <selection activeCell="M22" sqref="M22"/>
      <selection pane="bottomLeft" activeCell="A191" sqref="A191:XFD686"/>
    </sheetView>
  </sheetViews>
  <sheetFormatPr defaultRowHeight="15" x14ac:dyDescent="0.25"/>
  <cols>
    <col min="1" max="1" width="8.5703125" style="126" customWidth="1"/>
    <col min="2" max="2" width="9.7109375" style="151" bestFit="1" customWidth="1"/>
    <col min="3" max="3" width="5.7109375" style="125" customWidth="1"/>
    <col min="4" max="4" width="10.7109375" style="125" customWidth="1"/>
    <col min="5" max="5" width="5.7109375" style="125" customWidth="1"/>
    <col min="6" max="6" width="11.42578125" style="125" customWidth="1"/>
    <col min="7" max="7" width="1.7109375" style="125" customWidth="1"/>
    <col min="8" max="8" width="11.7109375" style="153" customWidth="1"/>
    <col min="9" max="9" width="11.7109375" style="137" customWidth="1"/>
    <col min="10" max="10" width="11.7109375" style="138" customWidth="1"/>
    <col min="11" max="11" width="9.140625" style="124"/>
    <col min="12" max="16384" width="9.140625" style="125"/>
  </cols>
  <sheetData>
    <row r="1" spans="1:14" ht="12.75" x14ac:dyDescent="0.2">
      <c r="A1" s="636" t="s">
        <v>143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4" ht="12.75" x14ac:dyDescent="0.2">
      <c r="A2" s="637" t="s">
        <v>144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4" ht="12.75" x14ac:dyDescent="0.2">
      <c r="A3" s="638">
        <v>41665000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2.75" x14ac:dyDescent="0.2">
      <c r="A4" s="639">
        <v>237189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ht="51.75" x14ac:dyDescent="0.25">
      <c r="B5" s="127"/>
      <c r="D5" s="128"/>
      <c r="H5" s="152" t="s">
        <v>134</v>
      </c>
      <c r="I5" s="130" t="s">
        <v>135</v>
      </c>
      <c r="J5" s="131" t="s">
        <v>136</v>
      </c>
      <c r="K5" s="132" t="s">
        <v>582</v>
      </c>
      <c r="L5" s="133"/>
      <c r="M5" s="133"/>
      <c r="N5" s="133"/>
    </row>
    <row r="6" spans="1:14" x14ac:dyDescent="0.25">
      <c r="B6" s="127"/>
      <c r="D6" s="128"/>
      <c r="H6" s="152"/>
      <c r="I6" s="130"/>
      <c r="J6" s="131"/>
      <c r="K6" s="134"/>
      <c r="L6" s="133"/>
      <c r="M6" s="133"/>
      <c r="N6" s="133"/>
    </row>
    <row r="7" spans="1:14" hidden="1" x14ac:dyDescent="0.25">
      <c r="A7" s="126">
        <v>41395</v>
      </c>
      <c r="B7" s="127">
        <v>41395</v>
      </c>
      <c r="D7" s="139">
        <v>0.14000000000000001</v>
      </c>
      <c r="F7" s="135">
        <f t="shared" ref="F7:F15" si="0">ROUND(D7/100*$A$3/365,6)</f>
        <v>159.810959</v>
      </c>
    </row>
    <row r="8" spans="1:14" hidden="1" x14ac:dyDescent="0.25">
      <c r="B8" s="127">
        <f t="shared" ref="B8:B66" si="1">B7+1</f>
        <v>41396</v>
      </c>
      <c r="D8" s="139">
        <v>0.14000000000000001</v>
      </c>
      <c r="F8" s="135">
        <f t="shared" si="0"/>
        <v>159.810959</v>
      </c>
    </row>
    <row r="9" spans="1:14" hidden="1" x14ac:dyDescent="0.25">
      <c r="B9" s="127">
        <f t="shared" si="1"/>
        <v>41397</v>
      </c>
      <c r="D9" s="139">
        <v>0.14000000000000001</v>
      </c>
      <c r="F9" s="135">
        <f t="shared" si="0"/>
        <v>159.810959</v>
      </c>
    </row>
    <row r="10" spans="1:14" hidden="1" x14ac:dyDescent="0.25">
      <c r="B10" s="127">
        <f t="shared" si="1"/>
        <v>41398</v>
      </c>
      <c r="D10" s="139">
        <v>0.14000000000000001</v>
      </c>
      <c r="F10" s="135">
        <f t="shared" si="0"/>
        <v>159.810959</v>
      </c>
    </row>
    <row r="11" spans="1:14" hidden="1" x14ac:dyDescent="0.25">
      <c r="B11" s="127">
        <f t="shared" si="1"/>
        <v>41399</v>
      </c>
      <c r="D11" s="139">
        <v>0.14000000000000001</v>
      </c>
      <c r="F11" s="135">
        <f t="shared" si="0"/>
        <v>159.810959</v>
      </c>
    </row>
    <row r="12" spans="1:14" hidden="1" x14ac:dyDescent="0.25">
      <c r="B12" s="127">
        <f t="shared" si="1"/>
        <v>41400</v>
      </c>
      <c r="D12" s="139">
        <v>0.14000000000000001</v>
      </c>
      <c r="F12" s="135">
        <f t="shared" si="0"/>
        <v>159.810959</v>
      </c>
    </row>
    <row r="13" spans="1:14" hidden="1" x14ac:dyDescent="0.25">
      <c r="B13" s="127">
        <f t="shared" si="1"/>
        <v>41401</v>
      </c>
      <c r="D13" s="139">
        <v>0.14000000000000001</v>
      </c>
      <c r="F13" s="135">
        <f t="shared" si="0"/>
        <v>159.810959</v>
      </c>
    </row>
    <row r="14" spans="1:14" hidden="1" x14ac:dyDescent="0.25">
      <c r="B14" s="127">
        <f t="shared" si="1"/>
        <v>41402</v>
      </c>
      <c r="D14" s="139">
        <v>0.222</v>
      </c>
      <c r="F14" s="135">
        <f t="shared" si="0"/>
        <v>253.41452100000001</v>
      </c>
    </row>
    <row r="15" spans="1:14" hidden="1" x14ac:dyDescent="0.25">
      <c r="B15" s="127">
        <f t="shared" si="1"/>
        <v>41403</v>
      </c>
      <c r="D15" s="139">
        <v>0.222</v>
      </c>
      <c r="F15" s="135">
        <f t="shared" si="0"/>
        <v>253.41452100000001</v>
      </c>
    </row>
    <row r="16" spans="1:14" hidden="1" x14ac:dyDescent="0.25">
      <c r="B16" s="127">
        <f t="shared" si="1"/>
        <v>41404</v>
      </c>
      <c r="D16" s="139">
        <v>0.222</v>
      </c>
      <c r="F16" s="135">
        <f t="shared" ref="F16:F79" si="2">ROUND(D16/100*$A$3/365,6)</f>
        <v>253.41452100000001</v>
      </c>
    </row>
    <row r="17" spans="2:6" hidden="1" x14ac:dyDescent="0.25">
      <c r="B17" s="127">
        <f t="shared" si="1"/>
        <v>41405</v>
      </c>
      <c r="D17" s="139">
        <v>0.222</v>
      </c>
      <c r="F17" s="135">
        <f t="shared" si="2"/>
        <v>253.41452100000001</v>
      </c>
    </row>
    <row r="18" spans="2:6" hidden="1" x14ac:dyDescent="0.25">
      <c r="B18" s="127">
        <f t="shared" si="1"/>
        <v>41406</v>
      </c>
      <c r="D18" s="139">
        <v>0.222</v>
      </c>
      <c r="F18" s="135">
        <f t="shared" si="2"/>
        <v>253.41452100000001</v>
      </c>
    </row>
    <row r="19" spans="2:6" hidden="1" x14ac:dyDescent="0.25">
      <c r="B19" s="127">
        <f t="shared" si="1"/>
        <v>41407</v>
      </c>
      <c r="D19" s="139">
        <v>0.222</v>
      </c>
      <c r="F19" s="135">
        <f t="shared" si="2"/>
        <v>253.41452100000001</v>
      </c>
    </row>
    <row r="20" spans="2:6" hidden="1" x14ac:dyDescent="0.25">
      <c r="B20" s="127">
        <f t="shared" si="1"/>
        <v>41408</v>
      </c>
      <c r="D20" s="139">
        <v>0.222</v>
      </c>
      <c r="F20" s="135">
        <f t="shared" si="2"/>
        <v>253.41452100000001</v>
      </c>
    </row>
    <row r="21" spans="2:6" hidden="1" x14ac:dyDescent="0.25">
      <c r="B21" s="127">
        <f t="shared" si="1"/>
        <v>41409</v>
      </c>
      <c r="D21" s="139">
        <v>0.222</v>
      </c>
      <c r="F21" s="135">
        <f t="shared" si="2"/>
        <v>253.41452100000001</v>
      </c>
    </row>
    <row r="22" spans="2:6" hidden="1" x14ac:dyDescent="0.25">
      <c r="B22" s="127">
        <f t="shared" si="1"/>
        <v>41410</v>
      </c>
      <c r="D22" s="139">
        <v>0.222</v>
      </c>
      <c r="F22" s="135">
        <f t="shared" si="2"/>
        <v>253.41452100000001</v>
      </c>
    </row>
    <row r="23" spans="2:6" hidden="1" x14ac:dyDescent="0.25">
      <c r="B23" s="127">
        <f t="shared" si="1"/>
        <v>41411</v>
      </c>
      <c r="D23" s="139">
        <v>0.222</v>
      </c>
      <c r="F23" s="135">
        <f t="shared" si="2"/>
        <v>253.41452100000001</v>
      </c>
    </row>
    <row r="24" spans="2:6" hidden="1" x14ac:dyDescent="0.25">
      <c r="B24" s="127">
        <f t="shared" si="1"/>
        <v>41412</v>
      </c>
      <c r="D24" s="139">
        <v>0.222</v>
      </c>
      <c r="F24" s="135">
        <f t="shared" si="2"/>
        <v>253.41452100000001</v>
      </c>
    </row>
    <row r="25" spans="2:6" hidden="1" x14ac:dyDescent="0.25">
      <c r="B25" s="127">
        <f t="shared" si="1"/>
        <v>41413</v>
      </c>
      <c r="D25" s="139">
        <v>0.222</v>
      </c>
      <c r="F25" s="135">
        <f t="shared" si="2"/>
        <v>253.41452100000001</v>
      </c>
    </row>
    <row r="26" spans="2:6" hidden="1" x14ac:dyDescent="0.25">
      <c r="B26" s="127">
        <f t="shared" si="1"/>
        <v>41414</v>
      </c>
      <c r="D26" s="139">
        <v>0.222</v>
      </c>
      <c r="F26" s="135">
        <f t="shared" si="2"/>
        <v>253.41452100000001</v>
      </c>
    </row>
    <row r="27" spans="2:6" hidden="1" x14ac:dyDescent="0.25">
      <c r="B27" s="127">
        <f t="shared" si="1"/>
        <v>41415</v>
      </c>
      <c r="D27" s="139">
        <v>0.222</v>
      </c>
      <c r="F27" s="135">
        <f t="shared" si="2"/>
        <v>253.41452100000001</v>
      </c>
    </row>
    <row r="28" spans="2:6" hidden="1" x14ac:dyDescent="0.25">
      <c r="B28" s="127">
        <f t="shared" si="1"/>
        <v>41416</v>
      </c>
      <c r="D28" s="139">
        <v>0.222</v>
      </c>
      <c r="F28" s="135">
        <f t="shared" si="2"/>
        <v>253.41452100000001</v>
      </c>
    </row>
    <row r="29" spans="2:6" hidden="1" x14ac:dyDescent="0.25">
      <c r="B29" s="127">
        <f t="shared" si="1"/>
        <v>41417</v>
      </c>
      <c r="D29" s="139">
        <v>0.222</v>
      </c>
      <c r="F29" s="135">
        <f t="shared" si="2"/>
        <v>253.41452100000001</v>
      </c>
    </row>
    <row r="30" spans="2:6" hidden="1" x14ac:dyDescent="0.25">
      <c r="B30" s="127">
        <f t="shared" si="1"/>
        <v>41418</v>
      </c>
      <c r="D30" s="139">
        <v>0.222</v>
      </c>
      <c r="F30" s="135">
        <f t="shared" si="2"/>
        <v>253.41452100000001</v>
      </c>
    </row>
    <row r="31" spans="2:6" hidden="1" x14ac:dyDescent="0.25">
      <c r="B31" s="127">
        <f t="shared" si="1"/>
        <v>41419</v>
      </c>
      <c r="D31" s="139">
        <v>0.222</v>
      </c>
      <c r="F31" s="135">
        <f t="shared" si="2"/>
        <v>253.41452100000001</v>
      </c>
    </row>
    <row r="32" spans="2:6" hidden="1" x14ac:dyDescent="0.25">
      <c r="B32" s="127">
        <f t="shared" si="1"/>
        <v>41420</v>
      </c>
      <c r="D32" s="139">
        <v>0.222</v>
      </c>
      <c r="F32" s="135">
        <f t="shared" si="2"/>
        <v>253.41452100000001</v>
      </c>
    </row>
    <row r="33" spans="1:11" hidden="1" x14ac:dyDescent="0.25">
      <c r="B33" s="127">
        <f t="shared" si="1"/>
        <v>41421</v>
      </c>
      <c r="D33" s="139">
        <v>0.222</v>
      </c>
      <c r="F33" s="135">
        <f t="shared" si="2"/>
        <v>253.41452100000001</v>
      </c>
    </row>
    <row r="34" spans="1:11" hidden="1" x14ac:dyDescent="0.25">
      <c r="B34" s="127">
        <f t="shared" si="1"/>
        <v>41422</v>
      </c>
      <c r="D34" s="139">
        <v>0.222</v>
      </c>
      <c r="F34" s="135">
        <f t="shared" si="2"/>
        <v>253.41452100000001</v>
      </c>
    </row>
    <row r="35" spans="1:11" hidden="1" x14ac:dyDescent="0.25">
      <c r="B35" s="127">
        <f t="shared" si="1"/>
        <v>41423</v>
      </c>
      <c r="D35" s="139">
        <v>0.222</v>
      </c>
      <c r="F35" s="135">
        <f t="shared" si="2"/>
        <v>253.41452100000001</v>
      </c>
    </row>
    <row r="36" spans="1:11" hidden="1" x14ac:dyDescent="0.25">
      <c r="B36" s="127">
        <f t="shared" si="1"/>
        <v>41424</v>
      </c>
      <c r="D36" s="139">
        <v>0.222</v>
      </c>
      <c r="F36" s="135">
        <f t="shared" si="2"/>
        <v>253.41452100000001</v>
      </c>
    </row>
    <row r="37" spans="1:11" hidden="1" x14ac:dyDescent="0.25">
      <c r="B37" s="127">
        <f t="shared" si="1"/>
        <v>41425</v>
      </c>
      <c r="D37" s="139">
        <v>0.222</v>
      </c>
      <c r="F37" s="135">
        <f t="shared" si="2"/>
        <v>253.41452100000001</v>
      </c>
      <c r="H37" s="136">
        <f>SUM(F7:F37)</f>
        <v>7200.6252169999971</v>
      </c>
      <c r="I37" s="140">
        <f>AVERAGE(D7:D37)</f>
        <v>0.20348387096774206</v>
      </c>
      <c r="J37" s="141">
        <f>AVERAGE(D7:D37)</f>
        <v>0.20348387096774206</v>
      </c>
      <c r="K37" s="142">
        <f>AVERAGE(D7:D37)</f>
        <v>0.20348387096774206</v>
      </c>
    </row>
    <row r="38" spans="1:11" hidden="1" x14ac:dyDescent="0.25">
      <c r="A38" s="126">
        <v>41426</v>
      </c>
      <c r="B38" s="127">
        <f t="shared" si="1"/>
        <v>41426</v>
      </c>
      <c r="D38" s="139">
        <v>0.222</v>
      </c>
      <c r="F38" s="135">
        <f t="shared" si="2"/>
        <v>253.41452100000001</v>
      </c>
    </row>
    <row r="39" spans="1:11" hidden="1" x14ac:dyDescent="0.25">
      <c r="B39" s="127">
        <f t="shared" si="1"/>
        <v>41427</v>
      </c>
      <c r="D39" s="139">
        <v>0.222</v>
      </c>
      <c r="F39" s="135">
        <f t="shared" si="2"/>
        <v>253.41452100000001</v>
      </c>
    </row>
    <row r="40" spans="1:11" hidden="1" x14ac:dyDescent="0.25">
      <c r="B40" s="127">
        <f t="shared" si="1"/>
        <v>41428</v>
      </c>
      <c r="D40" s="139">
        <v>0.222</v>
      </c>
      <c r="F40" s="135">
        <f t="shared" si="2"/>
        <v>253.41452100000001</v>
      </c>
    </row>
    <row r="41" spans="1:11" hidden="1" x14ac:dyDescent="0.25">
      <c r="B41" s="127">
        <f t="shared" si="1"/>
        <v>41429</v>
      </c>
      <c r="D41" s="139">
        <v>0.222</v>
      </c>
      <c r="F41" s="135">
        <f t="shared" si="2"/>
        <v>253.41452100000001</v>
      </c>
    </row>
    <row r="42" spans="1:11" hidden="1" x14ac:dyDescent="0.25">
      <c r="B42" s="127">
        <f t="shared" si="1"/>
        <v>41430</v>
      </c>
      <c r="D42" s="139">
        <v>0.222</v>
      </c>
      <c r="F42" s="135">
        <f t="shared" si="2"/>
        <v>253.41452100000001</v>
      </c>
    </row>
    <row r="43" spans="1:11" hidden="1" x14ac:dyDescent="0.25">
      <c r="B43" s="127">
        <f t="shared" si="1"/>
        <v>41431</v>
      </c>
      <c r="D43" s="139">
        <v>0.222</v>
      </c>
      <c r="F43" s="135">
        <f t="shared" si="2"/>
        <v>253.41452100000001</v>
      </c>
    </row>
    <row r="44" spans="1:11" hidden="1" x14ac:dyDescent="0.25">
      <c r="B44" s="127">
        <f t="shared" si="1"/>
        <v>41432</v>
      </c>
      <c r="D44" s="139">
        <v>0.222</v>
      </c>
      <c r="F44" s="135">
        <f t="shared" si="2"/>
        <v>253.41452100000001</v>
      </c>
    </row>
    <row r="45" spans="1:11" hidden="1" x14ac:dyDescent="0.25">
      <c r="B45" s="127">
        <f t="shared" si="1"/>
        <v>41433</v>
      </c>
      <c r="D45" s="139">
        <v>0.222</v>
      </c>
      <c r="F45" s="135">
        <f t="shared" si="2"/>
        <v>253.41452100000001</v>
      </c>
    </row>
    <row r="46" spans="1:11" hidden="1" x14ac:dyDescent="0.25">
      <c r="B46" s="127">
        <f t="shared" si="1"/>
        <v>41434</v>
      </c>
      <c r="D46" s="139">
        <v>0.222</v>
      </c>
      <c r="F46" s="135">
        <f t="shared" si="2"/>
        <v>253.41452100000001</v>
      </c>
    </row>
    <row r="47" spans="1:11" hidden="1" x14ac:dyDescent="0.25">
      <c r="B47" s="127">
        <f t="shared" si="1"/>
        <v>41435</v>
      </c>
      <c r="D47" s="139">
        <v>0.222</v>
      </c>
      <c r="F47" s="135">
        <f t="shared" si="2"/>
        <v>253.41452100000001</v>
      </c>
    </row>
    <row r="48" spans="1:11" hidden="1" x14ac:dyDescent="0.25">
      <c r="B48" s="127">
        <f t="shared" si="1"/>
        <v>41436</v>
      </c>
      <c r="D48" s="139">
        <v>0.222</v>
      </c>
      <c r="F48" s="135">
        <f t="shared" si="2"/>
        <v>253.41452100000001</v>
      </c>
    </row>
    <row r="49" spans="2:6" hidden="1" x14ac:dyDescent="0.25">
      <c r="B49" s="127">
        <f t="shared" si="1"/>
        <v>41437</v>
      </c>
      <c r="D49" s="139">
        <v>0.14000000000000001</v>
      </c>
      <c r="F49" s="135">
        <f t="shared" si="2"/>
        <v>159.810959</v>
      </c>
    </row>
    <row r="50" spans="2:6" hidden="1" x14ac:dyDescent="0.25">
      <c r="B50" s="127">
        <f t="shared" si="1"/>
        <v>41438</v>
      </c>
      <c r="D50" s="139">
        <v>0.14000000000000001</v>
      </c>
      <c r="F50" s="135">
        <f t="shared" si="2"/>
        <v>159.810959</v>
      </c>
    </row>
    <row r="51" spans="2:6" hidden="1" x14ac:dyDescent="0.25">
      <c r="B51" s="127">
        <f t="shared" si="1"/>
        <v>41439</v>
      </c>
      <c r="D51" s="139">
        <v>0.14000000000000001</v>
      </c>
      <c r="F51" s="135">
        <f t="shared" si="2"/>
        <v>159.810959</v>
      </c>
    </row>
    <row r="52" spans="2:6" hidden="1" x14ac:dyDescent="0.25">
      <c r="B52" s="127">
        <f t="shared" si="1"/>
        <v>41440</v>
      </c>
      <c r="D52" s="139">
        <v>0.14000000000000001</v>
      </c>
      <c r="F52" s="135">
        <f t="shared" si="2"/>
        <v>159.810959</v>
      </c>
    </row>
    <row r="53" spans="2:6" hidden="1" x14ac:dyDescent="0.25">
      <c r="B53" s="127">
        <f t="shared" si="1"/>
        <v>41441</v>
      </c>
      <c r="D53" s="139">
        <v>0.14000000000000001</v>
      </c>
      <c r="F53" s="135">
        <f t="shared" si="2"/>
        <v>159.810959</v>
      </c>
    </row>
    <row r="54" spans="2:6" hidden="1" x14ac:dyDescent="0.25">
      <c r="B54" s="127">
        <f t="shared" si="1"/>
        <v>41442</v>
      </c>
      <c r="D54" s="139">
        <v>0.14000000000000001</v>
      </c>
      <c r="F54" s="135">
        <f t="shared" si="2"/>
        <v>159.810959</v>
      </c>
    </row>
    <row r="55" spans="2:6" hidden="1" x14ac:dyDescent="0.25">
      <c r="B55" s="127">
        <f t="shared" si="1"/>
        <v>41443</v>
      </c>
      <c r="D55" s="139">
        <v>0.14000000000000001</v>
      </c>
      <c r="F55" s="135">
        <f t="shared" si="2"/>
        <v>159.810959</v>
      </c>
    </row>
    <row r="56" spans="2:6" hidden="1" x14ac:dyDescent="0.25">
      <c r="B56" s="127">
        <f t="shared" si="1"/>
        <v>41444</v>
      </c>
      <c r="D56" s="139">
        <v>0.14000000000000001</v>
      </c>
      <c r="F56" s="135">
        <f t="shared" si="2"/>
        <v>159.810959</v>
      </c>
    </row>
    <row r="57" spans="2:6" hidden="1" x14ac:dyDescent="0.25">
      <c r="B57" s="127">
        <f t="shared" si="1"/>
        <v>41445</v>
      </c>
      <c r="D57" s="139">
        <v>0.14000000000000001</v>
      </c>
      <c r="F57" s="135">
        <f t="shared" si="2"/>
        <v>159.810959</v>
      </c>
    </row>
    <row r="58" spans="2:6" hidden="1" x14ac:dyDescent="0.25">
      <c r="B58" s="127">
        <f t="shared" si="1"/>
        <v>41446</v>
      </c>
      <c r="D58" s="139">
        <v>0.14000000000000001</v>
      </c>
      <c r="F58" s="135">
        <f t="shared" si="2"/>
        <v>159.810959</v>
      </c>
    </row>
    <row r="59" spans="2:6" hidden="1" x14ac:dyDescent="0.25">
      <c r="B59" s="127">
        <f t="shared" si="1"/>
        <v>41447</v>
      </c>
      <c r="D59" s="139">
        <v>0.14000000000000001</v>
      </c>
      <c r="F59" s="135">
        <f t="shared" si="2"/>
        <v>159.810959</v>
      </c>
    </row>
    <row r="60" spans="2:6" hidden="1" x14ac:dyDescent="0.25">
      <c r="B60" s="127">
        <f t="shared" si="1"/>
        <v>41448</v>
      </c>
      <c r="D60" s="139">
        <v>0.14000000000000001</v>
      </c>
      <c r="F60" s="135">
        <f t="shared" si="2"/>
        <v>159.810959</v>
      </c>
    </row>
    <row r="61" spans="2:6" hidden="1" x14ac:dyDescent="0.25">
      <c r="B61" s="127">
        <f t="shared" si="1"/>
        <v>41449</v>
      </c>
      <c r="D61" s="139">
        <v>0.14000000000000001</v>
      </c>
      <c r="F61" s="135">
        <f t="shared" si="2"/>
        <v>159.810959</v>
      </c>
    </row>
    <row r="62" spans="2:6" hidden="1" x14ac:dyDescent="0.25">
      <c r="B62" s="127">
        <f t="shared" si="1"/>
        <v>41450</v>
      </c>
      <c r="D62" s="139">
        <v>0.14000000000000001</v>
      </c>
      <c r="F62" s="135">
        <f t="shared" si="2"/>
        <v>159.810959</v>
      </c>
    </row>
    <row r="63" spans="2:6" hidden="1" x14ac:dyDescent="0.25">
      <c r="B63" s="127">
        <f t="shared" si="1"/>
        <v>41451</v>
      </c>
      <c r="D63" s="139">
        <v>0.14000000000000001</v>
      </c>
      <c r="F63" s="135">
        <f t="shared" si="2"/>
        <v>159.810959</v>
      </c>
    </row>
    <row r="64" spans="2:6" hidden="1" x14ac:dyDescent="0.25">
      <c r="B64" s="127">
        <f t="shared" si="1"/>
        <v>41452</v>
      </c>
      <c r="D64" s="139">
        <v>0.14000000000000001</v>
      </c>
      <c r="F64" s="135">
        <f t="shared" si="2"/>
        <v>159.810959</v>
      </c>
    </row>
    <row r="65" spans="1:11" hidden="1" x14ac:dyDescent="0.25">
      <c r="B65" s="127">
        <f t="shared" si="1"/>
        <v>41453</v>
      </c>
      <c r="D65" s="139">
        <v>0.14000000000000001</v>
      </c>
      <c r="F65" s="135">
        <f t="shared" si="2"/>
        <v>159.810959</v>
      </c>
    </row>
    <row r="66" spans="1:11" hidden="1" x14ac:dyDescent="0.25">
      <c r="B66" s="127">
        <f t="shared" si="1"/>
        <v>41454</v>
      </c>
      <c r="D66" s="139">
        <v>0.14000000000000001</v>
      </c>
      <c r="F66" s="135">
        <f t="shared" si="2"/>
        <v>159.810959</v>
      </c>
    </row>
    <row r="67" spans="1:11" hidden="1" x14ac:dyDescent="0.25">
      <c r="B67" s="127">
        <f t="shared" ref="B67:B130" si="3">B66+1</f>
        <v>41455</v>
      </c>
      <c r="D67" s="139">
        <v>0.14000000000000001</v>
      </c>
      <c r="F67" s="135">
        <f t="shared" si="2"/>
        <v>159.810959</v>
      </c>
      <c r="H67" s="136">
        <f>SUM(F38:F67)</f>
        <v>5823.9679520000036</v>
      </c>
      <c r="I67" s="140">
        <f>AVERAGE(D38:D67)</f>
        <v>0.17006666666666664</v>
      </c>
      <c r="J67" s="141">
        <f>AVERAGE(D7:D67)</f>
        <v>0.18704918032786913</v>
      </c>
      <c r="K67" s="142">
        <f>AVERAGE(D7:D67)</f>
        <v>0.18704918032786913</v>
      </c>
    </row>
    <row r="68" spans="1:11" hidden="1" x14ac:dyDescent="0.25">
      <c r="A68" s="126">
        <v>41456</v>
      </c>
      <c r="B68" s="127">
        <f t="shared" si="3"/>
        <v>41456</v>
      </c>
      <c r="D68" s="139">
        <v>0.14000000000000001</v>
      </c>
      <c r="F68" s="135">
        <f t="shared" si="2"/>
        <v>159.810959</v>
      </c>
    </row>
    <row r="69" spans="1:11" hidden="1" x14ac:dyDescent="0.25">
      <c r="B69" s="127">
        <f t="shared" si="3"/>
        <v>41457</v>
      </c>
      <c r="D69" s="139">
        <v>0.14000000000000001</v>
      </c>
      <c r="F69" s="135">
        <f t="shared" si="2"/>
        <v>159.810959</v>
      </c>
    </row>
    <row r="70" spans="1:11" hidden="1" x14ac:dyDescent="0.25">
      <c r="B70" s="127">
        <f t="shared" si="3"/>
        <v>41458</v>
      </c>
      <c r="D70" s="139">
        <v>0.14000000000000001</v>
      </c>
      <c r="F70" s="135">
        <f t="shared" si="2"/>
        <v>159.810959</v>
      </c>
    </row>
    <row r="71" spans="1:11" hidden="1" x14ac:dyDescent="0.25">
      <c r="B71" s="127">
        <f t="shared" si="3"/>
        <v>41459</v>
      </c>
      <c r="D71" s="139">
        <v>0.14000000000000001</v>
      </c>
      <c r="F71" s="135">
        <f t="shared" si="2"/>
        <v>159.810959</v>
      </c>
    </row>
    <row r="72" spans="1:11" hidden="1" x14ac:dyDescent="0.25">
      <c r="B72" s="127">
        <f t="shared" si="3"/>
        <v>41460</v>
      </c>
      <c r="D72" s="139">
        <v>0.14000000000000001</v>
      </c>
      <c r="F72" s="135">
        <f t="shared" si="2"/>
        <v>159.810959</v>
      </c>
    </row>
    <row r="73" spans="1:11" hidden="1" x14ac:dyDescent="0.25">
      <c r="B73" s="127">
        <f t="shared" si="3"/>
        <v>41461</v>
      </c>
      <c r="D73" s="139">
        <v>0.14000000000000001</v>
      </c>
      <c r="F73" s="135">
        <f t="shared" si="2"/>
        <v>159.810959</v>
      </c>
    </row>
    <row r="74" spans="1:11" hidden="1" x14ac:dyDescent="0.25">
      <c r="B74" s="127">
        <f t="shared" si="3"/>
        <v>41462</v>
      </c>
      <c r="D74" s="139">
        <v>0.14000000000000001</v>
      </c>
      <c r="F74" s="135">
        <f t="shared" si="2"/>
        <v>159.810959</v>
      </c>
    </row>
    <row r="75" spans="1:11" hidden="1" x14ac:dyDescent="0.25">
      <c r="B75" s="127">
        <f t="shared" si="3"/>
        <v>41463</v>
      </c>
      <c r="D75" s="139">
        <v>0.14000000000000001</v>
      </c>
      <c r="F75" s="135">
        <f t="shared" si="2"/>
        <v>159.810959</v>
      </c>
    </row>
    <row r="76" spans="1:11" hidden="1" x14ac:dyDescent="0.25">
      <c r="B76" s="127">
        <f t="shared" si="3"/>
        <v>41464</v>
      </c>
      <c r="D76" s="139">
        <v>0.14000000000000001</v>
      </c>
      <c r="F76" s="135">
        <f t="shared" si="2"/>
        <v>159.810959</v>
      </c>
    </row>
    <row r="77" spans="1:11" hidden="1" x14ac:dyDescent="0.25">
      <c r="B77" s="127">
        <f t="shared" si="3"/>
        <v>41465</v>
      </c>
      <c r="D77" s="139">
        <v>0.14000000000000001</v>
      </c>
      <c r="F77" s="135">
        <f t="shared" si="2"/>
        <v>159.810959</v>
      </c>
    </row>
    <row r="78" spans="1:11" hidden="1" x14ac:dyDescent="0.25">
      <c r="B78" s="127">
        <f t="shared" si="3"/>
        <v>41466</v>
      </c>
      <c r="D78" s="139">
        <v>0.14000000000000001</v>
      </c>
      <c r="F78" s="135">
        <f t="shared" si="2"/>
        <v>159.810959</v>
      </c>
    </row>
    <row r="79" spans="1:11" hidden="1" x14ac:dyDescent="0.25">
      <c r="B79" s="127">
        <f t="shared" si="3"/>
        <v>41467</v>
      </c>
      <c r="D79" s="139">
        <v>0.14000000000000001</v>
      </c>
      <c r="F79" s="135">
        <f t="shared" si="2"/>
        <v>159.810959</v>
      </c>
    </row>
    <row r="80" spans="1:11" hidden="1" x14ac:dyDescent="0.25">
      <c r="B80" s="127">
        <f t="shared" si="3"/>
        <v>41468</v>
      </c>
      <c r="D80" s="139">
        <v>0.14000000000000001</v>
      </c>
      <c r="F80" s="135">
        <f t="shared" ref="F80:F143" si="4">ROUND(D80/100*$A$3/365,6)</f>
        <v>159.810959</v>
      </c>
    </row>
    <row r="81" spans="2:6" hidden="1" x14ac:dyDescent="0.25">
      <c r="B81" s="127">
        <f t="shared" si="3"/>
        <v>41469</v>
      </c>
      <c r="D81" s="139">
        <v>0.14000000000000001</v>
      </c>
      <c r="F81" s="135">
        <f t="shared" si="4"/>
        <v>159.810959</v>
      </c>
    </row>
    <row r="82" spans="2:6" hidden="1" x14ac:dyDescent="0.25">
      <c r="B82" s="127">
        <f t="shared" si="3"/>
        <v>41470</v>
      </c>
      <c r="D82" s="139">
        <v>0.14000000000000001</v>
      </c>
      <c r="F82" s="135">
        <f t="shared" si="4"/>
        <v>159.810959</v>
      </c>
    </row>
    <row r="83" spans="2:6" hidden="1" x14ac:dyDescent="0.25">
      <c r="B83" s="127">
        <f t="shared" si="3"/>
        <v>41471</v>
      </c>
      <c r="D83" s="139">
        <v>0.14000000000000001</v>
      </c>
      <c r="F83" s="135">
        <f t="shared" si="4"/>
        <v>159.810959</v>
      </c>
    </row>
    <row r="84" spans="2:6" hidden="1" x14ac:dyDescent="0.25">
      <c r="B84" s="127">
        <f t="shared" si="3"/>
        <v>41472</v>
      </c>
      <c r="D84" s="139">
        <v>0.16</v>
      </c>
      <c r="F84" s="135">
        <f t="shared" si="4"/>
        <v>182.641096</v>
      </c>
    </row>
    <row r="85" spans="2:6" hidden="1" x14ac:dyDescent="0.25">
      <c r="B85" s="127">
        <f t="shared" si="3"/>
        <v>41473</v>
      </c>
      <c r="D85" s="139">
        <v>0.16</v>
      </c>
      <c r="F85" s="135">
        <f t="shared" si="4"/>
        <v>182.641096</v>
      </c>
    </row>
    <row r="86" spans="2:6" hidden="1" x14ac:dyDescent="0.25">
      <c r="B86" s="127">
        <f t="shared" si="3"/>
        <v>41474</v>
      </c>
      <c r="D86" s="139">
        <v>0.16</v>
      </c>
      <c r="F86" s="135">
        <f t="shared" si="4"/>
        <v>182.641096</v>
      </c>
    </row>
    <row r="87" spans="2:6" hidden="1" x14ac:dyDescent="0.25">
      <c r="B87" s="127">
        <f t="shared" si="3"/>
        <v>41475</v>
      </c>
      <c r="D87" s="139">
        <v>0.16</v>
      </c>
      <c r="F87" s="135">
        <f t="shared" si="4"/>
        <v>182.641096</v>
      </c>
    </row>
    <row r="88" spans="2:6" hidden="1" x14ac:dyDescent="0.25">
      <c r="B88" s="127">
        <f t="shared" si="3"/>
        <v>41476</v>
      </c>
      <c r="D88" s="139">
        <v>0.16</v>
      </c>
      <c r="F88" s="135">
        <f t="shared" si="4"/>
        <v>182.641096</v>
      </c>
    </row>
    <row r="89" spans="2:6" hidden="1" x14ac:dyDescent="0.25">
      <c r="B89" s="127">
        <f t="shared" si="3"/>
        <v>41477</v>
      </c>
      <c r="D89" s="139">
        <v>0.16</v>
      </c>
      <c r="F89" s="135">
        <f t="shared" si="4"/>
        <v>182.641096</v>
      </c>
    </row>
    <row r="90" spans="2:6" hidden="1" x14ac:dyDescent="0.25">
      <c r="B90" s="127">
        <f t="shared" si="3"/>
        <v>41478</v>
      </c>
      <c r="D90" s="139">
        <v>0.16</v>
      </c>
      <c r="F90" s="135">
        <f t="shared" si="4"/>
        <v>182.641096</v>
      </c>
    </row>
    <row r="91" spans="2:6" hidden="1" x14ac:dyDescent="0.25">
      <c r="B91" s="127">
        <f t="shared" si="3"/>
        <v>41479</v>
      </c>
      <c r="D91" s="139">
        <v>0.16</v>
      </c>
      <c r="F91" s="135">
        <f t="shared" si="4"/>
        <v>182.641096</v>
      </c>
    </row>
    <row r="92" spans="2:6" hidden="1" x14ac:dyDescent="0.25">
      <c r="B92" s="127">
        <f t="shared" si="3"/>
        <v>41480</v>
      </c>
      <c r="D92" s="139">
        <v>0.16</v>
      </c>
      <c r="F92" s="135">
        <f t="shared" si="4"/>
        <v>182.641096</v>
      </c>
    </row>
    <row r="93" spans="2:6" hidden="1" x14ac:dyDescent="0.25">
      <c r="B93" s="127">
        <f t="shared" si="3"/>
        <v>41481</v>
      </c>
      <c r="D93" s="139">
        <v>0.16</v>
      </c>
      <c r="F93" s="135">
        <f t="shared" si="4"/>
        <v>182.641096</v>
      </c>
    </row>
    <row r="94" spans="2:6" hidden="1" x14ac:dyDescent="0.25">
      <c r="B94" s="127">
        <f t="shared" si="3"/>
        <v>41482</v>
      </c>
      <c r="D94" s="139">
        <v>0.16</v>
      </c>
      <c r="F94" s="135">
        <f t="shared" si="4"/>
        <v>182.641096</v>
      </c>
    </row>
    <row r="95" spans="2:6" hidden="1" x14ac:dyDescent="0.25">
      <c r="B95" s="127">
        <f t="shared" si="3"/>
        <v>41483</v>
      </c>
      <c r="D95" s="139">
        <v>0.16</v>
      </c>
      <c r="F95" s="135">
        <f t="shared" si="4"/>
        <v>182.641096</v>
      </c>
    </row>
    <row r="96" spans="2:6" hidden="1" x14ac:dyDescent="0.25">
      <c r="B96" s="127">
        <f t="shared" si="3"/>
        <v>41484</v>
      </c>
      <c r="D96" s="139">
        <v>0.16</v>
      </c>
      <c r="F96" s="135">
        <f t="shared" si="4"/>
        <v>182.641096</v>
      </c>
    </row>
    <row r="97" spans="1:11" hidden="1" x14ac:dyDescent="0.25">
      <c r="B97" s="127">
        <f t="shared" si="3"/>
        <v>41485</v>
      </c>
      <c r="D97" s="139">
        <v>0.16</v>
      </c>
      <c r="F97" s="135">
        <f t="shared" si="4"/>
        <v>182.641096</v>
      </c>
    </row>
    <row r="98" spans="1:11" hidden="1" x14ac:dyDescent="0.25">
      <c r="B98" s="127">
        <f t="shared" si="3"/>
        <v>41486</v>
      </c>
      <c r="D98" s="139">
        <v>0.16</v>
      </c>
      <c r="F98" s="135">
        <f t="shared" si="4"/>
        <v>182.641096</v>
      </c>
      <c r="H98" s="136">
        <f>SUM(F68:F98)</f>
        <v>5296.5917840000002</v>
      </c>
      <c r="I98" s="140">
        <f>AVERAGE(D68:D98)</f>
        <v>0.1496774193548388</v>
      </c>
      <c r="J98" s="141">
        <f>AVERAGE(D7:D98)</f>
        <v>0.1744565217391307</v>
      </c>
      <c r="K98" s="142">
        <f>AVERAGE(D7:D98)</f>
        <v>0.1744565217391307</v>
      </c>
    </row>
    <row r="99" spans="1:11" hidden="1" x14ac:dyDescent="0.25">
      <c r="A99" s="126">
        <v>41487</v>
      </c>
      <c r="B99" s="127">
        <f t="shared" si="3"/>
        <v>41487</v>
      </c>
      <c r="D99" s="139">
        <v>0.16</v>
      </c>
      <c r="F99" s="135">
        <f t="shared" si="4"/>
        <v>182.641096</v>
      </c>
    </row>
    <row r="100" spans="1:11" hidden="1" x14ac:dyDescent="0.25">
      <c r="B100" s="127">
        <f t="shared" si="3"/>
        <v>41488</v>
      </c>
      <c r="D100" s="139">
        <v>0.16</v>
      </c>
      <c r="F100" s="135">
        <f t="shared" si="4"/>
        <v>182.641096</v>
      </c>
    </row>
    <row r="101" spans="1:11" hidden="1" x14ac:dyDescent="0.25">
      <c r="B101" s="127">
        <f t="shared" si="3"/>
        <v>41489</v>
      </c>
      <c r="D101" s="139">
        <v>0.16</v>
      </c>
      <c r="F101" s="135">
        <f t="shared" si="4"/>
        <v>182.641096</v>
      </c>
    </row>
    <row r="102" spans="1:11" hidden="1" x14ac:dyDescent="0.25">
      <c r="B102" s="127">
        <f t="shared" si="3"/>
        <v>41490</v>
      </c>
      <c r="D102" s="139">
        <v>0.16</v>
      </c>
      <c r="F102" s="135">
        <f t="shared" si="4"/>
        <v>182.641096</v>
      </c>
    </row>
    <row r="103" spans="1:11" hidden="1" x14ac:dyDescent="0.25">
      <c r="B103" s="127">
        <f t="shared" si="3"/>
        <v>41491</v>
      </c>
      <c r="D103" s="139">
        <v>0.16</v>
      </c>
      <c r="F103" s="135">
        <f t="shared" si="4"/>
        <v>182.641096</v>
      </c>
    </row>
    <row r="104" spans="1:11" hidden="1" x14ac:dyDescent="0.25">
      <c r="B104" s="127">
        <f t="shared" si="3"/>
        <v>41492</v>
      </c>
      <c r="D104" s="139">
        <v>0.16</v>
      </c>
      <c r="F104" s="135">
        <f t="shared" si="4"/>
        <v>182.641096</v>
      </c>
    </row>
    <row r="105" spans="1:11" hidden="1" x14ac:dyDescent="0.25">
      <c r="B105" s="127">
        <f t="shared" si="3"/>
        <v>41493</v>
      </c>
      <c r="D105" s="139">
        <v>0.16</v>
      </c>
      <c r="F105" s="135">
        <f t="shared" si="4"/>
        <v>182.641096</v>
      </c>
    </row>
    <row r="106" spans="1:11" hidden="1" x14ac:dyDescent="0.25">
      <c r="B106" s="127">
        <f t="shared" si="3"/>
        <v>41494</v>
      </c>
      <c r="D106" s="139">
        <v>0.16</v>
      </c>
      <c r="F106" s="135">
        <f t="shared" si="4"/>
        <v>182.641096</v>
      </c>
    </row>
    <row r="107" spans="1:11" hidden="1" x14ac:dyDescent="0.25">
      <c r="B107" s="127">
        <f t="shared" si="3"/>
        <v>41495</v>
      </c>
      <c r="D107" s="139">
        <v>0.16</v>
      </c>
      <c r="F107" s="135">
        <f t="shared" si="4"/>
        <v>182.641096</v>
      </c>
    </row>
    <row r="108" spans="1:11" hidden="1" x14ac:dyDescent="0.25">
      <c r="B108" s="127">
        <f t="shared" si="3"/>
        <v>41496</v>
      </c>
      <c r="D108" s="139">
        <v>0.16</v>
      </c>
      <c r="F108" s="135">
        <f t="shared" si="4"/>
        <v>182.641096</v>
      </c>
    </row>
    <row r="109" spans="1:11" hidden="1" x14ac:dyDescent="0.25">
      <c r="B109" s="127">
        <f t="shared" si="3"/>
        <v>41497</v>
      </c>
      <c r="D109" s="139">
        <v>0.16</v>
      </c>
      <c r="F109" s="135">
        <f t="shared" si="4"/>
        <v>182.641096</v>
      </c>
    </row>
    <row r="110" spans="1:11" hidden="1" x14ac:dyDescent="0.25">
      <c r="B110" s="127">
        <f t="shared" si="3"/>
        <v>41498</v>
      </c>
      <c r="D110" s="139">
        <v>0.16</v>
      </c>
      <c r="F110" s="135">
        <f t="shared" si="4"/>
        <v>182.641096</v>
      </c>
    </row>
    <row r="111" spans="1:11" hidden="1" x14ac:dyDescent="0.25">
      <c r="B111" s="127">
        <f t="shared" si="3"/>
        <v>41499</v>
      </c>
      <c r="D111" s="139">
        <v>0.16</v>
      </c>
      <c r="F111" s="135">
        <f t="shared" si="4"/>
        <v>182.641096</v>
      </c>
    </row>
    <row r="112" spans="1:11" hidden="1" x14ac:dyDescent="0.25">
      <c r="B112" s="127">
        <f t="shared" si="3"/>
        <v>41500</v>
      </c>
      <c r="D112" s="139">
        <v>0.16</v>
      </c>
      <c r="F112" s="135">
        <f t="shared" si="4"/>
        <v>182.641096</v>
      </c>
    </row>
    <row r="113" spans="2:6" hidden="1" x14ac:dyDescent="0.25">
      <c r="B113" s="127">
        <f t="shared" si="3"/>
        <v>41501</v>
      </c>
      <c r="D113" s="139">
        <v>0.16</v>
      </c>
      <c r="F113" s="135">
        <f t="shared" si="4"/>
        <v>182.641096</v>
      </c>
    </row>
    <row r="114" spans="2:6" hidden="1" x14ac:dyDescent="0.25">
      <c r="B114" s="127">
        <f t="shared" si="3"/>
        <v>41502</v>
      </c>
      <c r="D114" s="139">
        <v>0.16</v>
      </c>
      <c r="F114" s="135">
        <f t="shared" si="4"/>
        <v>182.641096</v>
      </c>
    </row>
    <row r="115" spans="2:6" hidden="1" x14ac:dyDescent="0.25">
      <c r="B115" s="127">
        <f t="shared" si="3"/>
        <v>41503</v>
      </c>
      <c r="D115" s="139">
        <v>0.16</v>
      </c>
      <c r="F115" s="135">
        <f t="shared" si="4"/>
        <v>182.641096</v>
      </c>
    </row>
    <row r="116" spans="2:6" hidden="1" x14ac:dyDescent="0.25">
      <c r="B116" s="127">
        <f t="shared" si="3"/>
        <v>41504</v>
      </c>
      <c r="D116" s="139">
        <v>0.16</v>
      </c>
      <c r="F116" s="135">
        <f t="shared" si="4"/>
        <v>182.641096</v>
      </c>
    </row>
    <row r="117" spans="2:6" hidden="1" x14ac:dyDescent="0.25">
      <c r="B117" s="127">
        <f t="shared" si="3"/>
        <v>41505</v>
      </c>
      <c r="D117" s="139">
        <v>0.16</v>
      </c>
      <c r="F117" s="135">
        <f t="shared" si="4"/>
        <v>182.641096</v>
      </c>
    </row>
    <row r="118" spans="2:6" hidden="1" x14ac:dyDescent="0.25">
      <c r="B118" s="127">
        <f t="shared" si="3"/>
        <v>41506</v>
      </c>
      <c r="D118" s="139">
        <v>0.16</v>
      </c>
      <c r="F118" s="135">
        <f t="shared" si="4"/>
        <v>182.641096</v>
      </c>
    </row>
    <row r="119" spans="2:6" hidden="1" x14ac:dyDescent="0.25">
      <c r="B119" s="127">
        <f t="shared" si="3"/>
        <v>41507</v>
      </c>
      <c r="D119" s="139">
        <v>0.18</v>
      </c>
      <c r="F119" s="135">
        <f t="shared" si="4"/>
        <v>205.47123300000001</v>
      </c>
    </row>
    <row r="120" spans="2:6" hidden="1" x14ac:dyDescent="0.25">
      <c r="B120" s="127">
        <f t="shared" si="3"/>
        <v>41508</v>
      </c>
      <c r="D120" s="139">
        <v>0.18</v>
      </c>
      <c r="F120" s="135">
        <f t="shared" si="4"/>
        <v>205.47123300000001</v>
      </c>
    </row>
    <row r="121" spans="2:6" hidden="1" x14ac:dyDescent="0.25">
      <c r="B121" s="127">
        <f t="shared" si="3"/>
        <v>41509</v>
      </c>
      <c r="D121" s="139">
        <v>0.18</v>
      </c>
      <c r="F121" s="135">
        <f t="shared" si="4"/>
        <v>205.47123300000001</v>
      </c>
    </row>
    <row r="122" spans="2:6" hidden="1" x14ac:dyDescent="0.25">
      <c r="B122" s="127">
        <f t="shared" si="3"/>
        <v>41510</v>
      </c>
      <c r="D122" s="139">
        <v>0.18</v>
      </c>
      <c r="F122" s="135">
        <f t="shared" si="4"/>
        <v>205.47123300000001</v>
      </c>
    </row>
    <row r="123" spans="2:6" hidden="1" x14ac:dyDescent="0.25">
      <c r="B123" s="127">
        <f t="shared" si="3"/>
        <v>41511</v>
      </c>
      <c r="D123" s="139">
        <v>0.18</v>
      </c>
      <c r="F123" s="135">
        <f t="shared" si="4"/>
        <v>205.47123300000001</v>
      </c>
    </row>
    <row r="124" spans="2:6" hidden="1" x14ac:dyDescent="0.25">
      <c r="B124" s="127">
        <f t="shared" si="3"/>
        <v>41512</v>
      </c>
      <c r="D124" s="139">
        <v>0.18</v>
      </c>
      <c r="F124" s="135">
        <f t="shared" si="4"/>
        <v>205.47123300000001</v>
      </c>
    </row>
    <row r="125" spans="2:6" hidden="1" x14ac:dyDescent="0.25">
      <c r="B125" s="127">
        <f t="shared" si="3"/>
        <v>41513</v>
      </c>
      <c r="D125" s="139">
        <v>0.18</v>
      </c>
      <c r="F125" s="135">
        <f t="shared" si="4"/>
        <v>205.47123300000001</v>
      </c>
    </row>
    <row r="126" spans="2:6" hidden="1" x14ac:dyDescent="0.25">
      <c r="B126" s="127">
        <f t="shared" si="3"/>
        <v>41514</v>
      </c>
      <c r="D126" s="139">
        <v>0.18</v>
      </c>
      <c r="F126" s="135">
        <f t="shared" si="4"/>
        <v>205.47123300000001</v>
      </c>
    </row>
    <row r="127" spans="2:6" hidden="1" x14ac:dyDescent="0.25">
      <c r="B127" s="127">
        <f t="shared" si="3"/>
        <v>41515</v>
      </c>
      <c r="D127" s="139">
        <v>0.18</v>
      </c>
      <c r="F127" s="135">
        <f t="shared" si="4"/>
        <v>205.47123300000001</v>
      </c>
    </row>
    <row r="128" spans="2:6" hidden="1" x14ac:dyDescent="0.25">
      <c r="B128" s="127">
        <f t="shared" si="3"/>
        <v>41516</v>
      </c>
      <c r="D128" s="139">
        <v>0.18</v>
      </c>
      <c r="F128" s="135">
        <f t="shared" si="4"/>
        <v>205.47123300000001</v>
      </c>
    </row>
    <row r="129" spans="1:11" hidden="1" x14ac:dyDescent="0.25">
      <c r="B129" s="127">
        <f t="shared" si="3"/>
        <v>41517</v>
      </c>
      <c r="D129" s="139">
        <v>0.18</v>
      </c>
      <c r="F129" s="135">
        <f t="shared" si="4"/>
        <v>205.47123300000001</v>
      </c>
      <c r="H129" s="136">
        <f>SUM(F99:F129)</f>
        <v>5913.0054830000008</v>
      </c>
      <c r="I129" s="140">
        <f>AVERAGE(D99:D129)</f>
        <v>0.16709677419354838</v>
      </c>
      <c r="J129" s="141">
        <f>AVERAGE(D7:D129)</f>
        <v>0.17260162601626036</v>
      </c>
      <c r="K129" s="142">
        <f>AVERAGE(D7:D129)</f>
        <v>0.17260162601626036</v>
      </c>
    </row>
    <row r="130" spans="1:11" hidden="1" x14ac:dyDescent="0.25">
      <c r="A130" s="126">
        <v>41518</v>
      </c>
      <c r="B130" s="127">
        <f t="shared" si="3"/>
        <v>41518</v>
      </c>
      <c r="D130" s="139">
        <v>0.18</v>
      </c>
      <c r="F130" s="135">
        <f t="shared" si="4"/>
        <v>205.47123300000001</v>
      </c>
    </row>
    <row r="131" spans="1:11" hidden="1" x14ac:dyDescent="0.25">
      <c r="B131" s="127">
        <f t="shared" ref="B131:B190" si="5">B130+1</f>
        <v>41519</v>
      </c>
      <c r="D131" s="139">
        <v>0.18</v>
      </c>
      <c r="F131" s="135">
        <f t="shared" si="4"/>
        <v>205.47123300000001</v>
      </c>
    </row>
    <row r="132" spans="1:11" hidden="1" x14ac:dyDescent="0.25">
      <c r="B132" s="127">
        <f t="shared" si="5"/>
        <v>41520</v>
      </c>
      <c r="D132" s="139">
        <v>0.18</v>
      </c>
      <c r="F132" s="135">
        <f t="shared" si="4"/>
        <v>205.47123300000001</v>
      </c>
    </row>
    <row r="133" spans="1:11" hidden="1" x14ac:dyDescent="0.25">
      <c r="B133" s="127">
        <f t="shared" si="5"/>
        <v>41521</v>
      </c>
      <c r="D133" s="139">
        <v>0.18</v>
      </c>
      <c r="F133" s="135">
        <f t="shared" si="4"/>
        <v>205.47123300000001</v>
      </c>
    </row>
    <row r="134" spans="1:11" hidden="1" x14ac:dyDescent="0.25">
      <c r="B134" s="127">
        <f t="shared" si="5"/>
        <v>41522</v>
      </c>
      <c r="D134" s="139">
        <v>0.18</v>
      </c>
      <c r="F134" s="135">
        <f t="shared" si="4"/>
        <v>205.47123300000001</v>
      </c>
    </row>
    <row r="135" spans="1:11" hidden="1" x14ac:dyDescent="0.25">
      <c r="B135" s="127">
        <f t="shared" si="5"/>
        <v>41523</v>
      </c>
      <c r="D135" s="139">
        <v>0.18</v>
      </c>
      <c r="F135" s="135">
        <f t="shared" si="4"/>
        <v>205.47123300000001</v>
      </c>
    </row>
    <row r="136" spans="1:11" hidden="1" x14ac:dyDescent="0.25">
      <c r="B136" s="127">
        <f t="shared" si="5"/>
        <v>41524</v>
      </c>
      <c r="D136" s="139">
        <v>0.18</v>
      </c>
      <c r="F136" s="135">
        <f t="shared" si="4"/>
        <v>205.47123300000001</v>
      </c>
    </row>
    <row r="137" spans="1:11" hidden="1" x14ac:dyDescent="0.25">
      <c r="B137" s="127">
        <f t="shared" si="5"/>
        <v>41525</v>
      </c>
      <c r="D137" s="139">
        <v>0.18</v>
      </c>
      <c r="F137" s="135">
        <f t="shared" si="4"/>
        <v>205.47123300000001</v>
      </c>
    </row>
    <row r="138" spans="1:11" hidden="1" x14ac:dyDescent="0.25">
      <c r="B138" s="127">
        <f t="shared" si="5"/>
        <v>41526</v>
      </c>
      <c r="D138" s="139">
        <v>0.18</v>
      </c>
      <c r="F138" s="135">
        <f t="shared" si="4"/>
        <v>205.47123300000001</v>
      </c>
    </row>
    <row r="139" spans="1:11" hidden="1" x14ac:dyDescent="0.25">
      <c r="B139" s="127">
        <f t="shared" si="5"/>
        <v>41527</v>
      </c>
      <c r="D139" s="139">
        <v>0.18</v>
      </c>
      <c r="F139" s="135">
        <f t="shared" si="4"/>
        <v>205.47123300000001</v>
      </c>
    </row>
    <row r="140" spans="1:11" hidden="1" x14ac:dyDescent="0.25">
      <c r="B140" s="127">
        <f t="shared" si="5"/>
        <v>41528</v>
      </c>
      <c r="D140" s="139">
        <v>0.18</v>
      </c>
      <c r="F140" s="135">
        <f t="shared" si="4"/>
        <v>205.47123300000001</v>
      </c>
    </row>
    <row r="141" spans="1:11" hidden="1" x14ac:dyDescent="0.25">
      <c r="B141" s="127">
        <f t="shared" si="5"/>
        <v>41529</v>
      </c>
      <c r="D141" s="139">
        <v>0.18</v>
      </c>
      <c r="F141" s="135">
        <f t="shared" si="4"/>
        <v>205.47123300000001</v>
      </c>
    </row>
    <row r="142" spans="1:11" hidden="1" x14ac:dyDescent="0.25">
      <c r="B142" s="127">
        <f t="shared" si="5"/>
        <v>41530</v>
      </c>
      <c r="D142" s="139">
        <v>0.18</v>
      </c>
      <c r="F142" s="135">
        <f t="shared" si="4"/>
        <v>205.47123300000001</v>
      </c>
    </row>
    <row r="143" spans="1:11" hidden="1" x14ac:dyDescent="0.25">
      <c r="B143" s="127">
        <f t="shared" si="5"/>
        <v>41531</v>
      </c>
      <c r="D143" s="139">
        <v>0.18</v>
      </c>
      <c r="F143" s="135">
        <f t="shared" si="4"/>
        <v>205.47123300000001</v>
      </c>
    </row>
    <row r="144" spans="1:11" hidden="1" x14ac:dyDescent="0.25">
      <c r="B144" s="127">
        <f t="shared" si="5"/>
        <v>41532</v>
      </c>
      <c r="D144" s="139">
        <v>0.18</v>
      </c>
      <c r="F144" s="135">
        <f t="shared" ref="F144:F190" si="6">ROUND(D144/100*$A$3/365,6)</f>
        <v>205.47123300000001</v>
      </c>
    </row>
    <row r="145" spans="1:11" hidden="1" x14ac:dyDescent="0.25">
      <c r="B145" s="127">
        <f t="shared" si="5"/>
        <v>41533</v>
      </c>
      <c r="D145" s="139">
        <v>0.18</v>
      </c>
      <c r="F145" s="135">
        <f t="shared" si="6"/>
        <v>205.47123300000001</v>
      </c>
    </row>
    <row r="146" spans="1:11" hidden="1" x14ac:dyDescent="0.25">
      <c r="B146" s="127">
        <f t="shared" si="5"/>
        <v>41534</v>
      </c>
      <c r="D146" s="139">
        <v>0.18</v>
      </c>
      <c r="F146" s="135">
        <f t="shared" si="6"/>
        <v>205.47123300000001</v>
      </c>
    </row>
    <row r="147" spans="1:11" hidden="1" x14ac:dyDescent="0.25">
      <c r="B147" s="127">
        <f t="shared" si="5"/>
        <v>41535</v>
      </c>
      <c r="D147" s="139">
        <v>0.18</v>
      </c>
      <c r="F147" s="135">
        <f t="shared" si="6"/>
        <v>205.47123300000001</v>
      </c>
    </row>
    <row r="148" spans="1:11" hidden="1" x14ac:dyDescent="0.25">
      <c r="B148" s="127">
        <f t="shared" si="5"/>
        <v>41536</v>
      </c>
      <c r="D148" s="139">
        <v>0.18</v>
      </c>
      <c r="F148" s="135">
        <f t="shared" si="6"/>
        <v>205.47123300000001</v>
      </c>
    </row>
    <row r="149" spans="1:11" hidden="1" x14ac:dyDescent="0.25">
      <c r="B149" s="127">
        <f t="shared" si="5"/>
        <v>41537</v>
      </c>
      <c r="D149" s="139">
        <v>0.18</v>
      </c>
      <c r="F149" s="135">
        <f t="shared" si="6"/>
        <v>205.47123300000001</v>
      </c>
    </row>
    <row r="150" spans="1:11" hidden="1" x14ac:dyDescent="0.25">
      <c r="B150" s="127">
        <f t="shared" si="5"/>
        <v>41538</v>
      </c>
      <c r="D150" s="139">
        <v>0.18</v>
      </c>
      <c r="F150" s="135">
        <f t="shared" si="6"/>
        <v>205.47123300000001</v>
      </c>
    </row>
    <row r="151" spans="1:11" hidden="1" x14ac:dyDescent="0.25">
      <c r="B151" s="127">
        <f t="shared" si="5"/>
        <v>41539</v>
      </c>
      <c r="D151" s="139">
        <v>0.18</v>
      </c>
      <c r="F151" s="135">
        <f t="shared" si="6"/>
        <v>205.47123300000001</v>
      </c>
    </row>
    <row r="152" spans="1:11" hidden="1" x14ac:dyDescent="0.25">
      <c r="B152" s="127">
        <f t="shared" si="5"/>
        <v>41540</v>
      </c>
      <c r="D152" s="139">
        <v>0.18</v>
      </c>
      <c r="F152" s="135">
        <f t="shared" si="6"/>
        <v>205.47123300000001</v>
      </c>
    </row>
    <row r="153" spans="1:11" hidden="1" x14ac:dyDescent="0.25">
      <c r="B153" s="127">
        <f t="shared" si="5"/>
        <v>41541</v>
      </c>
      <c r="D153" s="139">
        <v>0.18</v>
      </c>
      <c r="F153" s="135">
        <f t="shared" si="6"/>
        <v>205.47123300000001</v>
      </c>
    </row>
    <row r="154" spans="1:11" hidden="1" x14ac:dyDescent="0.25">
      <c r="B154" s="127">
        <f t="shared" si="5"/>
        <v>41542</v>
      </c>
      <c r="D154" s="139">
        <v>0.2</v>
      </c>
      <c r="F154" s="135">
        <f t="shared" si="6"/>
        <v>228.30136999999999</v>
      </c>
    </row>
    <row r="155" spans="1:11" hidden="1" x14ac:dyDescent="0.25">
      <c r="B155" s="127">
        <f t="shared" si="5"/>
        <v>41543</v>
      </c>
      <c r="D155" s="139">
        <v>0.2</v>
      </c>
      <c r="F155" s="135">
        <f t="shared" si="6"/>
        <v>228.30136999999999</v>
      </c>
    </row>
    <row r="156" spans="1:11" hidden="1" x14ac:dyDescent="0.25">
      <c r="B156" s="127">
        <f t="shared" si="5"/>
        <v>41544</v>
      </c>
      <c r="D156" s="139">
        <v>0.2</v>
      </c>
      <c r="F156" s="135">
        <f t="shared" si="6"/>
        <v>228.30136999999999</v>
      </c>
    </row>
    <row r="157" spans="1:11" hidden="1" x14ac:dyDescent="0.25">
      <c r="B157" s="127">
        <f t="shared" si="5"/>
        <v>41545</v>
      </c>
      <c r="D157" s="139">
        <v>0.2</v>
      </c>
      <c r="F157" s="135">
        <f t="shared" si="6"/>
        <v>228.30136999999999</v>
      </c>
    </row>
    <row r="158" spans="1:11" hidden="1" x14ac:dyDescent="0.25">
      <c r="B158" s="127">
        <f t="shared" si="5"/>
        <v>41546</v>
      </c>
      <c r="D158" s="139">
        <v>0.2</v>
      </c>
      <c r="F158" s="135">
        <f t="shared" si="6"/>
        <v>228.30136999999999</v>
      </c>
    </row>
    <row r="159" spans="1:11" hidden="1" x14ac:dyDescent="0.25">
      <c r="B159" s="127">
        <f t="shared" si="5"/>
        <v>41547</v>
      </c>
      <c r="D159" s="139">
        <v>0.2</v>
      </c>
      <c r="F159" s="135">
        <f t="shared" si="6"/>
        <v>228.30136999999999</v>
      </c>
      <c r="H159" s="136">
        <f>SUM(F130:F159)</f>
        <v>6301.1178120000041</v>
      </c>
      <c r="I159" s="140">
        <f>AVERAGE(D130:D159)</f>
        <v>0.18400000000000008</v>
      </c>
      <c r="J159" s="141">
        <f>AVERAGE(D7:D159)</f>
        <v>0.17483660130718964</v>
      </c>
      <c r="K159" s="142">
        <f>AVERAGE(D7:D159)</f>
        <v>0.17483660130718964</v>
      </c>
    </row>
    <row r="160" spans="1:11" x14ac:dyDescent="0.25">
      <c r="A160" s="126">
        <v>41548</v>
      </c>
      <c r="B160" s="127">
        <f t="shared" si="5"/>
        <v>41548</v>
      </c>
      <c r="D160" s="139">
        <v>0.2</v>
      </c>
      <c r="F160" s="135">
        <f t="shared" si="6"/>
        <v>228.30136999999999</v>
      </c>
    </row>
    <row r="161" spans="2:6" x14ac:dyDescent="0.25">
      <c r="B161" s="127">
        <f t="shared" si="5"/>
        <v>41549</v>
      </c>
      <c r="D161" s="139">
        <v>0.2</v>
      </c>
      <c r="F161" s="135">
        <f t="shared" si="6"/>
        <v>228.30136999999999</v>
      </c>
    </row>
    <row r="162" spans="2:6" x14ac:dyDescent="0.25">
      <c r="B162" s="127">
        <f t="shared" si="5"/>
        <v>41550</v>
      </c>
      <c r="D162" s="139">
        <v>0.2</v>
      </c>
      <c r="F162" s="135">
        <f t="shared" si="6"/>
        <v>228.30136999999999</v>
      </c>
    </row>
    <row r="163" spans="2:6" x14ac:dyDescent="0.25">
      <c r="B163" s="127">
        <f t="shared" si="5"/>
        <v>41551</v>
      </c>
      <c r="D163" s="139">
        <v>0.2</v>
      </c>
      <c r="F163" s="135">
        <f t="shared" si="6"/>
        <v>228.30136999999999</v>
      </c>
    </row>
    <row r="164" spans="2:6" x14ac:dyDescent="0.25">
      <c r="B164" s="127">
        <f t="shared" si="5"/>
        <v>41552</v>
      </c>
      <c r="D164" s="139">
        <v>0.2</v>
      </c>
      <c r="F164" s="135">
        <f t="shared" si="6"/>
        <v>228.30136999999999</v>
      </c>
    </row>
    <row r="165" spans="2:6" x14ac:dyDescent="0.25">
      <c r="B165" s="127">
        <f t="shared" si="5"/>
        <v>41553</v>
      </c>
      <c r="D165" s="139">
        <v>0.2</v>
      </c>
      <c r="F165" s="135">
        <f t="shared" si="6"/>
        <v>228.30136999999999</v>
      </c>
    </row>
    <row r="166" spans="2:6" x14ac:dyDescent="0.25">
      <c r="B166" s="127">
        <f t="shared" si="5"/>
        <v>41554</v>
      </c>
      <c r="D166" s="139">
        <v>0.2</v>
      </c>
      <c r="F166" s="135">
        <f t="shared" si="6"/>
        <v>228.30136999999999</v>
      </c>
    </row>
    <row r="167" spans="2:6" x14ac:dyDescent="0.25">
      <c r="B167" s="127">
        <f t="shared" si="5"/>
        <v>41555</v>
      </c>
      <c r="D167" s="139">
        <v>0.2</v>
      </c>
      <c r="F167" s="135">
        <f t="shared" si="6"/>
        <v>228.30136999999999</v>
      </c>
    </row>
    <row r="168" spans="2:6" x14ac:dyDescent="0.25">
      <c r="B168" s="127">
        <f t="shared" si="5"/>
        <v>41556</v>
      </c>
      <c r="D168" s="139">
        <v>0.2</v>
      </c>
      <c r="F168" s="135">
        <f t="shared" si="6"/>
        <v>228.30136999999999</v>
      </c>
    </row>
    <row r="169" spans="2:6" x14ac:dyDescent="0.25">
      <c r="B169" s="127">
        <f t="shared" si="5"/>
        <v>41557</v>
      </c>
      <c r="D169" s="139">
        <v>0.2</v>
      </c>
      <c r="F169" s="135">
        <f t="shared" si="6"/>
        <v>228.30136999999999</v>
      </c>
    </row>
    <row r="170" spans="2:6" x14ac:dyDescent="0.25">
      <c r="B170" s="127">
        <f t="shared" si="5"/>
        <v>41558</v>
      </c>
      <c r="D170" s="139">
        <v>0.2</v>
      </c>
      <c r="F170" s="135">
        <f t="shared" si="6"/>
        <v>228.30136999999999</v>
      </c>
    </row>
    <row r="171" spans="2:6" x14ac:dyDescent="0.25">
      <c r="B171" s="127">
        <f t="shared" si="5"/>
        <v>41559</v>
      </c>
      <c r="D171" s="139">
        <v>0.2</v>
      </c>
      <c r="F171" s="135">
        <f t="shared" si="6"/>
        <v>228.30136999999999</v>
      </c>
    </row>
    <row r="172" spans="2:6" x14ac:dyDescent="0.25">
      <c r="B172" s="127">
        <f t="shared" si="5"/>
        <v>41560</v>
      </c>
      <c r="D172" s="139">
        <v>0.2</v>
      </c>
      <c r="F172" s="135">
        <f t="shared" si="6"/>
        <v>228.30136999999999</v>
      </c>
    </row>
    <row r="173" spans="2:6" x14ac:dyDescent="0.25">
      <c r="B173" s="127">
        <f t="shared" si="5"/>
        <v>41561</v>
      </c>
      <c r="D173" s="139">
        <v>0.2</v>
      </c>
      <c r="F173" s="135">
        <f t="shared" si="6"/>
        <v>228.30136999999999</v>
      </c>
    </row>
    <row r="174" spans="2:6" x14ac:dyDescent="0.25">
      <c r="B174" s="127">
        <f t="shared" si="5"/>
        <v>41562</v>
      </c>
      <c r="D174" s="139">
        <v>0.2</v>
      </c>
      <c r="F174" s="135">
        <f t="shared" si="6"/>
        <v>228.30136999999999</v>
      </c>
    </row>
    <row r="175" spans="2:6" x14ac:dyDescent="0.25">
      <c r="B175" s="127">
        <f t="shared" si="5"/>
        <v>41563</v>
      </c>
      <c r="D175" s="139">
        <v>0.2</v>
      </c>
      <c r="F175" s="135">
        <f t="shared" si="6"/>
        <v>228.30136999999999</v>
      </c>
    </row>
    <row r="176" spans="2:6" x14ac:dyDescent="0.25">
      <c r="B176" s="127">
        <f t="shared" si="5"/>
        <v>41564</v>
      </c>
      <c r="D176" s="139">
        <v>0.2</v>
      </c>
      <c r="F176" s="135">
        <f t="shared" si="6"/>
        <v>228.30136999999999</v>
      </c>
    </row>
    <row r="177" spans="2:11" x14ac:dyDescent="0.25">
      <c r="B177" s="127">
        <f t="shared" si="5"/>
        <v>41565</v>
      </c>
      <c r="D177" s="139">
        <v>0.2</v>
      </c>
      <c r="F177" s="135">
        <f t="shared" si="6"/>
        <v>228.30136999999999</v>
      </c>
    </row>
    <row r="178" spans="2:11" x14ac:dyDescent="0.25">
      <c r="B178" s="127">
        <f t="shared" si="5"/>
        <v>41566</v>
      </c>
      <c r="D178" s="139">
        <v>0.2</v>
      </c>
      <c r="F178" s="135">
        <f t="shared" si="6"/>
        <v>228.30136999999999</v>
      </c>
    </row>
    <row r="179" spans="2:11" x14ac:dyDescent="0.25">
      <c r="B179" s="127">
        <f t="shared" si="5"/>
        <v>41567</v>
      </c>
      <c r="D179" s="139">
        <v>0.2</v>
      </c>
      <c r="F179" s="135">
        <f t="shared" si="6"/>
        <v>228.30136999999999</v>
      </c>
    </row>
    <row r="180" spans="2:11" x14ac:dyDescent="0.25">
      <c r="B180" s="127">
        <f t="shared" si="5"/>
        <v>41568</v>
      </c>
      <c r="D180" s="139">
        <v>0.2</v>
      </c>
      <c r="F180" s="135">
        <f t="shared" si="6"/>
        <v>228.30136999999999</v>
      </c>
    </row>
    <row r="181" spans="2:11" x14ac:dyDescent="0.25">
      <c r="B181" s="127">
        <f t="shared" si="5"/>
        <v>41569</v>
      </c>
      <c r="D181" s="139">
        <v>0.2</v>
      </c>
      <c r="F181" s="135">
        <f t="shared" si="6"/>
        <v>228.30136999999999</v>
      </c>
    </row>
    <row r="182" spans="2:11" x14ac:dyDescent="0.25">
      <c r="B182" s="127">
        <f t="shared" si="5"/>
        <v>41570</v>
      </c>
      <c r="D182" s="139">
        <v>0.2</v>
      </c>
      <c r="F182" s="135">
        <f t="shared" si="6"/>
        <v>228.30136999999999</v>
      </c>
    </row>
    <row r="183" spans="2:11" x14ac:dyDescent="0.25">
      <c r="B183" s="127">
        <f t="shared" si="5"/>
        <v>41571</v>
      </c>
      <c r="D183" s="139">
        <v>0.2</v>
      </c>
      <c r="F183" s="135">
        <f t="shared" si="6"/>
        <v>228.30136999999999</v>
      </c>
    </row>
    <row r="184" spans="2:11" x14ac:dyDescent="0.25">
      <c r="B184" s="127">
        <f t="shared" si="5"/>
        <v>41572</v>
      </c>
      <c r="D184" s="139">
        <v>0.2</v>
      </c>
      <c r="F184" s="135">
        <f t="shared" si="6"/>
        <v>228.30136999999999</v>
      </c>
    </row>
    <row r="185" spans="2:11" x14ac:dyDescent="0.25">
      <c r="B185" s="127">
        <f t="shared" si="5"/>
        <v>41573</v>
      </c>
      <c r="D185" s="139">
        <v>0.2</v>
      </c>
      <c r="F185" s="135">
        <f t="shared" si="6"/>
        <v>228.30136999999999</v>
      </c>
    </row>
    <row r="186" spans="2:11" x14ac:dyDescent="0.25">
      <c r="B186" s="127">
        <f t="shared" si="5"/>
        <v>41574</v>
      </c>
      <c r="D186" s="139">
        <v>0.2</v>
      </c>
      <c r="F186" s="135">
        <f t="shared" si="6"/>
        <v>228.30136999999999</v>
      </c>
    </row>
    <row r="187" spans="2:11" x14ac:dyDescent="0.25">
      <c r="B187" s="127">
        <f t="shared" si="5"/>
        <v>41575</v>
      </c>
      <c r="D187" s="139">
        <v>0.2</v>
      </c>
      <c r="F187" s="135">
        <f t="shared" si="6"/>
        <v>228.30136999999999</v>
      </c>
    </row>
    <row r="188" spans="2:11" x14ac:dyDescent="0.25">
      <c r="B188" s="127">
        <f t="shared" si="5"/>
        <v>41576</v>
      </c>
      <c r="D188" s="139">
        <v>0.2</v>
      </c>
      <c r="F188" s="135">
        <f t="shared" si="6"/>
        <v>228.30136999999999</v>
      </c>
    </row>
    <row r="189" spans="2:11" x14ac:dyDescent="0.25">
      <c r="B189" s="127">
        <f t="shared" si="5"/>
        <v>41577</v>
      </c>
      <c r="D189" s="139">
        <v>0.1</v>
      </c>
      <c r="F189" s="135">
        <f t="shared" si="6"/>
        <v>114.150685</v>
      </c>
    </row>
    <row r="190" spans="2:11" x14ac:dyDescent="0.25">
      <c r="B190" s="127">
        <f t="shared" si="5"/>
        <v>41578</v>
      </c>
      <c r="D190" s="139">
        <v>0.1</v>
      </c>
      <c r="F190" s="135">
        <f t="shared" si="6"/>
        <v>114.150685</v>
      </c>
      <c r="H190" s="136">
        <f>SUM(F160:F190)</f>
        <v>6849.0411000000013</v>
      </c>
      <c r="I190" s="140">
        <f>AVERAGE(D160:D190)</f>
        <v>0.19354838709677424</v>
      </c>
      <c r="J190" s="141">
        <f>AVERAGE(D7:D190)</f>
        <v>0.17798913043478265</v>
      </c>
      <c r="K190" s="142">
        <f>AVERAGE(D7:D190)</f>
        <v>0.17798913043478265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LGE1013 ECR</vt:lpstr>
      <vt:lpstr>$25M</vt:lpstr>
      <vt:lpstr>$83.335</vt:lpstr>
      <vt:lpstr>$10.1M</vt:lpstr>
      <vt:lpstr>$22.5M</vt:lpstr>
      <vt:lpstr>$27.5M</vt:lpstr>
      <vt:lpstr>$35M JC01B</vt:lpstr>
      <vt:lpstr>$35M TC01B</vt:lpstr>
      <vt:lpstr>$41.665</vt:lpstr>
      <vt:lpstr>LG&amp;E Unamort Debt Exp</vt:lpstr>
      <vt:lpstr>LG&amp;E Loss on Reacq Debt</vt:lpstr>
      <vt:lpstr>LG&amp;E Debt Disc</vt:lpstr>
      <vt:lpstr>LG&amp;E Revolving Credit Debt Exp</vt:lpstr>
      <vt:lpstr>LG&amp;E $83.335 Swap Interest</vt:lpstr>
      <vt:lpstr>LG&amp;E $128M Swap Interest</vt:lpstr>
      <vt:lpstr>LG&amp;E MONEY POOL</vt:lpstr>
      <vt:lpstr>LG&amp;E CP ECR Calcs</vt:lpstr>
      <vt:lpstr>LG&amp;E LTD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2014-03-07T19:42:08Z</dcterms:created>
  <dcterms:modified xsi:type="dcterms:W3CDTF">2014-03-11T20:42:31Z</dcterms:modified>
</cp:coreProperties>
</file>