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4635" windowWidth="15600" windowHeight="5625" tabRatio="974"/>
  </bookViews>
  <sheets>
    <sheet name="KU 1013 ECR" sheetId="326" r:id="rId1"/>
    <sheet name="$12.9M" sheetId="306" r:id="rId2"/>
    <sheet name="$20.9M" sheetId="307" r:id="rId3"/>
    <sheet name="$2.4M CC2002B" sheetId="308" r:id="rId4"/>
    <sheet name="$2.4M Muhl" sheetId="309" r:id="rId5"/>
    <sheet name="$7.4M" sheetId="310" r:id="rId6"/>
    <sheet name="$96M" sheetId="311" r:id="rId7"/>
    <sheet name="$50M" sheetId="312" r:id="rId8"/>
    <sheet name="$54M" sheetId="313" r:id="rId9"/>
    <sheet name="$77.9M" sheetId="314" r:id="rId10"/>
    <sheet name="KU Unamort Debt Exp" sheetId="316" r:id="rId11"/>
    <sheet name="KU Loss on Reacq" sheetId="317" r:id="rId12"/>
    <sheet name="KU Debt Disc. FMBs" sheetId="318" r:id="rId13"/>
    <sheet name="KU Rev Credit Debt Exp" sheetId="319" r:id="rId14"/>
    <sheet name="KU Money POOL" sheetId="321" r:id="rId15"/>
    <sheet name="KU CP ECR Calc" sheetId="327" r:id="rId16"/>
    <sheet name="LTD Schedule" sheetId="334" r:id="rId17"/>
    <sheet name="Sheet24" sheetId="32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36__123Graph_BCHART_1" localSheetId="0" hidden="1">'[1]HOSPICE OPSUM'!#REF!</definedName>
    <definedName name="_36__123Graph_BCHART_1" hidden="1">'[1]HOSPICE OPSUM'!#REF!</definedName>
    <definedName name="_Fill" localSheetId="0" hidden="1">#REF!</definedName>
    <definedName name="_Fill" hidden="1">#REF!</definedName>
    <definedName name="_Order1" hidden="1">255</definedName>
    <definedName name="_Order1a" hidden="1">0</definedName>
    <definedName name="_Order2" hidden="1">255</definedName>
    <definedName name="_Order2a" hidden="1">0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1_Out_2" localSheetId="0" hidden="1">#REF!</definedName>
    <definedName name="_Table1_Out_2" hidden="1">#REF!</definedName>
    <definedName name="_Table2_In1" localSheetId="0" hidden="1">'[2]Bank Model'!#REF!</definedName>
    <definedName name="_Table2_In1" hidden="1">'[2]Bank Model'!#REF!</definedName>
    <definedName name="_Table2_In2" localSheetId="0" hidden="1">'[2]Bank Model'!#REF!</definedName>
    <definedName name="_Table2_In2" hidden="1">'[2]Bank Model'!#REF!</definedName>
    <definedName name="_Table2_Out" localSheetId="0" hidden="1">'[2]Bank Model'!#REF!</definedName>
    <definedName name="_Table2_Out" hidden="1">'[2]Bank Model'!#REF!</definedName>
    <definedName name="_Table2_Out_2" localSheetId="0" hidden="1">#REF!</definedName>
    <definedName name="_Table2_Out_2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sdfasdfasdfas" localSheetId="0" hidden="1">#REF!</definedName>
    <definedName name="asdfasdfasdfas" hidden="1">#REF!</definedName>
    <definedName name="BLPH1" hidden="1">'[3]Natural gas'!$A$3</definedName>
    <definedName name="BLPR1020040129204514642" localSheetId="0" hidden="1">'[4]Spread Sheet'!#REF!</definedName>
    <definedName name="BLPR1020040129204514642" hidden="1">'[4]Spread Sheet'!#REF!</definedName>
    <definedName name="BLPR1020040129204514642_1_5" localSheetId="0" hidden="1">'[4]Spread Sheet'!#REF!</definedName>
    <definedName name="BLPR1020040129204514642_1_5" hidden="1">'[4]Spread Sheet'!#REF!</definedName>
    <definedName name="BLPR1020040129204514642_2_5" localSheetId="0" hidden="1">'[4]Spread Sheet'!#REF!</definedName>
    <definedName name="BLPR1020040129204514642_2_5" hidden="1">'[4]Spread Sheet'!#REF!</definedName>
    <definedName name="BLPR1020040129204514642_3_5" localSheetId="0" hidden="1">'[4]Spread Sheet'!#REF!</definedName>
    <definedName name="BLPR1020040129204514642_3_5" hidden="1">'[4]Spread Sheet'!#REF!</definedName>
    <definedName name="BLPR1020040129204514642_4_5" localSheetId="0" hidden="1">'[4]Spread Sheet'!#REF!</definedName>
    <definedName name="BLPR1020040129204514642_4_5" hidden="1">'[4]Spread Sheet'!#REF!</definedName>
    <definedName name="BLPR1020040129204514642_5_5" localSheetId="0" hidden="1">'[4]Spread Sheet'!#REF!</definedName>
    <definedName name="BLPR1020040129204514642_5_5" hidden="1">'[4]Spread Sheet'!#REF!</definedName>
    <definedName name="BLPR1120040129204514642" localSheetId="0" hidden="1">'[4]Spread Sheet'!#REF!</definedName>
    <definedName name="BLPR1120040129204514642" hidden="1">'[4]Spread Sheet'!#REF!</definedName>
    <definedName name="BLPR1120040129204514642_1_5" localSheetId="0" hidden="1">'[4]Spread Sheet'!#REF!</definedName>
    <definedName name="BLPR1120040129204514642_1_5" hidden="1">'[4]Spread Sheet'!#REF!</definedName>
    <definedName name="BLPR1120040129204514642_2_5" localSheetId="0" hidden="1">'[4]Spread Sheet'!#REF!</definedName>
    <definedName name="BLPR1120040129204514642_2_5" hidden="1">'[4]Spread Sheet'!#REF!</definedName>
    <definedName name="BLPR1120040129204514642_3_5" localSheetId="0" hidden="1">'[4]Spread Sheet'!#REF!</definedName>
    <definedName name="BLPR1120040129204514642_3_5" hidden="1">'[4]Spread Sheet'!#REF!</definedName>
    <definedName name="BLPR1120040129204514642_4_5" localSheetId="0" hidden="1">'[4]Spread Sheet'!#REF!</definedName>
    <definedName name="BLPR1120040129204514642_4_5" hidden="1">'[4]Spread Sheet'!#REF!</definedName>
    <definedName name="BLPR1120040129204514642_5_5" localSheetId="0" hidden="1">'[4]Spread Sheet'!#REF!</definedName>
    <definedName name="BLPR1120040129204514642_5_5" hidden="1">'[4]Spread Sheet'!#REF!</definedName>
    <definedName name="BLPR120040129203645421" localSheetId="0" hidden="1">'[4]Spread Sheet'!#REF!</definedName>
    <definedName name="BLPR120040129203645421" hidden="1">'[4]Spread Sheet'!#REF!</definedName>
    <definedName name="BLPR120040129203645421_1_4" localSheetId="0" hidden="1">'[4]Spread Sheet'!#REF!</definedName>
    <definedName name="BLPR120040129203645421_1_4" hidden="1">'[4]Spread Sheet'!#REF!</definedName>
    <definedName name="BLPR120040129203645421_2_4" localSheetId="0" hidden="1">'[4]Spread Sheet'!#REF!</definedName>
    <definedName name="BLPR120040129203645421_2_4" hidden="1">'[4]Spread Sheet'!#REF!</definedName>
    <definedName name="BLPR120040129203645421_3_4" localSheetId="0" hidden="1">'[4]Spread Sheet'!#REF!</definedName>
    <definedName name="BLPR120040129203645421_3_4" hidden="1">'[4]Spread Sheet'!#REF!</definedName>
    <definedName name="BLPR120040129203645421_4_4" localSheetId="0" hidden="1">'[4]Spread Sheet'!#REF!</definedName>
    <definedName name="BLPR120040129203645421_4_4" hidden="1">'[4]Spread Sheet'!#REF!</definedName>
    <definedName name="BLPR1220040129204514642" localSheetId="0" hidden="1">'[4]Spread Sheet'!#REF!</definedName>
    <definedName name="BLPR1220040129204514642" hidden="1">'[4]Spread Sheet'!#REF!</definedName>
    <definedName name="BLPR1220040129204514642_1_5" localSheetId="0" hidden="1">'[4]Spread Sheet'!#REF!</definedName>
    <definedName name="BLPR1220040129204514642_1_5" hidden="1">'[4]Spread Sheet'!#REF!</definedName>
    <definedName name="BLPR1220040129204514642_2_5" localSheetId="0" hidden="1">'[4]Spread Sheet'!#REF!</definedName>
    <definedName name="BLPR1220040129204514642_2_5" hidden="1">'[4]Spread Sheet'!#REF!</definedName>
    <definedName name="BLPR1220040129204514642_3_5" localSheetId="0" hidden="1">'[4]Spread Sheet'!#REF!</definedName>
    <definedName name="BLPR1220040129204514642_3_5" hidden="1">'[4]Spread Sheet'!#REF!</definedName>
    <definedName name="BLPR1220040129204514642_4_5" localSheetId="0" hidden="1">'[4]Spread Sheet'!#REF!</definedName>
    <definedName name="BLPR1220040129204514642_4_5" hidden="1">'[4]Spread Sheet'!#REF!</definedName>
    <definedName name="BLPR1220040129204514642_5_5" localSheetId="0" hidden="1">'[4]Spread Sheet'!#REF!</definedName>
    <definedName name="BLPR1220040129204514642_5_5" hidden="1">'[4]Spread Sheet'!#REF!</definedName>
    <definedName name="BLPR1320040129204514642" localSheetId="0" hidden="1">'[4]Spread Sheet'!#REF!</definedName>
    <definedName name="BLPR1320040129204514642" hidden="1">'[4]Spread Sheet'!#REF!</definedName>
    <definedName name="BLPR1320040129204514642_1_5" localSheetId="0" hidden="1">'[4]Spread Sheet'!#REF!</definedName>
    <definedName name="BLPR1320040129204514642_1_5" hidden="1">'[4]Spread Sheet'!#REF!</definedName>
    <definedName name="BLPR1320040129204514642_2_5" localSheetId="0" hidden="1">'[4]Spread Sheet'!#REF!</definedName>
    <definedName name="BLPR1320040129204514642_2_5" hidden="1">'[4]Spread Sheet'!#REF!</definedName>
    <definedName name="BLPR1320040129204514642_3_5" localSheetId="0" hidden="1">'[4]Spread Sheet'!#REF!</definedName>
    <definedName name="BLPR1320040129204514642_3_5" hidden="1">'[4]Spread Sheet'!#REF!</definedName>
    <definedName name="BLPR1320040129204514642_4_5" localSheetId="0" hidden="1">'[4]Spread Sheet'!#REF!</definedName>
    <definedName name="BLPR1320040129204514642_4_5" hidden="1">'[4]Spread Sheet'!#REF!</definedName>
    <definedName name="BLPR1320040129204514642_5_5" localSheetId="0" hidden="1">'[4]Spread Sheet'!#REF!</definedName>
    <definedName name="BLPR1320040129204514642_5_5" hidden="1">'[4]Spread Sheet'!#REF!</definedName>
    <definedName name="BLPR1420040129204514642" localSheetId="0" hidden="1">'[4]Spread Sheet'!#REF!</definedName>
    <definedName name="BLPR1420040129204514642" hidden="1">'[4]Spread Sheet'!#REF!</definedName>
    <definedName name="BLPR1420040129204514642_1_5" localSheetId="0" hidden="1">'[4]Spread Sheet'!#REF!</definedName>
    <definedName name="BLPR1420040129204514642_1_5" hidden="1">'[4]Spread Sheet'!#REF!</definedName>
    <definedName name="BLPR1420040129204514642_2_5" localSheetId="0" hidden="1">'[4]Spread Sheet'!#REF!</definedName>
    <definedName name="BLPR1420040129204514642_2_5" hidden="1">'[4]Spread Sheet'!#REF!</definedName>
    <definedName name="BLPR1420040129204514642_3_5" localSheetId="0" hidden="1">'[4]Spread Sheet'!#REF!</definedName>
    <definedName name="BLPR1420040129204514642_3_5" hidden="1">'[4]Spread Sheet'!#REF!</definedName>
    <definedName name="BLPR1420040129204514642_4_5" localSheetId="0" hidden="1">'[4]Spread Sheet'!#REF!</definedName>
    <definedName name="BLPR1420040129204514642_4_5" hidden="1">'[4]Spread Sheet'!#REF!</definedName>
    <definedName name="BLPR1420040129204514642_5_5" localSheetId="0" hidden="1">'[4]Spread Sheet'!#REF!</definedName>
    <definedName name="BLPR1420040129204514642_5_5" hidden="1">'[4]Spread Sheet'!#REF!</definedName>
    <definedName name="BLPR1520040129204514652" localSheetId="0" hidden="1">'[4]Spread Sheet'!#REF!</definedName>
    <definedName name="BLPR1520040129204514652" hidden="1">'[4]Spread Sheet'!#REF!</definedName>
    <definedName name="BLPR1520040129204514652_1_5" localSheetId="0" hidden="1">'[4]Spread Sheet'!#REF!</definedName>
    <definedName name="BLPR1520040129204514652_1_5" hidden="1">'[4]Spread Sheet'!#REF!</definedName>
    <definedName name="BLPR1520040129204514652_2_5" localSheetId="0" hidden="1">'[4]Spread Sheet'!#REF!</definedName>
    <definedName name="BLPR1520040129204514652_2_5" hidden="1">'[4]Spread Sheet'!#REF!</definedName>
    <definedName name="BLPR1520040129204514652_3_5" localSheetId="0" hidden="1">'[4]Spread Sheet'!#REF!</definedName>
    <definedName name="BLPR1520040129204514652_3_5" hidden="1">'[4]Spread Sheet'!#REF!</definedName>
    <definedName name="BLPR1520040129204514652_4_5" localSheetId="0" hidden="1">'[4]Spread Sheet'!#REF!</definedName>
    <definedName name="BLPR1520040129204514652_4_5" hidden="1">'[4]Spread Sheet'!#REF!</definedName>
    <definedName name="BLPR1520040129204514652_5_5" localSheetId="0" hidden="1">'[4]Spread Sheet'!#REF!</definedName>
    <definedName name="BLPR1520040129204514652_5_5" hidden="1">'[4]Spread Sheet'!#REF!</definedName>
    <definedName name="BLPR1620040129204514652" localSheetId="0" hidden="1">'[4]Spread Sheet'!#REF!</definedName>
    <definedName name="BLPR1620040129204514652" hidden="1">'[4]Spread Sheet'!#REF!</definedName>
    <definedName name="BLPR1620040129204514652_1_5" localSheetId="0" hidden="1">'[4]Spread Sheet'!#REF!</definedName>
    <definedName name="BLPR1620040129204514652_1_5" hidden="1">'[4]Spread Sheet'!#REF!</definedName>
    <definedName name="BLPR1620040129204514652_2_5" localSheetId="0" hidden="1">'[4]Spread Sheet'!#REF!</definedName>
    <definedName name="BLPR1620040129204514652_2_5" hidden="1">'[4]Spread Sheet'!#REF!</definedName>
    <definedName name="BLPR1620040129204514652_3_5" localSheetId="0" hidden="1">'[4]Spread Sheet'!#REF!</definedName>
    <definedName name="BLPR1620040129204514652_3_5" hidden="1">'[4]Spread Sheet'!#REF!</definedName>
    <definedName name="BLPR1620040129204514652_4_5" localSheetId="0" hidden="1">'[4]Spread Sheet'!#REF!</definedName>
    <definedName name="BLPR1620040129204514652_4_5" hidden="1">'[4]Spread Sheet'!#REF!</definedName>
    <definedName name="BLPR1620040129204514652_5_5" localSheetId="0" hidden="1">'[4]Spread Sheet'!#REF!</definedName>
    <definedName name="BLPR1620040129204514652_5_5" hidden="1">'[4]Spread Sheet'!#REF!</definedName>
    <definedName name="BLPR1720040129204514652" localSheetId="0" hidden="1">'[4]Spread Sheet'!#REF!</definedName>
    <definedName name="BLPR1720040129204514652" hidden="1">'[4]Spread Sheet'!#REF!</definedName>
    <definedName name="BLPR1720040129204514652_1_5" localSheetId="0" hidden="1">'[4]Spread Sheet'!#REF!</definedName>
    <definedName name="BLPR1720040129204514652_1_5" hidden="1">'[4]Spread Sheet'!#REF!</definedName>
    <definedName name="BLPR1720040129204514652_2_5" localSheetId="0" hidden="1">'[4]Spread Sheet'!#REF!</definedName>
    <definedName name="BLPR1720040129204514652_2_5" hidden="1">'[4]Spread Sheet'!#REF!</definedName>
    <definedName name="BLPR1720040129204514652_3_5" localSheetId="0" hidden="1">'[4]Spread Sheet'!#REF!</definedName>
    <definedName name="BLPR1720040129204514652_3_5" hidden="1">'[4]Spread Sheet'!#REF!</definedName>
    <definedName name="BLPR1720040129204514652_4_5" localSheetId="0" hidden="1">'[4]Spread Sheet'!#REF!</definedName>
    <definedName name="BLPR1720040129204514652_4_5" hidden="1">'[4]Spread Sheet'!#REF!</definedName>
    <definedName name="BLPR1720040129204514652_5_5" localSheetId="0" hidden="1">'[4]Spread Sheet'!#REF!</definedName>
    <definedName name="BLPR1720040129204514652_5_5" hidden="1">'[4]Spread Sheet'!#REF!</definedName>
    <definedName name="BLPR1820040129204514652" localSheetId="0" hidden="1">'[4]Spread Sheet'!#REF!</definedName>
    <definedName name="BLPR1820040129204514652" hidden="1">'[4]Spread Sheet'!#REF!</definedName>
    <definedName name="BLPR1820040129204514652_1_5" localSheetId="0" hidden="1">'[4]Spread Sheet'!#REF!</definedName>
    <definedName name="BLPR1820040129204514652_1_5" hidden="1">'[4]Spread Sheet'!#REF!</definedName>
    <definedName name="BLPR1820040129204514652_2_5" localSheetId="0" hidden="1">'[4]Spread Sheet'!#REF!</definedName>
    <definedName name="BLPR1820040129204514652_2_5" hidden="1">'[4]Spread Sheet'!#REF!</definedName>
    <definedName name="BLPR1820040129204514652_3_5" localSheetId="0" hidden="1">'[4]Spread Sheet'!#REF!</definedName>
    <definedName name="BLPR1820040129204514652_3_5" hidden="1">'[4]Spread Sheet'!#REF!</definedName>
    <definedName name="BLPR1820040129204514652_4_5" localSheetId="0" hidden="1">'[4]Spread Sheet'!#REF!</definedName>
    <definedName name="BLPR1820040129204514652_4_5" hidden="1">'[4]Spread Sheet'!#REF!</definedName>
    <definedName name="BLPR1820040129204514652_5_5" localSheetId="0" hidden="1">'[4]Spread Sheet'!#REF!</definedName>
    <definedName name="BLPR1820040129204514652_5_5" hidden="1">'[4]Spread Sheet'!#REF!</definedName>
    <definedName name="BLPR1920040129204514652" localSheetId="0" hidden="1">'[4]Spread Sheet'!#REF!</definedName>
    <definedName name="BLPR1920040129204514652" hidden="1">'[4]Spread Sheet'!#REF!</definedName>
    <definedName name="BLPR1920040129204514652_1_5" localSheetId="0" hidden="1">'[4]Spread Sheet'!#REF!</definedName>
    <definedName name="BLPR1920040129204514652_1_5" hidden="1">'[4]Spread Sheet'!#REF!</definedName>
    <definedName name="BLPR1920040129204514652_2_5" localSheetId="0" hidden="1">'[4]Spread Sheet'!#REF!</definedName>
    <definedName name="BLPR1920040129204514652_2_5" hidden="1">'[4]Spread Sheet'!#REF!</definedName>
    <definedName name="BLPR1920040129204514652_3_5" localSheetId="0" hidden="1">'[4]Spread Sheet'!#REF!</definedName>
    <definedName name="BLPR1920040129204514652_3_5" hidden="1">'[4]Spread Sheet'!#REF!</definedName>
    <definedName name="BLPR1920040129204514652_4_5" localSheetId="0" hidden="1">'[4]Spread Sheet'!#REF!</definedName>
    <definedName name="BLPR1920040129204514652_4_5" hidden="1">'[4]Spread Sheet'!#REF!</definedName>
    <definedName name="BLPR1920040129204514652_5_5" localSheetId="0" hidden="1">'[4]Spread Sheet'!#REF!</definedName>
    <definedName name="BLPR1920040129204514652_5_5" hidden="1">'[4]Spread Sheet'!#REF!</definedName>
    <definedName name="BLPR2020040129204514652" localSheetId="0" hidden="1">'[4]Spread Sheet'!#REF!</definedName>
    <definedName name="BLPR2020040129204514652" hidden="1">'[4]Spread Sheet'!#REF!</definedName>
    <definedName name="BLPR2020040129204514652_1_5" localSheetId="0" hidden="1">'[4]Spread Sheet'!#REF!</definedName>
    <definedName name="BLPR2020040129204514652_1_5" hidden="1">'[4]Spread Sheet'!#REF!</definedName>
    <definedName name="BLPR2020040129204514652_2_5" localSheetId="0" hidden="1">'[4]Spread Sheet'!#REF!</definedName>
    <definedName name="BLPR2020040129204514652_2_5" hidden="1">'[4]Spread Sheet'!#REF!</definedName>
    <definedName name="BLPR2020040129204514652_3_5" localSheetId="0" hidden="1">'[4]Spread Sheet'!#REF!</definedName>
    <definedName name="BLPR2020040129204514652_3_5" hidden="1">'[4]Spread Sheet'!#REF!</definedName>
    <definedName name="BLPR2020040129204514652_4_5" localSheetId="0" hidden="1">'[4]Spread Sheet'!#REF!</definedName>
    <definedName name="BLPR2020040129204514652_4_5" hidden="1">'[4]Spread Sheet'!#REF!</definedName>
    <definedName name="BLPR2020040129204514652_5_5" localSheetId="0" hidden="1">'[4]Spread Sheet'!#REF!</definedName>
    <definedName name="BLPR2020040129204514652_5_5" hidden="1">'[4]Spread Sheet'!#REF!</definedName>
    <definedName name="BLPR2120040129204514652" localSheetId="0" hidden="1">'[4]Spread Sheet'!#REF!</definedName>
    <definedName name="BLPR2120040129204514652" hidden="1">'[4]Spread Sheet'!#REF!</definedName>
    <definedName name="BLPR2120040129204514652_1_5" localSheetId="0" hidden="1">'[4]Spread Sheet'!#REF!</definedName>
    <definedName name="BLPR2120040129204514652_1_5" hidden="1">'[4]Spread Sheet'!#REF!</definedName>
    <definedName name="BLPR2120040129204514652_2_5" localSheetId="0" hidden="1">'[4]Spread Sheet'!#REF!</definedName>
    <definedName name="BLPR2120040129204514652_2_5" hidden="1">'[4]Spread Sheet'!#REF!</definedName>
    <definedName name="BLPR2120040129204514652_3_5" localSheetId="0" hidden="1">'[4]Spread Sheet'!#REF!</definedName>
    <definedName name="BLPR2120040129204514652_3_5" hidden="1">'[4]Spread Sheet'!#REF!</definedName>
    <definedName name="BLPR2120040129204514652_4_5" localSheetId="0" hidden="1">'[4]Spread Sheet'!#REF!</definedName>
    <definedName name="BLPR2120040129204514652_4_5" hidden="1">'[4]Spread Sheet'!#REF!</definedName>
    <definedName name="BLPR2120040129204514652_5_5" localSheetId="0" hidden="1">'[4]Spread Sheet'!#REF!</definedName>
    <definedName name="BLPR2120040129204514652_5_5" hidden="1">'[4]Spread Sheet'!#REF!</definedName>
    <definedName name="BLPR220040129203645421" localSheetId="0" hidden="1">'[4]Spread Sheet'!#REF!</definedName>
    <definedName name="BLPR220040129203645421" hidden="1">'[4]Spread Sheet'!#REF!</definedName>
    <definedName name="BLPR220040129203645421_1_4" localSheetId="0" hidden="1">'[4]Spread Sheet'!#REF!</definedName>
    <definedName name="BLPR220040129203645421_1_4" hidden="1">'[4]Spread Sheet'!#REF!</definedName>
    <definedName name="BLPR220040129203645421_2_4" localSheetId="0" hidden="1">'[4]Spread Sheet'!#REF!</definedName>
    <definedName name="BLPR220040129203645421_2_4" hidden="1">'[4]Spread Sheet'!#REF!</definedName>
    <definedName name="BLPR220040129203645421_3_4" localSheetId="0" hidden="1">'[4]Spread Sheet'!#REF!</definedName>
    <definedName name="BLPR220040129203645421_3_4" hidden="1">'[4]Spread Sheet'!#REF!</definedName>
    <definedName name="BLPR220040129203645421_4_4" localSheetId="0" hidden="1">'[4]Spread Sheet'!#REF!</definedName>
    <definedName name="BLPR220040129203645421_4_4" hidden="1">'[4]Spread Sheet'!#REF!</definedName>
    <definedName name="BLPR2220040129204514652" localSheetId="0" hidden="1">'[4]Spread Sheet'!#REF!</definedName>
    <definedName name="BLPR2220040129204514652" hidden="1">'[4]Spread Sheet'!#REF!</definedName>
    <definedName name="BLPR2220040129204514652_1_5" localSheetId="0" hidden="1">'[4]Spread Sheet'!#REF!</definedName>
    <definedName name="BLPR2220040129204514652_1_5" hidden="1">'[4]Spread Sheet'!#REF!</definedName>
    <definedName name="BLPR2220040129204514652_2_5" localSheetId="0" hidden="1">'[4]Spread Sheet'!#REF!</definedName>
    <definedName name="BLPR2220040129204514652_2_5" hidden="1">'[4]Spread Sheet'!#REF!</definedName>
    <definedName name="BLPR2220040129204514652_3_5" localSheetId="0" hidden="1">'[4]Spread Sheet'!#REF!</definedName>
    <definedName name="BLPR2220040129204514652_3_5" hidden="1">'[4]Spread Sheet'!#REF!</definedName>
    <definedName name="BLPR2220040129204514652_4_5" localSheetId="0" hidden="1">'[4]Spread Sheet'!#REF!</definedName>
    <definedName name="BLPR2220040129204514652_4_5" hidden="1">'[4]Spread Sheet'!#REF!</definedName>
    <definedName name="BLPR2220040129204514652_5_5" localSheetId="0" hidden="1">'[4]Spread Sheet'!#REF!</definedName>
    <definedName name="BLPR2220040129204514652_5_5" hidden="1">'[4]Spread Sheet'!#REF!</definedName>
    <definedName name="BLPR2320040129204514662" localSheetId="0" hidden="1">'[4]Spread Sheet'!#REF!</definedName>
    <definedName name="BLPR2320040129204514662" hidden="1">'[4]Spread Sheet'!#REF!</definedName>
    <definedName name="BLPR2320040129204514662_1_5" localSheetId="0" hidden="1">'[4]Spread Sheet'!#REF!</definedName>
    <definedName name="BLPR2320040129204514662_1_5" hidden="1">'[4]Spread Sheet'!#REF!</definedName>
    <definedName name="BLPR2320040129204514662_2_5" localSheetId="0" hidden="1">'[4]Spread Sheet'!#REF!</definedName>
    <definedName name="BLPR2320040129204514662_2_5" hidden="1">'[4]Spread Sheet'!#REF!</definedName>
    <definedName name="BLPR2320040129204514662_3_5" localSheetId="0" hidden="1">'[4]Spread Sheet'!#REF!</definedName>
    <definedName name="BLPR2320040129204514662_3_5" hidden="1">'[4]Spread Sheet'!#REF!</definedName>
    <definedName name="BLPR2320040129204514662_4_5" localSheetId="0" hidden="1">'[4]Spread Sheet'!#REF!</definedName>
    <definedName name="BLPR2320040129204514662_4_5" hidden="1">'[4]Spread Sheet'!#REF!</definedName>
    <definedName name="BLPR2320040129204514662_5_5" localSheetId="0" hidden="1">'[4]Spread Sheet'!#REF!</definedName>
    <definedName name="BLPR2320040129204514662_5_5" hidden="1">'[4]Spread Sheet'!#REF!</definedName>
    <definedName name="BLPR2420040129204514662" localSheetId="0" hidden="1">'[4]Spread Sheet'!#REF!</definedName>
    <definedName name="BLPR2420040129204514662" hidden="1">'[4]Spread Sheet'!#REF!</definedName>
    <definedName name="BLPR2420040129204514662_1_5" localSheetId="0" hidden="1">'[4]Spread Sheet'!#REF!</definedName>
    <definedName name="BLPR2420040129204514662_1_5" hidden="1">'[4]Spread Sheet'!#REF!</definedName>
    <definedName name="BLPR2420040129204514662_2_5" localSheetId="0" hidden="1">'[4]Spread Sheet'!#REF!</definedName>
    <definedName name="BLPR2420040129204514662_2_5" hidden="1">'[4]Spread Sheet'!#REF!</definedName>
    <definedName name="BLPR2420040129204514662_3_5" localSheetId="0" hidden="1">'[4]Spread Sheet'!#REF!</definedName>
    <definedName name="BLPR2420040129204514662_3_5" hidden="1">'[4]Spread Sheet'!#REF!</definedName>
    <definedName name="BLPR2420040129204514662_4_5" localSheetId="0" hidden="1">'[4]Spread Sheet'!#REF!</definedName>
    <definedName name="BLPR2420040129204514662_4_5" hidden="1">'[4]Spread Sheet'!#REF!</definedName>
    <definedName name="BLPR2420040129204514662_5_5" localSheetId="0" hidden="1">'[4]Spread Sheet'!#REF!</definedName>
    <definedName name="BLPR2420040129204514662_5_5" hidden="1">'[4]Spread Sheet'!#REF!</definedName>
    <definedName name="BLPR2520040129204514662" localSheetId="0" hidden="1">'[4]Spread Sheet'!#REF!</definedName>
    <definedName name="BLPR2520040129204514662" hidden="1">'[4]Spread Sheet'!#REF!</definedName>
    <definedName name="BLPR2520040129204514662_1_5" localSheetId="0" hidden="1">'[4]Spread Sheet'!#REF!</definedName>
    <definedName name="BLPR2520040129204514662_1_5" hidden="1">'[4]Spread Sheet'!#REF!</definedName>
    <definedName name="BLPR2520040129204514662_2_5" localSheetId="0" hidden="1">'[4]Spread Sheet'!#REF!</definedName>
    <definedName name="BLPR2520040129204514662_2_5" hidden="1">'[4]Spread Sheet'!#REF!</definedName>
    <definedName name="BLPR2520040129204514662_3_5" localSheetId="0" hidden="1">'[4]Spread Sheet'!#REF!</definedName>
    <definedName name="BLPR2520040129204514662_3_5" hidden="1">'[4]Spread Sheet'!#REF!</definedName>
    <definedName name="BLPR2520040129204514662_4_5" localSheetId="0" hidden="1">'[4]Spread Sheet'!#REF!</definedName>
    <definedName name="BLPR2520040129204514662_4_5" hidden="1">'[4]Spread Sheet'!#REF!</definedName>
    <definedName name="BLPR2520040129204514662_5_5" localSheetId="0" hidden="1">'[4]Spread Sheet'!#REF!</definedName>
    <definedName name="BLPR2520040129204514662_5_5" hidden="1">'[4]Spread Sheet'!#REF!</definedName>
    <definedName name="BLPR2620040129204514662" localSheetId="0" hidden="1">'[4]Spread Sheet'!#REF!</definedName>
    <definedName name="BLPR2620040129204514662" hidden="1">'[4]Spread Sheet'!#REF!</definedName>
    <definedName name="BLPR2620040129204514662_1_5" localSheetId="0" hidden="1">'[4]Spread Sheet'!#REF!</definedName>
    <definedName name="BLPR2620040129204514662_1_5" hidden="1">'[4]Spread Sheet'!#REF!</definedName>
    <definedName name="BLPR2620040129204514662_2_5" localSheetId="0" hidden="1">'[4]Spread Sheet'!#REF!</definedName>
    <definedName name="BLPR2620040129204514662_2_5" hidden="1">'[4]Spread Sheet'!#REF!</definedName>
    <definedName name="BLPR2620040129204514662_3_5" localSheetId="0" hidden="1">'[4]Spread Sheet'!#REF!</definedName>
    <definedName name="BLPR2620040129204514662_3_5" hidden="1">'[4]Spread Sheet'!#REF!</definedName>
    <definedName name="BLPR2620040129204514662_4_5" localSheetId="0" hidden="1">'[4]Spread Sheet'!#REF!</definedName>
    <definedName name="BLPR2620040129204514662_4_5" hidden="1">'[4]Spread Sheet'!#REF!</definedName>
    <definedName name="BLPR2620040129204514662_5_5" localSheetId="0" hidden="1">'[4]Spread Sheet'!#REF!</definedName>
    <definedName name="BLPR2620040129204514662_5_5" hidden="1">'[4]Spread Sheet'!#REF!</definedName>
    <definedName name="BLPR2720040129204514662" localSheetId="0" hidden="1">'[4]Spread Sheet'!#REF!</definedName>
    <definedName name="BLPR2720040129204514662" hidden="1">'[4]Spread Sheet'!#REF!</definedName>
    <definedName name="BLPR2720040129204514662_1_5" localSheetId="0" hidden="1">'[4]Spread Sheet'!#REF!</definedName>
    <definedName name="BLPR2720040129204514662_1_5" hidden="1">'[4]Spread Sheet'!#REF!</definedName>
    <definedName name="BLPR2720040129204514662_2_5" localSheetId="0" hidden="1">'[4]Spread Sheet'!#REF!</definedName>
    <definedName name="BLPR2720040129204514662_2_5" hidden="1">'[4]Spread Sheet'!#REF!</definedName>
    <definedName name="BLPR2720040129204514662_3_5" localSheetId="0" hidden="1">'[4]Spread Sheet'!#REF!</definedName>
    <definedName name="BLPR2720040129204514662_3_5" hidden="1">'[4]Spread Sheet'!#REF!</definedName>
    <definedName name="BLPR2720040129204514662_4_5" localSheetId="0" hidden="1">'[4]Spread Sheet'!#REF!</definedName>
    <definedName name="BLPR2720040129204514662_4_5" hidden="1">'[4]Spread Sheet'!#REF!</definedName>
    <definedName name="BLPR2720040129204514662_5_5" localSheetId="0" hidden="1">'[4]Spread Sheet'!#REF!</definedName>
    <definedName name="BLPR2720040129204514662_5_5" hidden="1">'[4]Spread Sheet'!#REF!</definedName>
    <definedName name="BLPR2820040129204514662" localSheetId="0" hidden="1">'[4]Spread Sheet'!#REF!</definedName>
    <definedName name="BLPR2820040129204514662" hidden="1">'[4]Spread Sheet'!#REF!</definedName>
    <definedName name="BLPR2820040129204514662_1_5" localSheetId="0" hidden="1">'[4]Spread Sheet'!#REF!</definedName>
    <definedName name="BLPR2820040129204514662_1_5" hidden="1">'[4]Spread Sheet'!#REF!</definedName>
    <definedName name="BLPR2820040129204514662_2_5" localSheetId="0" hidden="1">'[4]Spread Sheet'!#REF!</definedName>
    <definedName name="BLPR2820040129204514662_2_5" hidden="1">'[4]Spread Sheet'!#REF!</definedName>
    <definedName name="BLPR2820040129204514662_3_5" localSheetId="0" hidden="1">'[4]Spread Sheet'!#REF!</definedName>
    <definedName name="BLPR2820040129204514662_3_5" hidden="1">'[4]Spread Sheet'!#REF!</definedName>
    <definedName name="BLPR2820040129204514662_4_5" localSheetId="0" hidden="1">'[4]Spread Sheet'!#REF!</definedName>
    <definedName name="BLPR2820040129204514662_4_5" hidden="1">'[4]Spread Sheet'!#REF!</definedName>
    <definedName name="BLPR2820040129204514662_5_5" localSheetId="0" hidden="1">'[4]Spread Sheet'!#REF!</definedName>
    <definedName name="BLPR2820040129204514662_5_5" hidden="1">'[4]Spread Sheet'!#REF!</definedName>
    <definedName name="BLPR2920040129204514662" localSheetId="0" hidden="1">'[4]Spread Sheet'!#REF!</definedName>
    <definedName name="BLPR2920040129204514662" hidden="1">'[4]Spread Sheet'!#REF!</definedName>
    <definedName name="BLPR2920040129204514662_1_5" localSheetId="0" hidden="1">'[4]Spread Sheet'!#REF!</definedName>
    <definedName name="BLPR2920040129204514662_1_5" hidden="1">'[4]Spread Sheet'!#REF!</definedName>
    <definedName name="BLPR2920040129204514662_2_5" localSheetId="0" hidden="1">'[4]Spread Sheet'!#REF!</definedName>
    <definedName name="BLPR2920040129204514662_2_5" hidden="1">'[4]Spread Sheet'!#REF!</definedName>
    <definedName name="BLPR2920040129204514662_3_5" localSheetId="0" hidden="1">'[4]Spread Sheet'!#REF!</definedName>
    <definedName name="BLPR2920040129204514662_3_5" hidden="1">'[4]Spread Sheet'!#REF!</definedName>
    <definedName name="BLPR2920040129204514662_4_5" localSheetId="0" hidden="1">'[4]Spread Sheet'!#REF!</definedName>
    <definedName name="BLPR2920040129204514662_4_5" hidden="1">'[4]Spread Sheet'!#REF!</definedName>
    <definedName name="BLPR2920040129204514662_5_5" localSheetId="0" hidden="1">'[4]Spread Sheet'!#REF!</definedName>
    <definedName name="BLPR2920040129204514662_5_5" hidden="1">'[4]Spread Sheet'!#REF!</definedName>
    <definedName name="BLPR3020040129204514672" localSheetId="0" hidden="1">'[4]Spread Sheet'!#REF!</definedName>
    <definedName name="BLPR3020040129204514672" hidden="1">'[4]Spread Sheet'!#REF!</definedName>
    <definedName name="BLPR3020040129204514672_1_5" localSheetId="0" hidden="1">'[4]Spread Sheet'!#REF!</definedName>
    <definedName name="BLPR3020040129204514672_1_5" hidden="1">'[4]Spread Sheet'!#REF!</definedName>
    <definedName name="BLPR3020040129204514672_2_5" localSheetId="0" hidden="1">'[4]Spread Sheet'!#REF!</definedName>
    <definedName name="BLPR3020040129204514672_2_5" hidden="1">'[4]Spread Sheet'!#REF!</definedName>
    <definedName name="BLPR3020040129204514672_3_5" localSheetId="0" hidden="1">'[4]Spread Sheet'!#REF!</definedName>
    <definedName name="BLPR3020040129204514672_3_5" hidden="1">'[4]Spread Sheet'!#REF!</definedName>
    <definedName name="BLPR3020040129204514672_4_5" localSheetId="0" hidden="1">'[4]Spread Sheet'!#REF!</definedName>
    <definedName name="BLPR3020040129204514672_4_5" hidden="1">'[4]Spread Sheet'!#REF!</definedName>
    <definedName name="BLPR3020040129204514672_5_5" localSheetId="0" hidden="1">'[4]Spread Sheet'!#REF!</definedName>
    <definedName name="BLPR3020040129204514672_5_5" hidden="1">'[4]Spread Sheet'!#REF!</definedName>
    <definedName name="BLPR3120040129204514692" localSheetId="0" hidden="1">'[4]Spread Sheet'!#REF!</definedName>
    <definedName name="BLPR3120040129204514692" hidden="1">'[4]Spread Sheet'!#REF!</definedName>
    <definedName name="BLPR3120040129204514692_1_1" localSheetId="0" hidden="1">'[4]Spread Sheet'!#REF!</definedName>
    <definedName name="BLPR3120040129204514692_1_1" hidden="1">'[4]Spread Sheet'!#REF!</definedName>
    <definedName name="BLPR320040129203645431" localSheetId="0" hidden="1">'[4]Spread Sheet'!#REF!</definedName>
    <definedName name="BLPR320040129203645431" hidden="1">'[4]Spread Sheet'!#REF!</definedName>
    <definedName name="BLPR320040129203645431_1_4" localSheetId="0" hidden="1">'[4]Spread Sheet'!#REF!</definedName>
    <definedName name="BLPR320040129203645431_1_4" hidden="1">'[4]Spread Sheet'!#REF!</definedName>
    <definedName name="BLPR320040129203645431_2_4" localSheetId="0" hidden="1">'[4]Spread Sheet'!#REF!</definedName>
    <definedName name="BLPR320040129203645431_2_4" hidden="1">'[4]Spread Sheet'!#REF!</definedName>
    <definedName name="BLPR320040129203645431_3_4" localSheetId="0" hidden="1">'[4]Spread Sheet'!#REF!</definedName>
    <definedName name="BLPR320040129203645431_3_4" hidden="1">'[4]Spread Sheet'!#REF!</definedName>
    <definedName name="BLPR320040129203645431_4_4" localSheetId="0" hidden="1">'[4]Spread Sheet'!#REF!</definedName>
    <definedName name="BLPR320040129203645431_4_4" hidden="1">'[4]Spread Sheet'!#REF!</definedName>
    <definedName name="BLPR3220040129204514692" localSheetId="0" hidden="1">'[4]Spread Sheet'!#REF!</definedName>
    <definedName name="BLPR3220040129204514692" hidden="1">'[4]Spread Sheet'!#REF!</definedName>
    <definedName name="BLPR3220040129204514692_1_1" localSheetId="0" hidden="1">'[4]Spread Sheet'!#REF!</definedName>
    <definedName name="BLPR3220040129204514692_1_1" hidden="1">'[4]Spread Sheet'!#REF!</definedName>
    <definedName name="BLPR3320040129204514702" localSheetId="0" hidden="1">'[4]Spread Sheet'!#REF!</definedName>
    <definedName name="BLPR3320040129204514702" hidden="1">'[4]Spread Sheet'!#REF!</definedName>
    <definedName name="BLPR3320040129204514702_1_1" localSheetId="0" hidden="1">'[4]Spread Sheet'!#REF!</definedName>
    <definedName name="BLPR3320040129204514702_1_1" hidden="1">'[4]Spread Sheet'!#REF!</definedName>
    <definedName name="BLPR3420040129204514702" localSheetId="0" hidden="1">'[4]Spread Sheet'!#REF!</definedName>
    <definedName name="BLPR3420040129204514702" hidden="1">'[4]Spread Sheet'!#REF!</definedName>
    <definedName name="BLPR3420040129204514702_1_1" localSheetId="0" hidden="1">'[4]Spread Sheet'!#REF!</definedName>
    <definedName name="BLPR3420040129204514702_1_1" hidden="1">'[4]Spread Sheet'!#REF!</definedName>
    <definedName name="BLPR3520040129204514702" localSheetId="0" hidden="1">'[4]Spread Sheet'!#REF!</definedName>
    <definedName name="BLPR3520040129204514702" hidden="1">'[4]Spread Sheet'!#REF!</definedName>
    <definedName name="BLPR3520040129204514702_1_1" localSheetId="0" hidden="1">'[4]Spread Sheet'!#REF!</definedName>
    <definedName name="BLPR3520040129204514702_1_1" hidden="1">'[4]Spread Sheet'!#REF!</definedName>
    <definedName name="BLPR420040129203645431" localSheetId="0" hidden="1">'[4]Spread Sheet'!#REF!</definedName>
    <definedName name="BLPR420040129203645431" hidden="1">'[4]Spread Sheet'!#REF!</definedName>
    <definedName name="BLPR420040129203645431_1_4" localSheetId="0" hidden="1">'[4]Spread Sheet'!#REF!</definedName>
    <definedName name="BLPR420040129203645431_1_4" hidden="1">'[4]Spread Sheet'!#REF!</definedName>
    <definedName name="BLPR420040129203645431_2_4" localSheetId="0" hidden="1">'[4]Spread Sheet'!#REF!</definedName>
    <definedName name="BLPR420040129203645431_2_4" hidden="1">'[4]Spread Sheet'!#REF!</definedName>
    <definedName name="BLPR420040129203645431_3_4" localSheetId="0" hidden="1">'[4]Spread Sheet'!#REF!</definedName>
    <definedName name="BLPR420040129203645431_3_4" hidden="1">'[4]Spread Sheet'!#REF!</definedName>
    <definedName name="BLPR420040129203645431_4_4" localSheetId="0" hidden="1">'[4]Spread Sheet'!#REF!</definedName>
    <definedName name="BLPR420040129203645431_4_4" hidden="1">'[4]Spread Sheet'!#REF!</definedName>
    <definedName name="BLPR520040129203645441" localSheetId="0" hidden="1">'[4]Spread Sheet'!#REF!</definedName>
    <definedName name="BLPR520040129203645441" hidden="1">'[4]Spread Sheet'!#REF!</definedName>
    <definedName name="BLPR520040129203645441_1_4" localSheetId="0" hidden="1">'[4]Spread Sheet'!#REF!</definedName>
    <definedName name="BLPR520040129203645441_1_4" hidden="1">'[4]Spread Sheet'!#REF!</definedName>
    <definedName name="BLPR520040129203645441_2_4" localSheetId="0" hidden="1">'[4]Spread Sheet'!#REF!</definedName>
    <definedName name="BLPR520040129203645441_2_4" hidden="1">'[4]Spread Sheet'!#REF!</definedName>
    <definedName name="BLPR520040129203645441_3_4" localSheetId="0" hidden="1">'[4]Spread Sheet'!#REF!</definedName>
    <definedName name="BLPR520040129203645441_3_4" hidden="1">'[4]Spread Sheet'!#REF!</definedName>
    <definedName name="BLPR520040129203645441_4_4" localSheetId="0" hidden="1">'[4]Spread Sheet'!#REF!</definedName>
    <definedName name="BLPR520040129203645441_4_4" hidden="1">'[4]Spread Sheet'!#REF!</definedName>
    <definedName name="BLPR620040129204149993" localSheetId="0" hidden="1">'[4]Spread Sheet'!#REF!</definedName>
    <definedName name="BLPR620040129204149993" hidden="1">'[4]Spread Sheet'!#REF!</definedName>
    <definedName name="BLPR620040129204149993_1_5" localSheetId="0" hidden="1">'[4]Spread Sheet'!#REF!</definedName>
    <definedName name="BLPR620040129204149993_1_5" hidden="1">'[4]Spread Sheet'!#REF!</definedName>
    <definedName name="BLPR620040129204149993_2_5" localSheetId="0" hidden="1">'[4]Spread Sheet'!#REF!</definedName>
    <definedName name="BLPR620040129204149993_2_5" hidden="1">'[4]Spread Sheet'!#REF!</definedName>
    <definedName name="BLPR620040129204149993_3_5" localSheetId="0" hidden="1">'[4]Spread Sheet'!#REF!</definedName>
    <definedName name="BLPR620040129204149993_3_5" hidden="1">'[4]Spread Sheet'!#REF!</definedName>
    <definedName name="BLPR620040129204149993_4_5" localSheetId="0" hidden="1">'[4]Spread Sheet'!#REF!</definedName>
    <definedName name="BLPR620040129204149993_4_5" hidden="1">'[4]Spread Sheet'!#REF!</definedName>
    <definedName name="BLPR620040129204149993_5_5" localSheetId="0" hidden="1">'[4]Spread Sheet'!#REF!</definedName>
    <definedName name="BLPR620040129204149993_5_5" hidden="1">'[4]Spread Sheet'!#REF!</definedName>
    <definedName name="BLPR720040129204514631" localSheetId="0" hidden="1">'[4]Spread Sheet'!#REF!</definedName>
    <definedName name="BLPR720040129204514631" hidden="1">'[4]Spread Sheet'!#REF!</definedName>
    <definedName name="BLPR720040129204514631_1_5" localSheetId="0" hidden="1">'[4]Spread Sheet'!#REF!</definedName>
    <definedName name="BLPR720040129204514631_1_5" hidden="1">'[4]Spread Sheet'!#REF!</definedName>
    <definedName name="BLPR720040129204514631_2_5" localSheetId="0" hidden="1">'[4]Spread Sheet'!#REF!</definedName>
    <definedName name="BLPR720040129204514631_2_5" hidden="1">'[4]Spread Sheet'!#REF!</definedName>
    <definedName name="BLPR720040129204514631_3_5" localSheetId="0" hidden="1">'[4]Spread Sheet'!#REF!</definedName>
    <definedName name="BLPR720040129204514631_3_5" hidden="1">'[4]Spread Sheet'!#REF!</definedName>
    <definedName name="BLPR720040129204514631_4_5" localSheetId="0" hidden="1">'[4]Spread Sheet'!#REF!</definedName>
    <definedName name="BLPR720040129204514631_4_5" hidden="1">'[4]Spread Sheet'!#REF!</definedName>
    <definedName name="BLPR720040129204514631_5_5" localSheetId="0" hidden="1">'[4]Spread Sheet'!#REF!</definedName>
    <definedName name="BLPR720040129204514631_5_5" hidden="1">'[4]Spread Sheet'!#REF!</definedName>
    <definedName name="BLPR820040129204514642" localSheetId="0" hidden="1">'[4]Spread Sheet'!#REF!</definedName>
    <definedName name="BLPR820040129204514642" hidden="1">'[4]Spread Sheet'!#REF!</definedName>
    <definedName name="BLPR820040129204514642_1_5" localSheetId="0" hidden="1">'[4]Spread Sheet'!#REF!</definedName>
    <definedName name="BLPR820040129204514642_1_5" hidden="1">'[4]Spread Sheet'!#REF!</definedName>
    <definedName name="BLPR820040129204514642_2_5" localSheetId="0" hidden="1">'[4]Spread Sheet'!#REF!</definedName>
    <definedName name="BLPR820040129204514642_2_5" hidden="1">'[4]Spread Sheet'!#REF!</definedName>
    <definedName name="BLPR820040129204514642_3_5" localSheetId="0" hidden="1">'[4]Spread Sheet'!#REF!</definedName>
    <definedName name="BLPR820040129204514642_3_5" hidden="1">'[4]Spread Sheet'!#REF!</definedName>
    <definedName name="BLPR820040129204514642_4_5" localSheetId="0" hidden="1">'[4]Spread Sheet'!#REF!</definedName>
    <definedName name="BLPR820040129204514642_4_5" hidden="1">'[4]Spread Sheet'!#REF!</definedName>
    <definedName name="BLPR820040129204514642_5_5" localSheetId="0" hidden="1">'[4]Spread Sheet'!#REF!</definedName>
    <definedName name="BLPR820040129204514642_5_5" hidden="1">'[4]Spread Sheet'!#REF!</definedName>
    <definedName name="BLPR920040129204514642" localSheetId="0" hidden="1">'[4]Spread Sheet'!#REF!</definedName>
    <definedName name="BLPR920040129204514642" hidden="1">'[4]Spread Sheet'!#REF!</definedName>
    <definedName name="BLPR920040129204514642_1_5" localSheetId="0" hidden="1">'[4]Spread Sheet'!#REF!</definedName>
    <definedName name="BLPR920040129204514642_1_5" hidden="1">'[4]Spread Sheet'!#REF!</definedName>
    <definedName name="BLPR920040129204514642_2_5" localSheetId="0" hidden="1">'[4]Spread Sheet'!#REF!</definedName>
    <definedName name="BLPR920040129204514642_2_5" hidden="1">'[4]Spread Sheet'!#REF!</definedName>
    <definedName name="BLPR920040129204514642_3_5" localSheetId="0" hidden="1">'[4]Spread Sheet'!#REF!</definedName>
    <definedName name="BLPR920040129204514642_3_5" hidden="1">'[4]Spread Sheet'!#REF!</definedName>
    <definedName name="BLPR920040129204514642_4_5" localSheetId="0" hidden="1">'[4]Spread Sheet'!#REF!</definedName>
    <definedName name="BLPR920040129204514642_4_5" hidden="1">'[4]Spread Sheet'!#REF!</definedName>
    <definedName name="BLPR920040129204514642_5_5" localSheetId="0" hidden="1">'[4]Spread Sheet'!#REF!</definedName>
    <definedName name="BLPR920040129204514642_5_5" hidden="1">'[4]Spread Sheet'!#REF!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HTML_CodePage" hidden="1">1252</definedName>
    <definedName name="HTML_Control" hidden="1">{"'SERC'!$E$1:$M$37"}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"Z:\News_2001\kb01030515"</definedName>
    <definedName name="HTML_PathTemplate" hidden="1">"Z:\gochart.htm"</definedName>
    <definedName name="HTML1_1" hidden="1">"[TB9.XLS]St_tot_94_95!$A$1:$J$428"</definedName>
    <definedName name="HTML1_10" hidden="1">""</definedName>
    <definedName name="HTML1_11" hidden="1">1</definedName>
    <definedName name="HTML1_12" hidden="1">"F:\USERS\ECON\Census95\Int\T9ST.htm"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"2/17/98"</definedName>
    <definedName name="HTML1_9" hidden="1">"BPH"</definedName>
    <definedName name="HTML2_1" hidden="1">"[TB9.XLS]St_tot_94_95!$A$1:$J$427"</definedName>
    <definedName name="HTML2_10" hidden="1">""</definedName>
    <definedName name="HTML2_11" hidden="1">1</definedName>
    <definedName name="HTML2_12" hidden="1">"F:\USERS\ECON\Census95\Int\T9ST.htm"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Count" hidden="1">3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41085.5125347222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p" hidden="1">{#N/A,#N/A,TRUE,"Acq-Ass";#N/A,#N/A,TRUE,"Acq-IS";#N/A,#N/A,TRUE,"Acq-BS";#N/A,#N/A,TRUE,"Acq-CF"}</definedName>
    <definedName name="PopCache_GL_INTERFACE_REFERENCE7" localSheetId="12" hidden="1">[5]PopCache!$A$1:$A$2</definedName>
    <definedName name="PopCache_GL_INTERFACE_REFERENCE7" localSheetId="11" hidden="1">[6]PopCache!$A$1:$A$2</definedName>
    <definedName name="PopCache_GL_INTERFACE_REFERENCE7" localSheetId="13" hidden="1">[7]PopCache!$A$1:$A$2</definedName>
    <definedName name="PopCache_GL_INTERFACE_REFERENCE7" localSheetId="10" hidden="1">[6]PopCache!$A$1:$A$2</definedName>
    <definedName name="PopCache_GL_INTERFACE_REFERENCE7" hidden="1">[8]PopCache!$A$1:$A$2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vaffas" hidden="1">{#N/A,#N/A,FALSE,"New-RegularBevel";#N/A,#N/A,FALSE,"Optiva-Optiva2";#N/A,#N/A,FALSE,"Cathlon-Monoblok";#N/A,#N/A,FALSE,"Stylets"}</definedName>
    <definedName name="vvvv" hidden="1">{#N/A,#N/A,FALSE,"New-RegularBevel";#N/A,#N/A,FALSE,"Optiva-Optiva2";#N/A,#N/A,FALSE,"Cathlon-Monoblok";#N/A,#N/A,FALSE,"Stylets"}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rn.AcqState.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hidden="1">{#N/A,#N/A,FALSE,"Acq-Val";#N/A,#N/A,FALSE,"Acq-Mult Val"}</definedName>
    <definedName name="wrn.AcqVal._2" hidden="1">{#N/A,#N/A,FALSE,"Acq-Val";#N/A,#N/A,FALSE,"Acq-Mult Val"}</definedName>
    <definedName name="wrn.AcqVal._22" hidden="1">{#N/A,#N/A,FALSE,"Acq-Val";#N/A,#N/A,FALSE,"Acq-Mult Val"}</definedName>
    <definedName name="wrn.AcqVal.2" hidden="1">{#N/A,#N/A,FALSE,"Acq-Val";#N/A,#N/A,FALSE,"Acq-Mult Val"}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lance._.Sheets." hidden="1">{#N/A,#N/A,FALSE,"Bal sht";"Qtrly Bal Sht",#N/A,FALSE,"Bal sht - QTR"}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hidden="1">{"BS",#N/A,FALSE;"RE",#N/A,FALSE;"IS",#N/A,FALSE;"CASH",#N/A,FALSE}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DCF." hidden="1">{#N/A,#N/A,FALSE,"Brad_DCFM";#N/A,#N/A,FALSE,"Nick_DCFM";#N/A,#N/A,FALSE,"Mobile_DCFM"}</definedName>
    <definedName name="wrn.Detail._.Income._.Statement." hidden="1">{"Facility Detail",#N/A,FALSE,"P&amp;L Detail"}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hidden="1">{"Income Statement",#N/A,FALSE,"P&amp;L - $";"Quarterly Income Statement",#N/A,FALSE,"P&amp;L Detail"}</definedName>
    <definedName name="wrn.LUXCOS." hidden="1">{"LUX_ASSET",#N/A,FALSE,"CII-Q494.XLS";"LUX_LIAB",#N/A,FALSE,"CII-Q494.XLS";"LUX_INC",#N/A,FALSE,"CII-Q494.XLS";"LUXje",#N/A,FALSE,"CII-Q494.XLS"}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Phase._.in." hidden="1">{"Phase in summary",#N/A,FALSE,"P&amp;L Phased"}</definedName>
    <definedName name="wrn.PL._.Detail." hidden="1">{#N/A,#N/A,FALSE,"P&amp;L Detail";#N/A,#N/A,FALSE,"P&amp;L Detail";#N/A,#N/A,FALSE,"P&amp;L Detail"}</definedName>
    <definedName name="wrn.Print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oduzione." hidden="1">{#N/A,#N/A,FALSE,"Produzione 1";#N/A,#N/A,FALSE,"Rettifica 1";#N/A,#N/A,FALSE,"Produzione 2";#N/A,#N/A,FALSE,"Rettifica 2";#N/A,#N/A,FALSE,"Produzione 3"}</definedName>
    <definedName name="wrn.Quarterly._.Income._.Statement." hidden="1">{"Quarterly Income Statement",#N/A,FALSE,"P&amp;L Detail"}</definedName>
    <definedName name="wrn.Report." hidden="1">{#N/A,#N/A,FALSE,"Cost Comparison";#N/A,#N/A,FALSE,"ICP Comparison "}</definedName>
    <definedName name="wrn.Report._.2." hidden="1">{#N/A,#N/A,TRUE,"Pivots-Employee";#N/A,"Scenerio2",TRUE,"Assumptions Summary"}</definedName>
    <definedName name="wrn.Report1." hidden="1">{#N/A,#N/A,TRUE,"Pivots-Employee";#N/A,"Scenario1",TRUE,"Assumptions Summary"}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hidden="1">{"review",#N/A,FALSE,"FACTSHT"}</definedName>
    <definedName name="wrn.review1." hidden="1">{"review",#N/A,FALSE,"FACTSHT"}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tatistics." hidden="1">{"Std Poor",#N/A,FALSE,"S&amp;P";"Sum Stats",#N/A,FALSE,"Stats"}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xxxx" hidden="1">{#N/A,#N/A,FALSE,"New-RegularBevel";#N/A,#N/A,FALSE,"Optiva-Optiva2";#N/A,#N/A,FALSE,"Cathlon-Monoblok";#N/A,#N/A,FALSE,"Stylets"}</definedName>
    <definedName name="xxxxxxxxxxx" hidden="1">{#N/A,#N/A,FALSE,"Costi per Gruppo ";#N/A,#N/A,FALSE,"New-RegularBevel";#N/A,#N/A,FALSE,"Optiva-Optiva2";#N/A,#N/A,FALSE,"Cathlon-Monoblok";#N/A,#N/A,FALSE,"Stylets";#N/A,#N/A,FALSE,"Totali"}</definedName>
  </definedNames>
  <calcPr calcId="145621"/>
</workbook>
</file>

<file path=xl/calcChain.xml><?xml version="1.0" encoding="utf-8"?>
<calcChain xmlns="http://schemas.openxmlformats.org/spreadsheetml/2006/main">
  <c r="N23" i="326" l="1"/>
  <c r="P34" i="326"/>
  <c r="P22" i="326"/>
  <c r="P19" i="326"/>
  <c r="P18" i="326"/>
  <c r="P17" i="326"/>
  <c r="P16" i="326"/>
  <c r="P15" i="326"/>
  <c r="P14" i="326"/>
  <c r="P13" i="326"/>
  <c r="P12" i="326"/>
  <c r="N18" i="326" l="1"/>
  <c r="N16" i="326"/>
  <c r="N15" i="326"/>
  <c r="N12" i="326"/>
  <c r="I29" i="319" l="1"/>
  <c r="K28" i="319"/>
  <c r="H28" i="319"/>
  <c r="H27" i="319"/>
  <c r="K27" i="319" s="1"/>
  <c r="H26" i="319"/>
  <c r="K26" i="319" s="1"/>
  <c r="H25" i="319"/>
  <c r="K25" i="319" s="1"/>
  <c r="K24" i="319"/>
  <c r="H24" i="319"/>
  <c r="H23" i="319"/>
  <c r="K23" i="319" s="1"/>
  <c r="I20" i="319"/>
  <c r="H19" i="319"/>
  <c r="K19" i="319" s="1"/>
  <c r="H18" i="319"/>
  <c r="K18" i="319" s="1"/>
  <c r="H17" i="319"/>
  <c r="K17" i="319" s="1"/>
  <c r="K16" i="319"/>
  <c r="H16" i="319"/>
  <c r="H15" i="319"/>
  <c r="K15" i="319" s="1"/>
  <c r="H14" i="319"/>
  <c r="K14" i="319" s="1"/>
  <c r="J10" i="319"/>
  <c r="G10" i="319"/>
  <c r="F10" i="319"/>
  <c r="K9" i="319"/>
  <c r="H9" i="319"/>
  <c r="K8" i="319"/>
  <c r="H8" i="319"/>
  <c r="H10" i="319" l="1"/>
  <c r="K10" i="319"/>
  <c r="K20" i="319"/>
  <c r="M20" i="319" s="1"/>
  <c r="K34" i="326" s="1"/>
  <c r="K29" i="319"/>
  <c r="M29" i="319" s="1"/>
  <c r="K35" i="326" s="1"/>
  <c r="N47" i="326" s="1"/>
  <c r="I10" i="319"/>
  <c r="H39" i="318" l="1"/>
  <c r="I38" i="318"/>
  <c r="I37" i="318"/>
  <c r="I36" i="318"/>
  <c r="I35" i="318"/>
  <c r="I34" i="318"/>
  <c r="I33" i="318"/>
  <c r="I32" i="318"/>
  <c r="H30" i="318"/>
  <c r="I29" i="318"/>
  <c r="I28" i="318"/>
  <c r="I27" i="318"/>
  <c r="I26" i="318"/>
  <c r="I25" i="318"/>
  <c r="I24" i="318"/>
  <c r="I23" i="318"/>
  <c r="H21" i="318"/>
  <c r="I20" i="318"/>
  <c r="I19" i="318"/>
  <c r="I18" i="318"/>
  <c r="I17" i="318"/>
  <c r="I16" i="318"/>
  <c r="I15" i="318"/>
  <c r="I14" i="318"/>
  <c r="F11" i="318"/>
  <c r="E11" i="318"/>
  <c r="G10" i="318"/>
  <c r="I10" i="318" s="1"/>
  <c r="G9" i="318"/>
  <c r="I9" i="318" s="1"/>
  <c r="G8" i="318"/>
  <c r="I8" i="318" s="1"/>
  <c r="I21" i="318" l="1"/>
  <c r="J21" i="318" s="1"/>
  <c r="F27" i="326" s="1"/>
  <c r="H11" i="318"/>
  <c r="I39" i="318"/>
  <c r="J39" i="318" s="1"/>
  <c r="F31" i="326" s="1"/>
  <c r="I30" i="318"/>
  <c r="J30" i="318" s="1"/>
  <c r="F29" i="326" s="1"/>
  <c r="I11" i="318"/>
  <c r="G11" i="318"/>
  <c r="H26" i="317" l="1"/>
  <c r="F26" i="317"/>
  <c r="E26" i="317"/>
  <c r="G25" i="317"/>
  <c r="J25" i="317" s="1"/>
  <c r="G24" i="317"/>
  <c r="J24" i="317" s="1"/>
  <c r="G23" i="317"/>
  <c r="J23" i="317" s="1"/>
  <c r="G22" i="317"/>
  <c r="J22" i="317" s="1"/>
  <c r="G21" i="317"/>
  <c r="J21" i="317" s="1"/>
  <c r="G20" i="317"/>
  <c r="J20" i="317" s="1"/>
  <c r="G19" i="317"/>
  <c r="J19" i="317" s="1"/>
  <c r="G18" i="317"/>
  <c r="J18" i="317" s="1"/>
  <c r="G17" i="317"/>
  <c r="J17" i="317" s="1"/>
  <c r="G16" i="317"/>
  <c r="J16" i="317" s="1"/>
  <c r="G15" i="317"/>
  <c r="J15" i="317" s="1"/>
  <c r="G14" i="317"/>
  <c r="J14" i="317" s="1"/>
  <c r="G13" i="317"/>
  <c r="J13" i="317" s="1"/>
  <c r="G10" i="317"/>
  <c r="J10" i="317" s="1"/>
  <c r="G9" i="317"/>
  <c r="G26" i="317" s="1"/>
  <c r="J23" i="316"/>
  <c r="G23" i="316"/>
  <c r="F23" i="316"/>
  <c r="H22" i="316"/>
  <c r="K22" i="316" s="1"/>
  <c r="H21" i="316"/>
  <c r="K21" i="316" s="1"/>
  <c r="H20" i="316"/>
  <c r="K20" i="316" s="1"/>
  <c r="H19" i="316"/>
  <c r="K19" i="316" s="1"/>
  <c r="H18" i="316"/>
  <c r="H17" i="316"/>
  <c r="H16" i="316"/>
  <c r="K16" i="316" s="1"/>
  <c r="H15" i="316"/>
  <c r="K15" i="316" s="1"/>
  <c r="H14" i="316"/>
  <c r="K14" i="316" s="1"/>
  <c r="K13" i="326"/>
  <c r="H13" i="316"/>
  <c r="K13" i="316" s="1"/>
  <c r="H12" i="316"/>
  <c r="K12" i="316" s="1"/>
  <c r="H11" i="316"/>
  <c r="H10" i="316"/>
  <c r="K10" i="316" s="1"/>
  <c r="J9" i="317" l="1"/>
  <c r="J26" i="317" s="1"/>
  <c r="I23" i="316"/>
  <c r="K20" i="326"/>
  <c r="K18" i="316"/>
  <c r="K11" i="316"/>
  <c r="K21" i="326"/>
  <c r="K17" i="316"/>
  <c r="H23" i="316"/>
  <c r="K23" i="316" l="1"/>
  <c r="AL82" i="334"/>
  <c r="AL79" i="334"/>
  <c r="AJ76" i="334"/>
  <c r="AI76" i="334"/>
  <c r="AH76" i="334"/>
  <c r="AG76" i="334"/>
  <c r="AC76" i="334"/>
  <c r="AA76" i="334"/>
  <c r="V76" i="334"/>
  <c r="L76" i="334"/>
  <c r="U69" i="334"/>
  <c r="U76" i="334" s="1"/>
  <c r="L59" i="334"/>
  <c r="L65" i="334" s="1"/>
  <c r="W58" i="334"/>
  <c r="AF58" i="334" s="1"/>
  <c r="V58" i="334"/>
  <c r="AJ58" i="334" s="1"/>
  <c r="W57" i="334"/>
  <c r="AF57" i="334" s="1"/>
  <c r="V57" i="334"/>
  <c r="AJ57" i="334" s="1"/>
  <c r="AF56" i="334"/>
  <c r="U56" i="334"/>
  <c r="I56" i="334"/>
  <c r="AF55" i="334"/>
  <c r="U55" i="334"/>
  <c r="U54" i="334"/>
  <c r="AI54" i="334" s="1"/>
  <c r="AF53" i="334"/>
  <c r="U53" i="334"/>
  <c r="AF52" i="334"/>
  <c r="U52" i="334"/>
  <c r="AI52" i="334" s="1"/>
  <c r="AF51" i="334"/>
  <c r="U51" i="334"/>
  <c r="AF50" i="334"/>
  <c r="U50" i="334"/>
  <c r="AI50" i="334" s="1"/>
  <c r="AF49" i="334"/>
  <c r="V49" i="334"/>
  <c r="V65" i="334" s="1"/>
  <c r="AF48" i="334"/>
  <c r="U48" i="334"/>
  <c r="I48" i="334"/>
  <c r="L45" i="334"/>
  <c r="L28" i="334"/>
  <c r="L34" i="334" s="1"/>
  <c r="W27" i="334"/>
  <c r="AF27" i="334" s="1"/>
  <c r="V27" i="334"/>
  <c r="AJ27" i="334" s="1"/>
  <c r="V26" i="334"/>
  <c r="W25" i="334"/>
  <c r="AF25" i="334" s="1"/>
  <c r="V25" i="334"/>
  <c r="AF24" i="334"/>
  <c r="W24" i="334"/>
  <c r="AJ24" i="334" s="1"/>
  <c r="V24" i="334"/>
  <c r="V23" i="334"/>
  <c r="AF22" i="334"/>
  <c r="V22" i="334"/>
  <c r="AF21" i="334"/>
  <c r="U21" i="334"/>
  <c r="AI21" i="334" s="1"/>
  <c r="AF20" i="334"/>
  <c r="U20" i="334"/>
  <c r="AF19" i="334"/>
  <c r="U19" i="334"/>
  <c r="AI19" i="334" s="1"/>
  <c r="AF18" i="334"/>
  <c r="U18" i="334"/>
  <c r="AD82" i="334" s="1"/>
  <c r="AJ17" i="334"/>
  <c r="V17" i="334"/>
  <c r="AJ16" i="334"/>
  <c r="V16" i="334"/>
  <c r="I16" i="334"/>
  <c r="W15" i="334"/>
  <c r="AJ15" i="334" s="1"/>
  <c r="AJ34" i="334" s="1"/>
  <c r="V15" i="334"/>
  <c r="V34" i="334" s="1"/>
  <c r="I15" i="334"/>
  <c r="L12" i="334"/>
  <c r="AG48" i="334" l="1"/>
  <c r="AA16" i="334"/>
  <c r="V79" i="334"/>
  <c r="AC57" i="334" s="1"/>
  <c r="AA17" i="334"/>
  <c r="V35" i="334"/>
  <c r="AH22" i="334" s="1"/>
  <c r="AC25" i="334"/>
  <c r="AK53" i="334"/>
  <c r="AK56" i="334"/>
  <c r="AH17" i="334"/>
  <c r="AC26" i="334"/>
  <c r="J15" i="334"/>
  <c r="AH16" i="334"/>
  <c r="AC23" i="334"/>
  <c r="AA26" i="334"/>
  <c r="L79" i="334"/>
  <c r="AE82" i="334"/>
  <c r="AI48" i="334"/>
  <c r="AI65" i="334" s="1"/>
  <c r="AI79" i="334" s="1"/>
  <c r="AK50" i="334"/>
  <c r="AC58" i="334"/>
  <c r="Y15" i="334"/>
  <c r="Y76" i="334" s="1"/>
  <c r="AH15" i="334"/>
  <c r="AH34" i="334" s="1"/>
  <c r="AC16" i="334"/>
  <c r="AC17" i="334"/>
  <c r="AI18" i="334"/>
  <c r="AI34" i="334" s="1"/>
  <c r="AI20" i="334"/>
  <c r="AA22" i="334"/>
  <c r="AJ22" i="334"/>
  <c r="AA23" i="334"/>
  <c r="Y24" i="334"/>
  <c r="AH24" i="334"/>
  <c r="Y25" i="334"/>
  <c r="AH25" i="334"/>
  <c r="Y26" i="334"/>
  <c r="AD48" i="334"/>
  <c r="AK48" i="334"/>
  <c r="AH49" i="334"/>
  <c r="AI51" i="334"/>
  <c r="AI53" i="334"/>
  <c r="Y54" i="334"/>
  <c r="AF54" i="334"/>
  <c r="AG55" i="334"/>
  <c r="Z56" i="334"/>
  <c r="AG56" i="334"/>
  <c r="AE69" i="334"/>
  <c r="AE79" i="334" s="1"/>
  <c r="AK82" i="334"/>
  <c r="AK20" i="334" s="1"/>
  <c r="AD21" i="334"/>
  <c r="AD52" i="334"/>
  <c r="AD54" i="334"/>
  <c r="AK18" i="334"/>
  <c r="AD20" i="334"/>
  <c r="AA24" i="334"/>
  <c r="AA25" i="334"/>
  <c r="AJ25" i="334"/>
  <c r="AH27" i="334"/>
  <c r="U34" i="334"/>
  <c r="Z19" i="334" s="1"/>
  <c r="AA49" i="334"/>
  <c r="AJ49" i="334"/>
  <c r="AJ65" i="334" s="1"/>
  <c r="AJ79" i="334" s="1"/>
  <c r="Z50" i="334"/>
  <c r="AG50" i="334"/>
  <c r="AD51" i="334"/>
  <c r="Z52" i="334"/>
  <c r="AG52" i="334"/>
  <c r="AD53" i="334"/>
  <c r="AG54" i="334"/>
  <c r="AI55" i="334"/>
  <c r="AI56" i="334"/>
  <c r="AH57" i="334"/>
  <c r="AH58" i="334"/>
  <c r="U65" i="334"/>
  <c r="AF15" i="334"/>
  <c r="AF76" i="334" s="1"/>
  <c r="AD19" i="334"/>
  <c r="AK19" i="334"/>
  <c r="AC27" i="334"/>
  <c r="AD50" i="334"/>
  <c r="AK52" i="334"/>
  <c r="AA15" i="334"/>
  <c r="AA34" i="334" s="1"/>
  <c r="AF16" i="334"/>
  <c r="AF17" i="334"/>
  <c r="AD18" i="334"/>
  <c r="AC15" i="334"/>
  <c r="AC34" i="334" s="1"/>
  <c r="AA27" i="334"/>
  <c r="Z48" i="334"/>
  <c r="AC49" i="334"/>
  <c r="AC65" i="334" s="1"/>
  <c r="AD55" i="334"/>
  <c r="AD56" i="334"/>
  <c r="AA57" i="334"/>
  <c r="AA58" i="334"/>
  <c r="Z69" i="334"/>
  <c r="Z76" i="334" s="1"/>
  <c r="AC79" i="334" l="1"/>
  <c r="AD79" i="334"/>
  <c r="AG21" i="334"/>
  <c r="L84" i="334"/>
  <c r="Y53" i="334"/>
  <c r="J52" i="334"/>
  <c r="Y51" i="334"/>
  <c r="J50" i="334"/>
  <c r="J21" i="334"/>
  <c r="Y20" i="334"/>
  <c r="J19" i="334"/>
  <c r="Y18" i="334"/>
  <c r="Y23" i="334"/>
  <c r="Y22" i="334"/>
  <c r="Y69" i="334"/>
  <c r="Y58" i="334"/>
  <c r="Y57" i="334"/>
  <c r="J49" i="334"/>
  <c r="Y48" i="334"/>
  <c r="Y27" i="334"/>
  <c r="Y55" i="334"/>
  <c r="J16" i="334"/>
  <c r="J79" i="334" s="1"/>
  <c r="J55" i="334"/>
  <c r="J53" i="334"/>
  <c r="Y52" i="334"/>
  <c r="J51" i="334"/>
  <c r="Y50" i="334"/>
  <c r="J22" i="334"/>
  <c r="Y21" i="334"/>
  <c r="J20" i="334"/>
  <c r="Y19" i="334"/>
  <c r="J18" i="334"/>
  <c r="Y56" i="334"/>
  <c r="AK55" i="334"/>
  <c r="J48" i="334"/>
  <c r="AC24" i="334"/>
  <c r="Z20" i="334"/>
  <c r="Z18" i="334"/>
  <c r="U79" i="334"/>
  <c r="AG20" i="334"/>
  <c r="AG18" i="334"/>
  <c r="AG34" i="334" s="1"/>
  <c r="Z21" i="334"/>
  <c r="AH65" i="334"/>
  <c r="AK21" i="334"/>
  <c r="J56" i="334"/>
  <c r="Y17" i="334"/>
  <c r="AK51" i="334"/>
  <c r="AK79" i="334" s="1"/>
  <c r="AC22" i="334"/>
  <c r="AG19" i="334"/>
  <c r="AG53" i="334"/>
  <c r="AG51" i="334"/>
  <c r="AG65" i="334" s="1"/>
  <c r="Z53" i="334"/>
  <c r="Z51" i="334"/>
  <c r="Z54" i="334"/>
  <c r="AA65" i="334"/>
  <c r="Z55" i="334"/>
  <c r="Y49" i="334"/>
  <c r="AK54" i="334"/>
  <c r="Y16" i="334"/>
  <c r="Z65" i="334" l="1"/>
  <c r="AB20" i="334"/>
  <c r="AB53" i="334"/>
  <c r="AB56" i="334"/>
  <c r="AB54" i="334"/>
  <c r="AB48" i="334"/>
  <c r="AB65" i="334" s="1"/>
  <c r="AB19" i="334"/>
  <c r="AB69" i="334"/>
  <c r="AB76" i="334" s="1"/>
  <c r="AB52" i="334"/>
  <c r="AB18" i="334"/>
  <c r="AB34" i="334" s="1"/>
  <c r="AB51" i="334"/>
  <c r="AB55" i="334"/>
  <c r="AB21" i="334"/>
  <c r="AB50" i="334"/>
  <c r="Z34" i="334"/>
  <c r="P59" i="326"/>
  <c r="N59" i="326"/>
  <c r="K59" i="326"/>
  <c r="H56" i="326"/>
  <c r="R56" i="326" s="1"/>
  <c r="U56" i="326" s="1"/>
  <c r="U55" i="326"/>
  <c r="H55" i="326"/>
  <c r="R55" i="326" s="1"/>
  <c r="R41" i="326"/>
  <c r="P41" i="326"/>
  <c r="N41" i="326"/>
  <c r="K41" i="326"/>
  <c r="H41" i="326"/>
  <c r="F41" i="326"/>
  <c r="R35" i="326"/>
  <c r="K31" i="326"/>
  <c r="R31" i="326" s="1"/>
  <c r="H30" i="326"/>
  <c r="K29" i="326"/>
  <c r="R29" i="326" s="1"/>
  <c r="H28" i="326"/>
  <c r="K27" i="326"/>
  <c r="H26" i="326"/>
  <c r="R23" i="326"/>
  <c r="H21" i="326"/>
  <c r="R21" i="326" s="1"/>
  <c r="U21" i="326" s="1"/>
  <c r="H20" i="326"/>
  <c r="R20" i="326" s="1"/>
  <c r="U20" i="326" s="1"/>
  <c r="N17" i="326"/>
  <c r="N14" i="326"/>
  <c r="N13" i="326"/>
  <c r="P37" i="326"/>
  <c r="P43" i="326" s="1"/>
  <c r="P62" i="326" s="1"/>
  <c r="R27" i="326" l="1"/>
  <c r="N46" i="326"/>
  <c r="U31" i="326"/>
  <c r="N37" i="326"/>
  <c r="N43" i="326" s="1"/>
  <c r="N62" i="326" s="1"/>
  <c r="F37" i="326"/>
  <c r="F43" i="326" s="1"/>
  <c r="U41" i="326" s="1"/>
  <c r="R34" i="326"/>
  <c r="AB79" i="334"/>
  <c r="U29" i="326"/>
  <c r="U27" i="326"/>
  <c r="D191" i="321"/>
  <c r="C191" i="321"/>
  <c r="D190" i="321"/>
  <c r="C190" i="321"/>
  <c r="D189" i="321"/>
  <c r="C189" i="321"/>
  <c r="D188" i="321"/>
  <c r="C188" i="321"/>
  <c r="D187" i="321"/>
  <c r="C187" i="321"/>
  <c r="D186" i="321"/>
  <c r="C186" i="321"/>
  <c r="D185" i="321"/>
  <c r="C185" i="321"/>
  <c r="D184" i="321"/>
  <c r="C184" i="321"/>
  <c r="D183" i="321"/>
  <c r="C183" i="321"/>
  <c r="D182" i="321"/>
  <c r="C182" i="321"/>
  <c r="D181" i="321"/>
  <c r="C181" i="321"/>
  <c r="D180" i="321"/>
  <c r="C180" i="321"/>
  <c r="D179" i="321"/>
  <c r="C179" i="321"/>
  <c r="D178" i="321"/>
  <c r="C178" i="321"/>
  <c r="D177" i="321"/>
  <c r="C177" i="321"/>
  <c r="D176" i="321"/>
  <c r="C176" i="321"/>
  <c r="D175" i="321"/>
  <c r="C175" i="321"/>
  <c r="D174" i="321"/>
  <c r="C174" i="321"/>
  <c r="D173" i="321"/>
  <c r="C173" i="321"/>
  <c r="D172" i="321"/>
  <c r="C172" i="321"/>
  <c r="D171" i="321"/>
  <c r="C171" i="321"/>
  <c r="D170" i="321"/>
  <c r="C170" i="321"/>
  <c r="D169" i="321"/>
  <c r="C169" i="321"/>
  <c r="D168" i="321"/>
  <c r="C168" i="321"/>
  <c r="D167" i="321"/>
  <c r="C167" i="321"/>
  <c r="D166" i="321"/>
  <c r="C166" i="321"/>
  <c r="D165" i="321"/>
  <c r="C165" i="321"/>
  <c r="D164" i="321"/>
  <c r="C164" i="321"/>
  <c r="D163" i="321"/>
  <c r="C163" i="321"/>
  <c r="D162" i="321"/>
  <c r="C162" i="321"/>
  <c r="G162" i="321"/>
  <c r="G163" i="321" s="1"/>
  <c r="G164" i="321" s="1"/>
  <c r="G165" i="321" s="1"/>
  <c r="G166" i="321" s="1"/>
  <c r="G167" i="321" s="1"/>
  <c r="G168" i="321" s="1"/>
  <c r="G169" i="321" s="1"/>
  <c r="G170" i="321" s="1"/>
  <c r="G171" i="321" s="1"/>
  <c r="G172" i="321" s="1"/>
  <c r="G173" i="321" s="1"/>
  <c r="G174" i="321" s="1"/>
  <c r="G175" i="321" s="1"/>
  <c r="G176" i="321" s="1"/>
  <c r="G177" i="321" s="1"/>
  <c r="G178" i="321" s="1"/>
  <c r="G179" i="321" s="1"/>
  <c r="G180" i="321" s="1"/>
  <c r="G181" i="321" s="1"/>
  <c r="G182" i="321" s="1"/>
  <c r="G183" i="321" s="1"/>
  <c r="G184" i="321" s="1"/>
  <c r="G185" i="321" s="1"/>
  <c r="G186" i="321" s="1"/>
  <c r="G187" i="321" s="1"/>
  <c r="G188" i="321" s="1"/>
  <c r="G189" i="321" s="1"/>
  <c r="G190" i="321" s="1"/>
  <c r="G191" i="321" s="1"/>
  <c r="D54" i="326" s="1"/>
  <c r="D161" i="321"/>
  <c r="C161" i="321"/>
  <c r="D160" i="321"/>
  <c r="C160" i="321"/>
  <c r="D159" i="321"/>
  <c r="C159" i="321"/>
  <c r="D158" i="321"/>
  <c r="C158" i="321"/>
  <c r="D157" i="321"/>
  <c r="C157" i="321"/>
  <c r="D156" i="321"/>
  <c r="C156" i="321"/>
  <c r="D155" i="321"/>
  <c r="C155" i="321"/>
  <c r="D154" i="321"/>
  <c r="C154" i="321"/>
  <c r="D153" i="321"/>
  <c r="C153" i="321"/>
  <c r="D152" i="321"/>
  <c r="C152" i="321"/>
  <c r="D151" i="321"/>
  <c r="C151" i="321"/>
  <c r="D150" i="321"/>
  <c r="C150" i="321"/>
  <c r="D149" i="321"/>
  <c r="C149" i="321"/>
  <c r="D148" i="321"/>
  <c r="C148" i="321"/>
  <c r="D147" i="321"/>
  <c r="C147" i="321"/>
  <c r="D146" i="321"/>
  <c r="C146" i="321"/>
  <c r="D145" i="321"/>
  <c r="C145" i="321"/>
  <c r="D144" i="321"/>
  <c r="C144" i="321"/>
  <c r="D143" i="321"/>
  <c r="C143" i="321"/>
  <c r="D142" i="321"/>
  <c r="C142" i="321"/>
  <c r="D141" i="321"/>
  <c r="C141" i="321"/>
  <c r="D140" i="321"/>
  <c r="C140" i="321"/>
  <c r="D139" i="321"/>
  <c r="C139" i="321"/>
  <c r="D138" i="321"/>
  <c r="C138" i="321"/>
  <c r="D137" i="321"/>
  <c r="C137" i="321"/>
  <c r="D136" i="321"/>
  <c r="C136" i="321"/>
  <c r="D135" i="321"/>
  <c r="C135" i="321"/>
  <c r="D134" i="321"/>
  <c r="C134" i="321"/>
  <c r="D133" i="321"/>
  <c r="C133" i="321"/>
  <c r="D132" i="321"/>
  <c r="C132" i="321"/>
  <c r="G132" i="321"/>
  <c r="G133" i="321" s="1"/>
  <c r="G134" i="321" s="1"/>
  <c r="G135" i="321" s="1"/>
  <c r="G136" i="321" s="1"/>
  <c r="G137" i="321" s="1"/>
  <c r="G138" i="321" s="1"/>
  <c r="G139" i="321" s="1"/>
  <c r="G140" i="321" s="1"/>
  <c r="G141" i="321" s="1"/>
  <c r="G142" i="321" s="1"/>
  <c r="G143" i="321" s="1"/>
  <c r="G144" i="321" s="1"/>
  <c r="G145" i="321" s="1"/>
  <c r="G146" i="321" s="1"/>
  <c r="G147" i="321" s="1"/>
  <c r="G148" i="321" s="1"/>
  <c r="G149" i="321" s="1"/>
  <c r="G150" i="321" s="1"/>
  <c r="G151" i="321" s="1"/>
  <c r="G152" i="321" s="1"/>
  <c r="G153" i="321" s="1"/>
  <c r="G154" i="321" s="1"/>
  <c r="G155" i="321" s="1"/>
  <c r="G156" i="321" s="1"/>
  <c r="G157" i="321" s="1"/>
  <c r="G158" i="321" s="1"/>
  <c r="G159" i="321" s="1"/>
  <c r="G160" i="321" s="1"/>
  <c r="D131" i="321"/>
  <c r="C131" i="321"/>
  <c r="D130" i="321"/>
  <c r="C130" i="321"/>
  <c r="D129" i="321"/>
  <c r="C129" i="321"/>
  <c r="D128" i="321"/>
  <c r="C128" i="321"/>
  <c r="D127" i="321"/>
  <c r="C127" i="321"/>
  <c r="D126" i="321"/>
  <c r="C126" i="321"/>
  <c r="D125" i="321"/>
  <c r="C125" i="321"/>
  <c r="D124" i="321"/>
  <c r="C124" i="321"/>
  <c r="D123" i="321"/>
  <c r="C123" i="321"/>
  <c r="D122" i="321"/>
  <c r="C122" i="321"/>
  <c r="D121" i="321"/>
  <c r="C121" i="321"/>
  <c r="D120" i="321"/>
  <c r="C120" i="321"/>
  <c r="D119" i="321"/>
  <c r="C119" i="321"/>
  <c r="D118" i="321"/>
  <c r="C118" i="321"/>
  <c r="D117" i="321"/>
  <c r="C117" i="321"/>
  <c r="D116" i="321"/>
  <c r="C116" i="321"/>
  <c r="D115" i="321"/>
  <c r="C115" i="321"/>
  <c r="D114" i="321"/>
  <c r="C114" i="321"/>
  <c r="D113" i="321"/>
  <c r="C113" i="321"/>
  <c r="D112" i="321"/>
  <c r="C112" i="321"/>
  <c r="D111" i="321"/>
  <c r="C111" i="321"/>
  <c r="D110" i="321"/>
  <c r="C110" i="321"/>
  <c r="D109" i="321"/>
  <c r="C109" i="321"/>
  <c r="D108" i="321"/>
  <c r="C108" i="321"/>
  <c r="D107" i="321"/>
  <c r="C107" i="321"/>
  <c r="D106" i="321"/>
  <c r="C106" i="321"/>
  <c r="D105" i="321"/>
  <c r="C105" i="321"/>
  <c r="D104" i="321"/>
  <c r="C104" i="321"/>
  <c r="D103" i="321"/>
  <c r="C103" i="321"/>
  <c r="D102" i="321"/>
  <c r="C102" i="321"/>
  <c r="D101" i="321"/>
  <c r="C101" i="321"/>
  <c r="G101" i="321"/>
  <c r="G102" i="321" s="1"/>
  <c r="G103" i="321" s="1"/>
  <c r="G104" i="321" s="1"/>
  <c r="G105" i="321" s="1"/>
  <c r="G106" i="321" s="1"/>
  <c r="G107" i="321" s="1"/>
  <c r="G108" i="321" s="1"/>
  <c r="G109" i="321" s="1"/>
  <c r="G110" i="321" s="1"/>
  <c r="G111" i="321" s="1"/>
  <c r="G112" i="321" s="1"/>
  <c r="G113" i="321" s="1"/>
  <c r="G114" i="321" s="1"/>
  <c r="G115" i="321" s="1"/>
  <c r="G116" i="321" s="1"/>
  <c r="G117" i="321" s="1"/>
  <c r="G118" i="321" s="1"/>
  <c r="G119" i="321" s="1"/>
  <c r="G120" i="321" s="1"/>
  <c r="G121" i="321" s="1"/>
  <c r="G122" i="321" s="1"/>
  <c r="G123" i="321" s="1"/>
  <c r="G124" i="321" s="1"/>
  <c r="G125" i="321" s="1"/>
  <c r="G126" i="321" s="1"/>
  <c r="G127" i="321" s="1"/>
  <c r="G128" i="321" s="1"/>
  <c r="G129" i="321" s="1"/>
  <c r="G130" i="321" s="1"/>
  <c r="D100" i="321"/>
  <c r="C100" i="321"/>
  <c r="D99" i="321"/>
  <c r="C99" i="321"/>
  <c r="D98" i="321"/>
  <c r="C98" i="321"/>
  <c r="D97" i="321"/>
  <c r="C97" i="321"/>
  <c r="D96" i="321"/>
  <c r="C96" i="321"/>
  <c r="D95" i="321"/>
  <c r="C95" i="321"/>
  <c r="D94" i="321"/>
  <c r="C94" i="321"/>
  <c r="D93" i="321"/>
  <c r="C93" i="321"/>
  <c r="D92" i="321"/>
  <c r="C92" i="321"/>
  <c r="D91" i="321"/>
  <c r="C91" i="321"/>
  <c r="D90" i="321"/>
  <c r="C90" i="321"/>
  <c r="D89" i="321"/>
  <c r="C89" i="321"/>
  <c r="D88" i="321"/>
  <c r="C88" i="321"/>
  <c r="D87" i="321"/>
  <c r="C87" i="321"/>
  <c r="D86" i="321"/>
  <c r="C86" i="321"/>
  <c r="D85" i="321"/>
  <c r="C85" i="321"/>
  <c r="D84" i="321"/>
  <c r="C84" i="321"/>
  <c r="D83" i="321"/>
  <c r="C83" i="321"/>
  <c r="D82" i="321"/>
  <c r="C82" i="321"/>
  <c r="D81" i="321"/>
  <c r="C81" i="321"/>
  <c r="D80" i="321"/>
  <c r="C80" i="321"/>
  <c r="D79" i="321"/>
  <c r="C79" i="321"/>
  <c r="D78" i="321"/>
  <c r="C78" i="321"/>
  <c r="D77" i="321"/>
  <c r="C77" i="321"/>
  <c r="D76" i="321"/>
  <c r="C76" i="321"/>
  <c r="D75" i="321"/>
  <c r="C75" i="321"/>
  <c r="D74" i="321"/>
  <c r="C74" i="321"/>
  <c r="D73" i="321"/>
  <c r="C73" i="321"/>
  <c r="D72" i="321"/>
  <c r="C72" i="321"/>
  <c r="D71" i="321"/>
  <c r="C71" i="321"/>
  <c r="D70" i="321"/>
  <c r="C70" i="321"/>
  <c r="D69" i="321"/>
  <c r="C69" i="321"/>
  <c r="D68" i="321"/>
  <c r="C68" i="321"/>
  <c r="D67" i="321"/>
  <c r="C67" i="321"/>
  <c r="D66" i="321"/>
  <c r="C66" i="321"/>
  <c r="D65" i="321"/>
  <c r="C65" i="321"/>
  <c r="D64" i="321"/>
  <c r="C64" i="321"/>
  <c r="D63" i="321"/>
  <c r="C63" i="321"/>
  <c r="D62" i="321"/>
  <c r="C62" i="321"/>
  <c r="D61" i="321"/>
  <c r="C61" i="321"/>
  <c r="D60" i="321"/>
  <c r="C60" i="321"/>
  <c r="D59" i="321"/>
  <c r="C59" i="321"/>
  <c r="D58" i="321"/>
  <c r="C58" i="321"/>
  <c r="D57" i="321"/>
  <c r="C57" i="321"/>
  <c r="D56" i="321"/>
  <c r="C56" i="321"/>
  <c r="D55" i="321"/>
  <c r="C55" i="321"/>
  <c r="D54" i="321"/>
  <c r="C54" i="321"/>
  <c r="D53" i="321"/>
  <c r="C53" i="321"/>
  <c r="D52" i="321"/>
  <c r="C52" i="321"/>
  <c r="D51" i="321"/>
  <c r="C51" i="321"/>
  <c r="D50" i="321"/>
  <c r="C50" i="321"/>
  <c r="D49" i="321"/>
  <c r="C49" i="321"/>
  <c r="D48" i="321"/>
  <c r="C48" i="321"/>
  <c r="D47" i="321"/>
  <c r="C47" i="321"/>
  <c r="D46" i="321"/>
  <c r="C46" i="321"/>
  <c r="D45" i="321"/>
  <c r="C45" i="321"/>
  <c r="D44" i="321"/>
  <c r="C44" i="321"/>
  <c r="D43" i="321"/>
  <c r="C43" i="321"/>
  <c r="D42" i="321"/>
  <c r="C42" i="321"/>
  <c r="D41" i="321"/>
  <c r="C41" i="321"/>
  <c r="D40" i="321"/>
  <c r="C40" i="321"/>
  <c r="D39" i="321"/>
  <c r="C39" i="321"/>
  <c r="D38" i="321"/>
  <c r="C38" i="321"/>
  <c r="D37" i="321"/>
  <c r="C37" i="321"/>
  <c r="D36" i="321"/>
  <c r="C36" i="321"/>
  <c r="D35" i="321"/>
  <c r="C35" i="321"/>
  <c r="D34" i="321"/>
  <c r="C34" i="321"/>
  <c r="D33" i="321"/>
  <c r="C33" i="321"/>
  <c r="D32" i="321"/>
  <c r="C32" i="321"/>
  <c r="D31" i="321"/>
  <c r="C31" i="321"/>
  <c r="D30" i="321"/>
  <c r="C30" i="321"/>
  <c r="D29" i="321"/>
  <c r="C29" i="321"/>
  <c r="D28" i="321"/>
  <c r="C28" i="321"/>
  <c r="D27" i="321"/>
  <c r="C27" i="321"/>
  <c r="D26" i="321"/>
  <c r="C26" i="321"/>
  <c r="D25" i="321"/>
  <c r="C25" i="321"/>
  <c r="D24" i="321"/>
  <c r="C24" i="321"/>
  <c r="D23" i="321"/>
  <c r="C23" i="321"/>
  <c r="D22" i="321"/>
  <c r="C22" i="321"/>
  <c r="D21" i="321"/>
  <c r="C21" i="321"/>
  <c r="D20" i="321"/>
  <c r="C20" i="321"/>
  <c r="D19" i="321"/>
  <c r="C19" i="321"/>
  <c r="D18" i="321"/>
  <c r="C18" i="321"/>
  <c r="D17" i="321"/>
  <c r="C17" i="321"/>
  <c r="D16" i="321"/>
  <c r="C16" i="321"/>
  <c r="D15" i="321"/>
  <c r="C15" i="321"/>
  <c r="D14" i="321"/>
  <c r="C14" i="321"/>
  <c r="D13" i="321"/>
  <c r="C13" i="321"/>
  <c r="D12" i="321"/>
  <c r="C12" i="321"/>
  <c r="D11" i="321"/>
  <c r="C11" i="321"/>
  <c r="D10" i="321"/>
  <c r="C10" i="321"/>
  <c r="D9" i="321"/>
  <c r="C9" i="321"/>
  <c r="G9" i="321"/>
  <c r="G10" i="321" s="1"/>
  <c r="G11" i="321" s="1"/>
  <c r="G12" i="321" s="1"/>
  <c r="G13" i="321" s="1"/>
  <c r="G14" i="321" s="1"/>
  <c r="G15" i="321" s="1"/>
  <c r="G16" i="321" s="1"/>
  <c r="G17" i="321" s="1"/>
  <c r="G18" i="321" s="1"/>
  <c r="G19" i="321" s="1"/>
  <c r="G20" i="321" s="1"/>
  <c r="G21" i="321" s="1"/>
  <c r="G22" i="321" s="1"/>
  <c r="G23" i="321" s="1"/>
  <c r="G24" i="321" s="1"/>
  <c r="G25" i="321" s="1"/>
  <c r="G26" i="321" s="1"/>
  <c r="G27" i="321" s="1"/>
  <c r="G28" i="321" s="1"/>
  <c r="G29" i="321" s="1"/>
  <c r="G30" i="321" s="1"/>
  <c r="G31" i="321" s="1"/>
  <c r="G32" i="321" s="1"/>
  <c r="G33" i="321" s="1"/>
  <c r="G34" i="321" s="1"/>
  <c r="G35" i="321" s="1"/>
  <c r="G36" i="321" s="1"/>
  <c r="G37" i="321" s="1"/>
  <c r="G38" i="321" s="1"/>
  <c r="D8" i="321"/>
  <c r="C8" i="321"/>
  <c r="A9" i="321"/>
  <c r="A10" i="321" s="1"/>
  <c r="A11" i="321" s="1"/>
  <c r="A12" i="321" s="1"/>
  <c r="A13" i="321" s="1"/>
  <c r="A14" i="321" s="1"/>
  <c r="A15" i="321" s="1"/>
  <c r="A16" i="321" s="1"/>
  <c r="A17" i="321" s="1"/>
  <c r="A18" i="321" s="1"/>
  <c r="A19" i="321" s="1"/>
  <c r="A20" i="321" s="1"/>
  <c r="A21" i="321" s="1"/>
  <c r="A22" i="321" s="1"/>
  <c r="A23" i="321" s="1"/>
  <c r="A24" i="321" s="1"/>
  <c r="A25" i="321" s="1"/>
  <c r="A26" i="321" s="1"/>
  <c r="A27" i="321" s="1"/>
  <c r="A28" i="321" s="1"/>
  <c r="A29" i="321" s="1"/>
  <c r="A30" i="321" s="1"/>
  <c r="A31" i="321" s="1"/>
  <c r="A32" i="321" s="1"/>
  <c r="A33" i="321" s="1"/>
  <c r="A34" i="321" s="1"/>
  <c r="A35" i="321" s="1"/>
  <c r="A36" i="321" s="1"/>
  <c r="A37" i="321" s="1"/>
  <c r="A38" i="321" s="1"/>
  <c r="A39" i="321" s="1"/>
  <c r="A40" i="321" s="1"/>
  <c r="A41" i="321" s="1"/>
  <c r="A42" i="321" s="1"/>
  <c r="A43" i="321" s="1"/>
  <c r="A44" i="321" s="1"/>
  <c r="A45" i="321" s="1"/>
  <c r="A46" i="321" s="1"/>
  <c r="A47" i="321" s="1"/>
  <c r="A48" i="321" s="1"/>
  <c r="A49" i="321" s="1"/>
  <c r="A50" i="321" s="1"/>
  <c r="A51" i="321" s="1"/>
  <c r="A52" i="321" s="1"/>
  <c r="A53" i="321" s="1"/>
  <c r="A54" i="321" s="1"/>
  <c r="A55" i="321" s="1"/>
  <c r="A56" i="321" s="1"/>
  <c r="A57" i="321" s="1"/>
  <c r="A58" i="321" s="1"/>
  <c r="A59" i="321" s="1"/>
  <c r="A60" i="321" s="1"/>
  <c r="A61" i="321" s="1"/>
  <c r="A62" i="321" s="1"/>
  <c r="A63" i="321" s="1"/>
  <c r="A64" i="321" s="1"/>
  <c r="A65" i="321" s="1"/>
  <c r="A66" i="321" s="1"/>
  <c r="A67" i="321" s="1"/>
  <c r="A68" i="321" s="1"/>
  <c r="A69" i="321" s="1"/>
  <c r="A70" i="321" s="1"/>
  <c r="A71" i="321" s="1"/>
  <c r="A72" i="321" s="1"/>
  <c r="A73" i="321" s="1"/>
  <c r="A74" i="321" s="1"/>
  <c r="A75" i="321" s="1"/>
  <c r="A76" i="321" s="1"/>
  <c r="A77" i="321" s="1"/>
  <c r="A78" i="321" s="1"/>
  <c r="A79" i="321" s="1"/>
  <c r="A80" i="321" s="1"/>
  <c r="A81" i="321" s="1"/>
  <c r="A82" i="321" s="1"/>
  <c r="A83" i="321" s="1"/>
  <c r="A84" i="321" s="1"/>
  <c r="A85" i="321" s="1"/>
  <c r="A86" i="321" s="1"/>
  <c r="A87" i="321" s="1"/>
  <c r="A88" i="321" s="1"/>
  <c r="A89" i="321" s="1"/>
  <c r="A90" i="321" s="1"/>
  <c r="A91" i="321" s="1"/>
  <c r="A92" i="321" s="1"/>
  <c r="A93" i="321" s="1"/>
  <c r="A94" i="321" s="1"/>
  <c r="A95" i="321" s="1"/>
  <c r="A96" i="321" s="1"/>
  <c r="A97" i="321" s="1"/>
  <c r="A98" i="321" s="1"/>
  <c r="A99" i="321" s="1"/>
  <c r="A100" i="321" s="1"/>
  <c r="A101" i="321" s="1"/>
  <c r="A102" i="321" s="1"/>
  <c r="A103" i="321" s="1"/>
  <c r="A104" i="321" s="1"/>
  <c r="A105" i="321" s="1"/>
  <c r="A106" i="321" s="1"/>
  <c r="A107" i="321" s="1"/>
  <c r="A108" i="321" s="1"/>
  <c r="A109" i="321" s="1"/>
  <c r="A110" i="321" s="1"/>
  <c r="A111" i="321" s="1"/>
  <c r="A112" i="321" s="1"/>
  <c r="A113" i="321" s="1"/>
  <c r="A114" i="321" s="1"/>
  <c r="A115" i="321" s="1"/>
  <c r="A116" i="321" s="1"/>
  <c r="A117" i="321" s="1"/>
  <c r="A118" i="321" s="1"/>
  <c r="A119" i="321" s="1"/>
  <c r="A120" i="321" s="1"/>
  <c r="A121" i="321" s="1"/>
  <c r="A122" i="321" s="1"/>
  <c r="A123" i="321" s="1"/>
  <c r="A124" i="321" s="1"/>
  <c r="A125" i="321" s="1"/>
  <c r="A126" i="321" s="1"/>
  <c r="A127" i="321" s="1"/>
  <c r="A128" i="321" s="1"/>
  <c r="A129" i="321" s="1"/>
  <c r="A130" i="321" s="1"/>
  <c r="A131" i="321" s="1"/>
  <c r="A132" i="321" s="1"/>
  <c r="A133" i="321" s="1"/>
  <c r="A134" i="321" s="1"/>
  <c r="A135" i="321" s="1"/>
  <c r="A136" i="321" s="1"/>
  <c r="A137" i="321" s="1"/>
  <c r="A138" i="321" s="1"/>
  <c r="A139" i="321" s="1"/>
  <c r="A140" i="321" s="1"/>
  <c r="A141" i="321" s="1"/>
  <c r="A142" i="321" s="1"/>
  <c r="A143" i="321" s="1"/>
  <c r="A144" i="321" s="1"/>
  <c r="A145" i="321" s="1"/>
  <c r="A146" i="321" s="1"/>
  <c r="A147" i="321" s="1"/>
  <c r="A148" i="321" s="1"/>
  <c r="A149" i="321" s="1"/>
  <c r="A150" i="321" s="1"/>
  <c r="A151" i="321" s="1"/>
  <c r="A152" i="321" s="1"/>
  <c r="A153" i="321" s="1"/>
  <c r="A154" i="321" s="1"/>
  <c r="A155" i="321" s="1"/>
  <c r="A156" i="321" s="1"/>
  <c r="A157" i="321" s="1"/>
  <c r="A158" i="321" s="1"/>
  <c r="A159" i="321" s="1"/>
  <c r="A160" i="321" s="1"/>
  <c r="A162" i="321" s="1"/>
  <c r="A163" i="321" s="1"/>
  <c r="A164" i="321" s="1"/>
  <c r="A165" i="321" s="1"/>
  <c r="A166" i="321" s="1"/>
  <c r="A167" i="321" s="1"/>
  <c r="A168" i="321" s="1"/>
  <c r="A169" i="321" s="1"/>
  <c r="A170" i="321" s="1"/>
  <c r="A171" i="321" s="1"/>
  <c r="A172" i="321" s="1"/>
  <c r="A173" i="321" s="1"/>
  <c r="A174" i="321" s="1"/>
  <c r="A175" i="321" s="1"/>
  <c r="A176" i="321" s="1"/>
  <c r="A177" i="321" s="1"/>
  <c r="A178" i="321" s="1"/>
  <c r="A179" i="321" s="1"/>
  <c r="A180" i="321" s="1"/>
  <c r="A181" i="321" s="1"/>
  <c r="A182" i="321" s="1"/>
  <c r="A183" i="321" s="1"/>
  <c r="A184" i="321" s="1"/>
  <c r="A185" i="321" s="1"/>
  <c r="A186" i="321" s="1"/>
  <c r="A187" i="321" s="1"/>
  <c r="A188" i="321" s="1"/>
  <c r="A189" i="321" s="1"/>
  <c r="A190" i="321" s="1"/>
  <c r="A191" i="321" s="1"/>
  <c r="G40" i="321" l="1"/>
  <c r="G41" i="321" s="1"/>
  <c r="G42" i="321" s="1"/>
  <c r="G43" i="321" s="1"/>
  <c r="G44" i="321" s="1"/>
  <c r="G45" i="321" s="1"/>
  <c r="G46" i="321" s="1"/>
  <c r="G47" i="321" s="1"/>
  <c r="G48" i="321" s="1"/>
  <c r="G49" i="321" s="1"/>
  <c r="G50" i="321" s="1"/>
  <c r="G51" i="321" s="1"/>
  <c r="G52" i="321" s="1"/>
  <c r="G53" i="321" s="1"/>
  <c r="G54" i="321" s="1"/>
  <c r="G55" i="321" s="1"/>
  <c r="G56" i="321" s="1"/>
  <c r="G57" i="321" s="1"/>
  <c r="G58" i="321" s="1"/>
  <c r="G59" i="321" s="1"/>
  <c r="G60" i="321" s="1"/>
  <c r="G61" i="321" s="1"/>
  <c r="G62" i="321" s="1"/>
  <c r="G63" i="321" s="1"/>
  <c r="G64" i="321" s="1"/>
  <c r="G65" i="321" s="1"/>
  <c r="G66" i="321" s="1"/>
  <c r="G67" i="321" s="1"/>
  <c r="G68" i="321" s="1"/>
  <c r="G70" i="321"/>
  <c r="G71" i="321" s="1"/>
  <c r="G72" i="321" s="1"/>
  <c r="G73" i="321" s="1"/>
  <c r="G74" i="321" s="1"/>
  <c r="G75" i="321" s="1"/>
  <c r="G76" i="321" s="1"/>
  <c r="G77" i="321" s="1"/>
  <c r="G78" i="321" s="1"/>
  <c r="G79" i="321" s="1"/>
  <c r="G80" i="321" s="1"/>
  <c r="G81" i="321" s="1"/>
  <c r="G82" i="321" s="1"/>
  <c r="G83" i="321" s="1"/>
  <c r="G84" i="321" s="1"/>
  <c r="G85" i="321" s="1"/>
  <c r="G86" i="321" s="1"/>
  <c r="G87" i="321" s="1"/>
  <c r="G88" i="321" s="1"/>
  <c r="G89" i="321" s="1"/>
  <c r="G90" i="321" s="1"/>
  <c r="G91" i="321" s="1"/>
  <c r="G92" i="321" s="1"/>
  <c r="G93" i="321" s="1"/>
  <c r="G94" i="321" s="1"/>
  <c r="G95" i="321" s="1"/>
  <c r="G96" i="321" s="1"/>
  <c r="G97" i="321" s="1"/>
  <c r="G98" i="321" s="1"/>
  <c r="G99" i="321" s="1"/>
  <c r="L99" i="321" l="1"/>
  <c r="K68" i="321"/>
  <c r="L68" i="321"/>
  <c r="K99" i="321"/>
  <c r="K33" i="326" l="1"/>
  <c r="R33" i="326" s="1"/>
  <c r="K19" i="326"/>
  <c r="K28" i="326"/>
  <c r="R28" i="326" s="1"/>
  <c r="U28" i="326" s="1"/>
  <c r="K26" i="326"/>
  <c r="R26" i="326" s="1"/>
  <c r="U26" i="326" s="1"/>
  <c r="K17" i="326"/>
  <c r="K15" i="326"/>
  <c r="K16" i="326"/>
  <c r="K14" i="326"/>
  <c r="K22" i="326"/>
  <c r="N45" i="326" l="1"/>
  <c r="K30" i="326"/>
  <c r="R30" i="326" s="1"/>
  <c r="U30" i="326" s="1"/>
  <c r="K37" i="326" l="1"/>
  <c r="K43" i="326" s="1"/>
  <c r="K62" i="326" s="1"/>
  <c r="K190" i="314" l="1"/>
  <c r="D22" i="326" s="1"/>
  <c r="J190" i="314"/>
  <c r="I190" i="314"/>
  <c r="F190" i="314"/>
  <c r="F189" i="314"/>
  <c r="F188" i="314"/>
  <c r="F187" i="314"/>
  <c r="F186" i="314"/>
  <c r="F185" i="314"/>
  <c r="F184" i="314"/>
  <c r="F183" i="314"/>
  <c r="F182" i="314"/>
  <c r="F181" i="314"/>
  <c r="F180" i="314"/>
  <c r="F179" i="314"/>
  <c r="F178" i="314"/>
  <c r="F177" i="314"/>
  <c r="F176" i="314"/>
  <c r="F175" i="314"/>
  <c r="F174" i="314"/>
  <c r="F173" i="314"/>
  <c r="F172" i="314"/>
  <c r="F171" i="314"/>
  <c r="F170" i="314"/>
  <c r="F169" i="314"/>
  <c r="F168" i="314"/>
  <c r="F167" i="314"/>
  <c r="F166" i="314"/>
  <c r="F165" i="314"/>
  <c r="F164" i="314"/>
  <c r="F163" i="314"/>
  <c r="F162" i="314"/>
  <c r="F161" i="314"/>
  <c r="F160" i="314"/>
  <c r="K159" i="314"/>
  <c r="J159" i="314"/>
  <c r="I159" i="314"/>
  <c r="F159" i="314"/>
  <c r="F158" i="314"/>
  <c r="F157" i="314"/>
  <c r="F156" i="314"/>
  <c r="F155" i="314"/>
  <c r="F154" i="314"/>
  <c r="F153" i="314"/>
  <c r="F152" i="314"/>
  <c r="F151" i="314"/>
  <c r="F150" i="314"/>
  <c r="F149" i="314"/>
  <c r="F148" i="314"/>
  <c r="F147" i="314"/>
  <c r="F146" i="314"/>
  <c r="F145" i="314"/>
  <c r="F144" i="314"/>
  <c r="F143" i="314"/>
  <c r="F142" i="314"/>
  <c r="F141" i="314"/>
  <c r="F140" i="314"/>
  <c r="F139" i="314"/>
  <c r="F138" i="314"/>
  <c r="F137" i="314"/>
  <c r="F136" i="314"/>
  <c r="F135" i="314"/>
  <c r="F134" i="314"/>
  <c r="F133" i="314"/>
  <c r="F132" i="314"/>
  <c r="F131" i="314"/>
  <c r="F130" i="314"/>
  <c r="K129" i="314"/>
  <c r="J129" i="314"/>
  <c r="I129" i="314"/>
  <c r="F129" i="314"/>
  <c r="F128" i="314"/>
  <c r="F127" i="314"/>
  <c r="F126" i="314"/>
  <c r="F125" i="314"/>
  <c r="F124" i="314"/>
  <c r="F123" i="314"/>
  <c r="F122" i="314"/>
  <c r="F121" i="314"/>
  <c r="F120" i="314"/>
  <c r="F119" i="314"/>
  <c r="F118" i="314"/>
  <c r="F117" i="314"/>
  <c r="F116" i="314"/>
  <c r="F115" i="314"/>
  <c r="F114" i="314"/>
  <c r="F113" i="314"/>
  <c r="F112" i="314"/>
  <c r="F111" i="314"/>
  <c r="F110" i="314"/>
  <c r="F109" i="314"/>
  <c r="F108" i="314"/>
  <c r="F107" i="314"/>
  <c r="F106" i="314"/>
  <c r="F105" i="314"/>
  <c r="F104" i="314"/>
  <c r="F103" i="314"/>
  <c r="F102" i="314"/>
  <c r="F101" i="314"/>
  <c r="F100" i="314"/>
  <c r="F99" i="314"/>
  <c r="K98" i="314"/>
  <c r="J98" i="314"/>
  <c r="I98" i="314"/>
  <c r="F98" i="314"/>
  <c r="F97" i="314"/>
  <c r="F96" i="314"/>
  <c r="F95" i="314"/>
  <c r="F94" i="314"/>
  <c r="F93" i="314"/>
  <c r="F92" i="314"/>
  <c r="F91" i="314"/>
  <c r="F90" i="314"/>
  <c r="F89" i="314"/>
  <c r="F88" i="314"/>
  <c r="F87" i="314"/>
  <c r="F86" i="314"/>
  <c r="F85" i="314"/>
  <c r="F84" i="314"/>
  <c r="F83" i="314"/>
  <c r="F82" i="314"/>
  <c r="F81" i="314"/>
  <c r="F80" i="314"/>
  <c r="F79" i="314"/>
  <c r="F78" i="314"/>
  <c r="F77" i="314"/>
  <c r="F76" i="314"/>
  <c r="F75" i="314"/>
  <c r="F74" i="314"/>
  <c r="F73" i="314"/>
  <c r="F72" i="314"/>
  <c r="F71" i="314"/>
  <c r="F70" i="314"/>
  <c r="F69" i="314"/>
  <c r="F68" i="314"/>
  <c r="K67" i="314"/>
  <c r="J67" i="314"/>
  <c r="I67" i="314"/>
  <c r="F67" i="314"/>
  <c r="F66" i="314"/>
  <c r="F65" i="314"/>
  <c r="F64" i="314"/>
  <c r="F63" i="314"/>
  <c r="F62" i="314"/>
  <c r="F61" i="314"/>
  <c r="F60" i="314"/>
  <c r="F59" i="314"/>
  <c r="F58" i="314"/>
  <c r="F57" i="314"/>
  <c r="F56" i="314"/>
  <c r="F55" i="314"/>
  <c r="F54" i="314"/>
  <c r="F53" i="314"/>
  <c r="F52" i="314"/>
  <c r="F51" i="314"/>
  <c r="F50" i="314"/>
  <c r="F49" i="314"/>
  <c r="F48" i="314"/>
  <c r="F47" i="314"/>
  <c r="F46" i="314"/>
  <c r="F45" i="314"/>
  <c r="F44" i="314"/>
  <c r="F43" i="314"/>
  <c r="F42" i="314"/>
  <c r="F41" i="314"/>
  <c r="F40" i="314"/>
  <c r="F39" i="314"/>
  <c r="F38" i="314"/>
  <c r="K37" i="314"/>
  <c r="J37" i="314"/>
  <c r="I37" i="314"/>
  <c r="F37" i="314"/>
  <c r="F36" i="314"/>
  <c r="F35" i="314"/>
  <c r="F34" i="314"/>
  <c r="F33" i="314"/>
  <c r="F32" i="314"/>
  <c r="F31" i="314"/>
  <c r="F30" i="314"/>
  <c r="F29" i="314"/>
  <c r="F28" i="314"/>
  <c r="F27" i="314"/>
  <c r="F26" i="314"/>
  <c r="F25" i="314"/>
  <c r="F24" i="314"/>
  <c r="F23" i="314"/>
  <c r="F22" i="314"/>
  <c r="F21" i="314"/>
  <c r="F20" i="314"/>
  <c r="F19" i="314"/>
  <c r="F18" i="314"/>
  <c r="F17" i="314"/>
  <c r="F16" i="314"/>
  <c r="F15" i="314"/>
  <c r="F14" i="314"/>
  <c r="F13" i="314"/>
  <c r="F12" i="314"/>
  <c r="F11" i="314"/>
  <c r="F10" i="314"/>
  <c r="F9" i="314"/>
  <c r="F8" i="314"/>
  <c r="F7" i="314"/>
  <c r="B8" i="314"/>
  <c r="B9" i="314" s="1"/>
  <c r="B10" i="314" s="1"/>
  <c r="B11" i="314" s="1"/>
  <c r="B12" i="314" s="1"/>
  <c r="B13" i="314" s="1"/>
  <c r="B14" i="314" s="1"/>
  <c r="B15" i="314" s="1"/>
  <c r="B16" i="314" s="1"/>
  <c r="B17" i="314" s="1"/>
  <c r="B18" i="314" s="1"/>
  <c r="B19" i="314" s="1"/>
  <c r="B20" i="314" s="1"/>
  <c r="B21" i="314" s="1"/>
  <c r="B22" i="314" s="1"/>
  <c r="B23" i="314" s="1"/>
  <c r="B24" i="314" s="1"/>
  <c r="B25" i="314" s="1"/>
  <c r="B26" i="314" s="1"/>
  <c r="B27" i="314" s="1"/>
  <c r="B28" i="314" s="1"/>
  <c r="B29" i="314" s="1"/>
  <c r="B30" i="314" s="1"/>
  <c r="B31" i="314" s="1"/>
  <c r="B32" i="314" s="1"/>
  <c r="B33" i="314" s="1"/>
  <c r="B34" i="314" s="1"/>
  <c r="B35" i="314" s="1"/>
  <c r="B36" i="314" s="1"/>
  <c r="B37" i="314" s="1"/>
  <c r="B38" i="314" s="1"/>
  <c r="B39" i="314" s="1"/>
  <c r="B40" i="314" s="1"/>
  <c r="B41" i="314" s="1"/>
  <c r="B42" i="314" s="1"/>
  <c r="B43" i="314" s="1"/>
  <c r="B44" i="314" s="1"/>
  <c r="B45" i="314" s="1"/>
  <c r="B46" i="314" s="1"/>
  <c r="B47" i="314" s="1"/>
  <c r="B48" i="314" s="1"/>
  <c r="B49" i="314" s="1"/>
  <c r="B50" i="314" s="1"/>
  <c r="B51" i="314" s="1"/>
  <c r="B52" i="314" s="1"/>
  <c r="B53" i="314" s="1"/>
  <c r="B54" i="314" s="1"/>
  <c r="B55" i="314" s="1"/>
  <c r="B56" i="314" s="1"/>
  <c r="B57" i="314" s="1"/>
  <c r="B58" i="314" s="1"/>
  <c r="B59" i="314" s="1"/>
  <c r="B60" i="314" s="1"/>
  <c r="B61" i="314" s="1"/>
  <c r="B62" i="314" s="1"/>
  <c r="B63" i="314" s="1"/>
  <c r="B64" i="314" s="1"/>
  <c r="B65" i="314" s="1"/>
  <c r="B66" i="314" s="1"/>
  <c r="B67" i="314" s="1"/>
  <c r="B68" i="314" s="1"/>
  <c r="B69" i="314" s="1"/>
  <c r="B70" i="314" s="1"/>
  <c r="B71" i="314" s="1"/>
  <c r="B72" i="314" s="1"/>
  <c r="B73" i="314" s="1"/>
  <c r="B74" i="314" s="1"/>
  <c r="B75" i="314" s="1"/>
  <c r="B76" i="314" s="1"/>
  <c r="B77" i="314" s="1"/>
  <c r="B78" i="314" s="1"/>
  <c r="B79" i="314" s="1"/>
  <c r="B80" i="314" s="1"/>
  <c r="B81" i="314" s="1"/>
  <c r="B82" i="314" s="1"/>
  <c r="B83" i="314" s="1"/>
  <c r="B84" i="314" s="1"/>
  <c r="B85" i="314" s="1"/>
  <c r="B86" i="314" s="1"/>
  <c r="B87" i="314" s="1"/>
  <c r="B88" i="314" s="1"/>
  <c r="B89" i="314" s="1"/>
  <c r="B90" i="314" s="1"/>
  <c r="B91" i="314" s="1"/>
  <c r="B92" i="314" s="1"/>
  <c r="B93" i="314" s="1"/>
  <c r="B94" i="314" s="1"/>
  <c r="B95" i="314" s="1"/>
  <c r="B96" i="314" s="1"/>
  <c r="B97" i="314" s="1"/>
  <c r="B98" i="314" s="1"/>
  <c r="B99" i="314" s="1"/>
  <c r="B100" i="314" s="1"/>
  <c r="B101" i="314" s="1"/>
  <c r="B102" i="314" s="1"/>
  <c r="B103" i="314" s="1"/>
  <c r="B104" i="314" s="1"/>
  <c r="B105" i="314" s="1"/>
  <c r="B106" i="314" s="1"/>
  <c r="B107" i="314" s="1"/>
  <c r="B108" i="314" s="1"/>
  <c r="B109" i="314" s="1"/>
  <c r="B110" i="314" s="1"/>
  <c r="B111" i="314" s="1"/>
  <c r="B112" i="314" s="1"/>
  <c r="B113" i="314" s="1"/>
  <c r="B114" i="314" s="1"/>
  <c r="B115" i="314" s="1"/>
  <c r="B116" i="314" s="1"/>
  <c r="B117" i="314" s="1"/>
  <c r="B118" i="314" s="1"/>
  <c r="B119" i="314" s="1"/>
  <c r="B120" i="314" s="1"/>
  <c r="B121" i="314" s="1"/>
  <c r="B122" i="314" s="1"/>
  <c r="B123" i="314" s="1"/>
  <c r="B124" i="314" s="1"/>
  <c r="B125" i="314" s="1"/>
  <c r="B126" i="314" s="1"/>
  <c r="B127" i="314" s="1"/>
  <c r="B128" i="314" s="1"/>
  <c r="B129" i="314" s="1"/>
  <c r="B130" i="314" s="1"/>
  <c r="B131" i="314" s="1"/>
  <c r="B132" i="314" s="1"/>
  <c r="B133" i="314" s="1"/>
  <c r="B134" i="314" s="1"/>
  <c r="B135" i="314" s="1"/>
  <c r="B136" i="314" s="1"/>
  <c r="B137" i="314" s="1"/>
  <c r="B138" i="314" s="1"/>
  <c r="B139" i="314" s="1"/>
  <c r="B140" i="314" s="1"/>
  <c r="B141" i="314" s="1"/>
  <c r="B142" i="314" s="1"/>
  <c r="B143" i="314" s="1"/>
  <c r="B144" i="314" s="1"/>
  <c r="B145" i="314" s="1"/>
  <c r="B146" i="314" s="1"/>
  <c r="B147" i="314" s="1"/>
  <c r="B148" i="314" s="1"/>
  <c r="B149" i="314" s="1"/>
  <c r="B150" i="314" s="1"/>
  <c r="B151" i="314" s="1"/>
  <c r="B152" i="314" s="1"/>
  <c r="B153" i="314" s="1"/>
  <c r="B154" i="314" s="1"/>
  <c r="B155" i="314" s="1"/>
  <c r="B156" i="314" s="1"/>
  <c r="B157" i="314" s="1"/>
  <c r="B158" i="314" s="1"/>
  <c r="B159" i="314" s="1"/>
  <c r="B160" i="314" s="1"/>
  <c r="B161" i="314" s="1"/>
  <c r="B162" i="314" s="1"/>
  <c r="B163" i="314" s="1"/>
  <c r="B164" i="314" s="1"/>
  <c r="B165" i="314" s="1"/>
  <c r="B166" i="314" s="1"/>
  <c r="B167" i="314" s="1"/>
  <c r="B168" i="314" s="1"/>
  <c r="B169" i="314" s="1"/>
  <c r="B170" i="314" s="1"/>
  <c r="B171" i="314" s="1"/>
  <c r="B172" i="314" s="1"/>
  <c r="B173" i="314" s="1"/>
  <c r="B174" i="314" s="1"/>
  <c r="B175" i="314" s="1"/>
  <c r="B176" i="314" s="1"/>
  <c r="B177" i="314" s="1"/>
  <c r="B178" i="314" s="1"/>
  <c r="B179" i="314" s="1"/>
  <c r="B180" i="314" s="1"/>
  <c r="B181" i="314" s="1"/>
  <c r="B182" i="314" s="1"/>
  <c r="B183" i="314" s="1"/>
  <c r="B184" i="314" s="1"/>
  <c r="B185" i="314" s="1"/>
  <c r="B186" i="314" s="1"/>
  <c r="B187" i="314" s="1"/>
  <c r="B188" i="314" s="1"/>
  <c r="B189" i="314" s="1"/>
  <c r="B190" i="314" s="1"/>
  <c r="H19" i="326"/>
  <c r="R19" i="326" s="1"/>
  <c r="U19" i="326" s="1"/>
  <c r="K190" i="313"/>
  <c r="D19" i="326" s="1"/>
  <c r="J190" i="313"/>
  <c r="I190" i="313"/>
  <c r="F190" i="313"/>
  <c r="F189" i="313"/>
  <c r="F188" i="313"/>
  <c r="F187" i="313"/>
  <c r="F186" i="313"/>
  <c r="F185" i="313"/>
  <c r="F184" i="313"/>
  <c r="F183" i="313"/>
  <c r="F182" i="313"/>
  <c r="F181" i="313"/>
  <c r="F180" i="313"/>
  <c r="F179" i="313"/>
  <c r="F178" i="313"/>
  <c r="F177" i="313"/>
  <c r="F176" i="313"/>
  <c r="F175" i="313"/>
  <c r="F174" i="313"/>
  <c r="F173" i="313"/>
  <c r="F172" i="313"/>
  <c r="F171" i="313"/>
  <c r="F170" i="313"/>
  <c r="F169" i="313"/>
  <c r="F168" i="313"/>
  <c r="F167" i="313"/>
  <c r="F166" i="313"/>
  <c r="F165" i="313"/>
  <c r="F164" i="313"/>
  <c r="F163" i="313"/>
  <c r="F162" i="313"/>
  <c r="F161" i="313"/>
  <c r="F160" i="313"/>
  <c r="K159" i="313"/>
  <c r="J159" i="313"/>
  <c r="I159" i="313"/>
  <c r="F159" i="313"/>
  <c r="F158" i="313"/>
  <c r="F157" i="313"/>
  <c r="F156" i="313"/>
  <c r="F155" i="313"/>
  <c r="F154" i="313"/>
  <c r="F153" i="313"/>
  <c r="F152" i="313"/>
  <c r="F151" i="313"/>
  <c r="F150" i="313"/>
  <c r="F149" i="313"/>
  <c r="F148" i="313"/>
  <c r="F147" i="313"/>
  <c r="F146" i="313"/>
  <c r="F145" i="313"/>
  <c r="F144" i="313"/>
  <c r="F143" i="313"/>
  <c r="F142" i="313"/>
  <c r="F141" i="313"/>
  <c r="F140" i="313"/>
  <c r="F139" i="313"/>
  <c r="F138" i="313"/>
  <c r="F137" i="313"/>
  <c r="F136" i="313"/>
  <c r="F135" i="313"/>
  <c r="F134" i="313"/>
  <c r="F133" i="313"/>
  <c r="F132" i="313"/>
  <c r="F131" i="313"/>
  <c r="F130" i="313"/>
  <c r="K129" i="313"/>
  <c r="J129" i="313"/>
  <c r="I129" i="313"/>
  <c r="F129" i="313"/>
  <c r="F128" i="313"/>
  <c r="F127" i="313"/>
  <c r="F126" i="313"/>
  <c r="F125" i="313"/>
  <c r="F124" i="313"/>
  <c r="F123" i="313"/>
  <c r="F122" i="313"/>
  <c r="F121" i="313"/>
  <c r="F120" i="313"/>
  <c r="F119" i="313"/>
  <c r="F118" i="313"/>
  <c r="F117" i="313"/>
  <c r="F116" i="313"/>
  <c r="F115" i="313"/>
  <c r="F114" i="313"/>
  <c r="F113" i="313"/>
  <c r="F112" i="313"/>
  <c r="F111" i="313"/>
  <c r="F110" i="313"/>
  <c r="F109" i="313"/>
  <c r="F108" i="313"/>
  <c r="F107" i="313"/>
  <c r="F106" i="313"/>
  <c r="F105" i="313"/>
  <c r="F104" i="313"/>
  <c r="F103" i="313"/>
  <c r="F102" i="313"/>
  <c r="F101" i="313"/>
  <c r="F100" i="313"/>
  <c r="F99" i="313"/>
  <c r="K98" i="313"/>
  <c r="J98" i="313"/>
  <c r="I98" i="313"/>
  <c r="F98" i="313"/>
  <c r="F97" i="313"/>
  <c r="F96" i="313"/>
  <c r="F95" i="313"/>
  <c r="F94" i="313"/>
  <c r="F93" i="313"/>
  <c r="F92" i="313"/>
  <c r="F91" i="313"/>
  <c r="F90" i="313"/>
  <c r="F89" i="313"/>
  <c r="F88" i="313"/>
  <c r="F87" i="313"/>
  <c r="F86" i="313"/>
  <c r="F85" i="313"/>
  <c r="F84" i="313"/>
  <c r="F83" i="313"/>
  <c r="F82" i="313"/>
  <c r="F81" i="313"/>
  <c r="F80" i="313"/>
  <c r="F79" i="313"/>
  <c r="F78" i="313"/>
  <c r="F77" i="313"/>
  <c r="F76" i="313"/>
  <c r="F75" i="313"/>
  <c r="F74" i="313"/>
  <c r="F73" i="313"/>
  <c r="F72" i="313"/>
  <c r="F71" i="313"/>
  <c r="F70" i="313"/>
  <c r="F69" i="313"/>
  <c r="F68" i="313"/>
  <c r="K67" i="313"/>
  <c r="J67" i="313"/>
  <c r="I67" i="313"/>
  <c r="F67" i="313"/>
  <c r="F66" i="313"/>
  <c r="F65" i="313"/>
  <c r="F64" i="313"/>
  <c r="F63" i="313"/>
  <c r="F62" i="313"/>
  <c r="F61" i="313"/>
  <c r="F60" i="313"/>
  <c r="F59" i="313"/>
  <c r="F58" i="313"/>
  <c r="F57" i="313"/>
  <c r="F56" i="313"/>
  <c r="F55" i="313"/>
  <c r="F54" i="313"/>
  <c r="F53" i="313"/>
  <c r="F52" i="313"/>
  <c r="F51" i="313"/>
  <c r="F50" i="313"/>
  <c r="F49" i="313"/>
  <c r="F48" i="313"/>
  <c r="F47" i="313"/>
  <c r="F46" i="313"/>
  <c r="F45" i="313"/>
  <c r="F44" i="313"/>
  <c r="F43" i="313"/>
  <c r="F42" i="313"/>
  <c r="F41" i="313"/>
  <c r="F40" i="313"/>
  <c r="F39" i="313"/>
  <c r="F38" i="313"/>
  <c r="K37" i="313"/>
  <c r="J37" i="313"/>
  <c r="I37" i="313"/>
  <c r="F37" i="313"/>
  <c r="F36" i="313"/>
  <c r="F35" i="313"/>
  <c r="F34" i="313"/>
  <c r="F33" i="313"/>
  <c r="F32" i="313"/>
  <c r="F31" i="313"/>
  <c r="F30" i="313"/>
  <c r="F29" i="313"/>
  <c r="F28" i="313"/>
  <c r="F27" i="313"/>
  <c r="F26" i="313"/>
  <c r="F25" i="313"/>
  <c r="F24" i="313"/>
  <c r="F23" i="313"/>
  <c r="F22" i="313"/>
  <c r="F21" i="313"/>
  <c r="F20" i="313"/>
  <c r="F19" i="313"/>
  <c r="F18" i="313"/>
  <c r="F17" i="313"/>
  <c r="F16" i="313"/>
  <c r="F15" i="313"/>
  <c r="F14" i="313"/>
  <c r="F13" i="313"/>
  <c r="F12" i="313"/>
  <c r="F11" i="313"/>
  <c r="F10" i="313"/>
  <c r="F9" i="313"/>
  <c r="F8" i="313"/>
  <c r="F7" i="313"/>
  <c r="B8" i="313"/>
  <c r="B9" i="313" s="1"/>
  <c r="B10" i="313" s="1"/>
  <c r="B11" i="313" s="1"/>
  <c r="B12" i="313" s="1"/>
  <c r="B13" i="313" s="1"/>
  <c r="B14" i="313" s="1"/>
  <c r="B15" i="313" s="1"/>
  <c r="B16" i="313" s="1"/>
  <c r="B17" i="313" s="1"/>
  <c r="B18" i="313" s="1"/>
  <c r="B19" i="313" s="1"/>
  <c r="B20" i="313" s="1"/>
  <c r="B21" i="313" s="1"/>
  <c r="B22" i="313" s="1"/>
  <c r="B23" i="313" s="1"/>
  <c r="B24" i="313" s="1"/>
  <c r="B25" i="313" s="1"/>
  <c r="B26" i="313" s="1"/>
  <c r="B27" i="313" s="1"/>
  <c r="B28" i="313" s="1"/>
  <c r="B29" i="313" s="1"/>
  <c r="B30" i="313" s="1"/>
  <c r="B31" i="313" s="1"/>
  <c r="B32" i="313" s="1"/>
  <c r="B33" i="313" s="1"/>
  <c r="B34" i="313" s="1"/>
  <c r="B35" i="313" s="1"/>
  <c r="B36" i="313" s="1"/>
  <c r="B37" i="313" s="1"/>
  <c r="B38" i="313" s="1"/>
  <c r="B39" i="313" s="1"/>
  <c r="B40" i="313" s="1"/>
  <c r="B41" i="313" s="1"/>
  <c r="B42" i="313" s="1"/>
  <c r="B43" i="313" s="1"/>
  <c r="B44" i="313" s="1"/>
  <c r="B45" i="313" s="1"/>
  <c r="B46" i="313" s="1"/>
  <c r="B47" i="313" s="1"/>
  <c r="B48" i="313" s="1"/>
  <c r="B49" i="313" s="1"/>
  <c r="B50" i="313" s="1"/>
  <c r="B51" i="313" s="1"/>
  <c r="B52" i="313" s="1"/>
  <c r="B53" i="313" s="1"/>
  <c r="B54" i="313" s="1"/>
  <c r="B55" i="313" s="1"/>
  <c r="B56" i="313" s="1"/>
  <c r="B57" i="313" s="1"/>
  <c r="B58" i="313" s="1"/>
  <c r="B59" i="313" s="1"/>
  <c r="B60" i="313" s="1"/>
  <c r="B61" i="313" s="1"/>
  <c r="B62" i="313" s="1"/>
  <c r="B63" i="313" s="1"/>
  <c r="B64" i="313" s="1"/>
  <c r="B65" i="313" s="1"/>
  <c r="B66" i="313" s="1"/>
  <c r="B67" i="313" s="1"/>
  <c r="B68" i="313" s="1"/>
  <c r="B69" i="313" s="1"/>
  <c r="B70" i="313" s="1"/>
  <c r="B71" i="313" s="1"/>
  <c r="B72" i="313" s="1"/>
  <c r="B73" i="313" s="1"/>
  <c r="B74" i="313" s="1"/>
  <c r="B75" i="313" s="1"/>
  <c r="B76" i="313" s="1"/>
  <c r="B77" i="313" s="1"/>
  <c r="B78" i="313" s="1"/>
  <c r="B79" i="313" s="1"/>
  <c r="B80" i="313" s="1"/>
  <c r="B81" i="313" s="1"/>
  <c r="B82" i="313" s="1"/>
  <c r="B83" i="313" s="1"/>
  <c r="B84" i="313" s="1"/>
  <c r="B85" i="313" s="1"/>
  <c r="B86" i="313" s="1"/>
  <c r="B87" i="313" s="1"/>
  <c r="B88" i="313" s="1"/>
  <c r="B89" i="313" s="1"/>
  <c r="B90" i="313" s="1"/>
  <c r="B91" i="313" s="1"/>
  <c r="B92" i="313" s="1"/>
  <c r="B93" i="313" s="1"/>
  <c r="B94" i="313" s="1"/>
  <c r="B95" i="313" s="1"/>
  <c r="B96" i="313" s="1"/>
  <c r="B97" i="313" s="1"/>
  <c r="B98" i="313" s="1"/>
  <c r="B99" i="313" s="1"/>
  <c r="B100" i="313" s="1"/>
  <c r="B101" i="313" s="1"/>
  <c r="B102" i="313" s="1"/>
  <c r="B103" i="313" s="1"/>
  <c r="B104" i="313" s="1"/>
  <c r="B105" i="313" s="1"/>
  <c r="B106" i="313" s="1"/>
  <c r="B107" i="313" s="1"/>
  <c r="B108" i="313" s="1"/>
  <c r="B109" i="313" s="1"/>
  <c r="B110" i="313" s="1"/>
  <c r="B111" i="313" s="1"/>
  <c r="B112" i="313" s="1"/>
  <c r="B113" i="313" s="1"/>
  <c r="B114" i="313" s="1"/>
  <c r="B115" i="313" s="1"/>
  <c r="B116" i="313" s="1"/>
  <c r="B117" i="313" s="1"/>
  <c r="B118" i="313" s="1"/>
  <c r="B119" i="313" s="1"/>
  <c r="B120" i="313" s="1"/>
  <c r="B121" i="313" s="1"/>
  <c r="B122" i="313" s="1"/>
  <c r="B123" i="313" s="1"/>
  <c r="B124" i="313" s="1"/>
  <c r="B125" i="313" s="1"/>
  <c r="B126" i="313" s="1"/>
  <c r="B127" i="313" s="1"/>
  <c r="B128" i="313" s="1"/>
  <c r="B129" i="313" s="1"/>
  <c r="B130" i="313" s="1"/>
  <c r="B131" i="313" s="1"/>
  <c r="B132" i="313" s="1"/>
  <c r="B133" i="313" s="1"/>
  <c r="B134" i="313" s="1"/>
  <c r="B135" i="313" s="1"/>
  <c r="B136" i="313" s="1"/>
  <c r="B137" i="313" s="1"/>
  <c r="B138" i="313" s="1"/>
  <c r="B139" i="313" s="1"/>
  <c r="B140" i="313" s="1"/>
  <c r="B141" i="313" s="1"/>
  <c r="B142" i="313" s="1"/>
  <c r="B143" i="313" s="1"/>
  <c r="B144" i="313" s="1"/>
  <c r="B145" i="313" s="1"/>
  <c r="B146" i="313" s="1"/>
  <c r="B147" i="313" s="1"/>
  <c r="B148" i="313" s="1"/>
  <c r="B149" i="313" s="1"/>
  <c r="B150" i="313" s="1"/>
  <c r="B151" i="313" s="1"/>
  <c r="B152" i="313" s="1"/>
  <c r="B153" i="313" s="1"/>
  <c r="B154" i="313" s="1"/>
  <c r="B155" i="313" s="1"/>
  <c r="B156" i="313" s="1"/>
  <c r="B157" i="313" s="1"/>
  <c r="B158" i="313" s="1"/>
  <c r="B159" i="313" s="1"/>
  <c r="B160" i="313" s="1"/>
  <c r="B161" i="313" s="1"/>
  <c r="B162" i="313" s="1"/>
  <c r="B163" i="313" s="1"/>
  <c r="B164" i="313" s="1"/>
  <c r="B165" i="313" s="1"/>
  <c r="B166" i="313" s="1"/>
  <c r="B167" i="313" s="1"/>
  <c r="B168" i="313" s="1"/>
  <c r="B169" i="313" s="1"/>
  <c r="B170" i="313" s="1"/>
  <c r="B171" i="313" s="1"/>
  <c r="B172" i="313" s="1"/>
  <c r="B173" i="313" s="1"/>
  <c r="B174" i="313" s="1"/>
  <c r="B175" i="313" s="1"/>
  <c r="B176" i="313" s="1"/>
  <c r="B177" i="313" s="1"/>
  <c r="B178" i="313" s="1"/>
  <c r="B179" i="313" s="1"/>
  <c r="B180" i="313" s="1"/>
  <c r="B181" i="313" s="1"/>
  <c r="B182" i="313" s="1"/>
  <c r="B183" i="313" s="1"/>
  <c r="B184" i="313" s="1"/>
  <c r="B185" i="313" s="1"/>
  <c r="B186" i="313" s="1"/>
  <c r="B187" i="313" s="1"/>
  <c r="B188" i="313" s="1"/>
  <c r="B189" i="313" s="1"/>
  <c r="B190" i="313" s="1"/>
  <c r="K190" i="312"/>
  <c r="D18" i="326" s="1"/>
  <c r="J190" i="312"/>
  <c r="I190" i="312"/>
  <c r="F190" i="312"/>
  <c r="F189" i="312"/>
  <c r="F188" i="312"/>
  <c r="F187" i="312"/>
  <c r="F186" i="312"/>
  <c r="F185" i="312"/>
  <c r="F184" i="312"/>
  <c r="F183" i="312"/>
  <c r="F182" i="312"/>
  <c r="F181" i="312"/>
  <c r="F180" i="312"/>
  <c r="F179" i="312"/>
  <c r="F178" i="312"/>
  <c r="F177" i="312"/>
  <c r="F176" i="312"/>
  <c r="F175" i="312"/>
  <c r="F174" i="312"/>
  <c r="F173" i="312"/>
  <c r="F172" i="312"/>
  <c r="F171" i="312"/>
  <c r="F170" i="312"/>
  <c r="F169" i="312"/>
  <c r="F168" i="312"/>
  <c r="F167" i="312"/>
  <c r="F166" i="312"/>
  <c r="F165" i="312"/>
  <c r="F164" i="312"/>
  <c r="F163" i="312"/>
  <c r="F162" i="312"/>
  <c r="F161" i="312"/>
  <c r="F160" i="312"/>
  <c r="K159" i="312"/>
  <c r="J159" i="312"/>
  <c r="I159" i="312"/>
  <c r="F159" i="312"/>
  <c r="F158" i="312"/>
  <c r="F157" i="312"/>
  <c r="F156" i="312"/>
  <c r="F155" i="312"/>
  <c r="F154" i="312"/>
  <c r="F153" i="312"/>
  <c r="F152" i="312"/>
  <c r="F151" i="312"/>
  <c r="F150" i="312"/>
  <c r="F149" i="312"/>
  <c r="F148" i="312"/>
  <c r="F147" i="312"/>
  <c r="F146" i="312"/>
  <c r="F145" i="312"/>
  <c r="F144" i="312"/>
  <c r="F143" i="312"/>
  <c r="F142" i="312"/>
  <c r="F141" i="312"/>
  <c r="F140" i="312"/>
  <c r="F139" i="312"/>
  <c r="F138" i="312"/>
  <c r="F137" i="312"/>
  <c r="F136" i="312"/>
  <c r="F135" i="312"/>
  <c r="F134" i="312"/>
  <c r="F133" i="312"/>
  <c r="F132" i="312"/>
  <c r="F131" i="312"/>
  <c r="F130" i="312"/>
  <c r="K129" i="312"/>
  <c r="J129" i="312"/>
  <c r="I129" i="312"/>
  <c r="F129" i="312"/>
  <c r="F128" i="312"/>
  <c r="F127" i="312"/>
  <c r="F126" i="312"/>
  <c r="F125" i="312"/>
  <c r="F124" i="312"/>
  <c r="F123" i="312"/>
  <c r="F122" i="312"/>
  <c r="F121" i="312"/>
  <c r="F120" i="312"/>
  <c r="F119" i="312"/>
  <c r="F118" i="312"/>
  <c r="F117" i="312"/>
  <c r="F116" i="312"/>
  <c r="F115" i="312"/>
  <c r="F114" i="312"/>
  <c r="F113" i="312"/>
  <c r="F112" i="312"/>
  <c r="F111" i="312"/>
  <c r="F110" i="312"/>
  <c r="F109" i="312"/>
  <c r="F108" i="312"/>
  <c r="F107" i="312"/>
  <c r="F106" i="312"/>
  <c r="F105" i="312"/>
  <c r="F104" i="312"/>
  <c r="F103" i="312"/>
  <c r="F102" i="312"/>
  <c r="F101" i="312"/>
  <c r="F100" i="312"/>
  <c r="F99" i="312"/>
  <c r="K98" i="312"/>
  <c r="J98" i="312"/>
  <c r="I98" i="312"/>
  <c r="F98" i="312"/>
  <c r="F97" i="312"/>
  <c r="F96" i="312"/>
  <c r="F95" i="312"/>
  <c r="F94" i="312"/>
  <c r="F93" i="312"/>
  <c r="F92" i="312"/>
  <c r="F91" i="312"/>
  <c r="F90" i="312"/>
  <c r="F89" i="312"/>
  <c r="F88" i="312"/>
  <c r="F87" i="312"/>
  <c r="F86" i="312"/>
  <c r="F85" i="312"/>
  <c r="F84" i="312"/>
  <c r="F83" i="312"/>
  <c r="F82" i="312"/>
  <c r="F81" i="312"/>
  <c r="F80" i="312"/>
  <c r="F79" i="312"/>
  <c r="F78" i="312"/>
  <c r="F77" i="312"/>
  <c r="F76" i="312"/>
  <c r="F75" i="312"/>
  <c r="F74" i="312"/>
  <c r="F73" i="312"/>
  <c r="F72" i="312"/>
  <c r="F71" i="312"/>
  <c r="F70" i="312"/>
  <c r="F69" i="312"/>
  <c r="F68" i="312"/>
  <c r="K67" i="312"/>
  <c r="J67" i="312"/>
  <c r="I67" i="312"/>
  <c r="F67" i="312"/>
  <c r="F66" i="312"/>
  <c r="F65" i="312"/>
  <c r="F64" i="312"/>
  <c r="F63" i="312"/>
  <c r="F62" i="312"/>
  <c r="F61" i="312"/>
  <c r="F60" i="312"/>
  <c r="F59" i="312"/>
  <c r="F58" i="312"/>
  <c r="F57" i="312"/>
  <c r="F56" i="312"/>
  <c r="F55" i="312"/>
  <c r="F54" i="312"/>
  <c r="F53" i="312"/>
  <c r="F52" i="312"/>
  <c r="F51" i="312"/>
  <c r="F50" i="312"/>
  <c r="F49" i="312"/>
  <c r="F48" i="312"/>
  <c r="F47" i="312"/>
  <c r="F46" i="312"/>
  <c r="F45" i="312"/>
  <c r="F44" i="312"/>
  <c r="F43" i="312"/>
  <c r="F42" i="312"/>
  <c r="F41" i="312"/>
  <c r="F40" i="312"/>
  <c r="F39" i="312"/>
  <c r="F38" i="312"/>
  <c r="K37" i="312"/>
  <c r="J37" i="312"/>
  <c r="I37" i="312"/>
  <c r="F37" i="312"/>
  <c r="F36" i="312"/>
  <c r="F35" i="312"/>
  <c r="F34" i="312"/>
  <c r="F33" i="312"/>
  <c r="F32" i="312"/>
  <c r="F31" i="312"/>
  <c r="F30" i="312"/>
  <c r="F29" i="312"/>
  <c r="F28" i="312"/>
  <c r="F27" i="312"/>
  <c r="F26" i="312"/>
  <c r="F25" i="312"/>
  <c r="F24" i="312"/>
  <c r="F23" i="312"/>
  <c r="F22" i="312"/>
  <c r="F21" i="312"/>
  <c r="F20" i="312"/>
  <c r="F19" i="312"/>
  <c r="F18" i="312"/>
  <c r="F17" i="312"/>
  <c r="F16" i="312"/>
  <c r="F15" i="312"/>
  <c r="F14" i="312"/>
  <c r="F13" i="312"/>
  <c r="F12" i="312"/>
  <c r="F11" i="312"/>
  <c r="F10" i="312"/>
  <c r="F9" i="312"/>
  <c r="F8" i="312"/>
  <c r="F7" i="312"/>
  <c r="B8" i="312"/>
  <c r="B9" i="312" s="1"/>
  <c r="B10" i="312" s="1"/>
  <c r="B11" i="312" s="1"/>
  <c r="B12" i="312" s="1"/>
  <c r="B13" i="312" s="1"/>
  <c r="B14" i="312" s="1"/>
  <c r="B15" i="312" s="1"/>
  <c r="B16" i="312" s="1"/>
  <c r="B17" i="312" s="1"/>
  <c r="B18" i="312" s="1"/>
  <c r="B19" i="312" s="1"/>
  <c r="B20" i="312" s="1"/>
  <c r="B21" i="312" s="1"/>
  <c r="B22" i="312" s="1"/>
  <c r="B23" i="312" s="1"/>
  <c r="B24" i="312" s="1"/>
  <c r="B25" i="312" s="1"/>
  <c r="B26" i="312" s="1"/>
  <c r="B27" i="312" s="1"/>
  <c r="B28" i="312" s="1"/>
  <c r="B29" i="312" s="1"/>
  <c r="B30" i="312" s="1"/>
  <c r="B31" i="312" s="1"/>
  <c r="B32" i="312" s="1"/>
  <c r="B33" i="312" s="1"/>
  <c r="B34" i="312" s="1"/>
  <c r="B35" i="312" s="1"/>
  <c r="B36" i="312" s="1"/>
  <c r="B37" i="312" s="1"/>
  <c r="B38" i="312" s="1"/>
  <c r="B39" i="312" s="1"/>
  <c r="B40" i="312" s="1"/>
  <c r="B41" i="312" s="1"/>
  <c r="B42" i="312" s="1"/>
  <c r="B43" i="312" s="1"/>
  <c r="B44" i="312" s="1"/>
  <c r="B45" i="312" s="1"/>
  <c r="B46" i="312" s="1"/>
  <c r="B47" i="312" s="1"/>
  <c r="B48" i="312" s="1"/>
  <c r="B49" i="312" s="1"/>
  <c r="B50" i="312" s="1"/>
  <c r="B51" i="312" s="1"/>
  <c r="B52" i="312" s="1"/>
  <c r="B53" i="312" s="1"/>
  <c r="B54" i="312" s="1"/>
  <c r="B55" i="312" s="1"/>
  <c r="B56" i="312" s="1"/>
  <c r="B57" i="312" s="1"/>
  <c r="B58" i="312" s="1"/>
  <c r="B59" i="312" s="1"/>
  <c r="B60" i="312" s="1"/>
  <c r="B61" i="312" s="1"/>
  <c r="B62" i="312" s="1"/>
  <c r="B63" i="312" s="1"/>
  <c r="B64" i="312" s="1"/>
  <c r="B65" i="312" s="1"/>
  <c r="B66" i="312" s="1"/>
  <c r="B67" i="312" s="1"/>
  <c r="B68" i="312" s="1"/>
  <c r="B69" i="312" s="1"/>
  <c r="B70" i="312" s="1"/>
  <c r="B71" i="312" s="1"/>
  <c r="B72" i="312" s="1"/>
  <c r="B73" i="312" s="1"/>
  <c r="B74" i="312" s="1"/>
  <c r="B75" i="312" s="1"/>
  <c r="B76" i="312" s="1"/>
  <c r="B77" i="312" s="1"/>
  <c r="B78" i="312" s="1"/>
  <c r="B79" i="312" s="1"/>
  <c r="B80" i="312" s="1"/>
  <c r="B81" i="312" s="1"/>
  <c r="B82" i="312" s="1"/>
  <c r="B83" i="312" s="1"/>
  <c r="B84" i="312" s="1"/>
  <c r="B85" i="312" s="1"/>
  <c r="B86" i="312" s="1"/>
  <c r="B87" i="312" s="1"/>
  <c r="B88" i="312" s="1"/>
  <c r="B89" i="312" s="1"/>
  <c r="B90" i="312" s="1"/>
  <c r="B91" i="312" s="1"/>
  <c r="B92" i="312" s="1"/>
  <c r="B93" i="312" s="1"/>
  <c r="B94" i="312" s="1"/>
  <c r="B95" i="312" s="1"/>
  <c r="B96" i="312" s="1"/>
  <c r="B97" i="312" s="1"/>
  <c r="B98" i="312" s="1"/>
  <c r="B99" i="312" s="1"/>
  <c r="B100" i="312" s="1"/>
  <c r="B101" i="312" s="1"/>
  <c r="B102" i="312" s="1"/>
  <c r="B103" i="312" s="1"/>
  <c r="B104" i="312" s="1"/>
  <c r="B105" i="312" s="1"/>
  <c r="B106" i="312" s="1"/>
  <c r="B107" i="312" s="1"/>
  <c r="B108" i="312" s="1"/>
  <c r="B109" i="312" s="1"/>
  <c r="B110" i="312" s="1"/>
  <c r="B111" i="312" s="1"/>
  <c r="B112" i="312" s="1"/>
  <c r="B113" i="312" s="1"/>
  <c r="B114" i="312" s="1"/>
  <c r="B115" i="312" s="1"/>
  <c r="B116" i="312" s="1"/>
  <c r="B117" i="312" s="1"/>
  <c r="B118" i="312" s="1"/>
  <c r="B119" i="312" s="1"/>
  <c r="B120" i="312" s="1"/>
  <c r="B121" i="312" s="1"/>
  <c r="B122" i="312" s="1"/>
  <c r="B123" i="312" s="1"/>
  <c r="B124" i="312" s="1"/>
  <c r="B125" i="312" s="1"/>
  <c r="B126" i="312" s="1"/>
  <c r="B127" i="312" s="1"/>
  <c r="B128" i="312" s="1"/>
  <c r="B129" i="312" s="1"/>
  <c r="B130" i="312" s="1"/>
  <c r="B131" i="312" s="1"/>
  <c r="B132" i="312" s="1"/>
  <c r="B133" i="312" s="1"/>
  <c r="B134" i="312" s="1"/>
  <c r="B135" i="312" s="1"/>
  <c r="B136" i="312" s="1"/>
  <c r="B137" i="312" s="1"/>
  <c r="B138" i="312" s="1"/>
  <c r="B139" i="312" s="1"/>
  <c r="B140" i="312" s="1"/>
  <c r="B141" i="312" s="1"/>
  <c r="B142" i="312" s="1"/>
  <c r="B143" i="312" s="1"/>
  <c r="B144" i="312" s="1"/>
  <c r="B145" i="312" s="1"/>
  <c r="B146" i="312" s="1"/>
  <c r="B147" i="312" s="1"/>
  <c r="B148" i="312" s="1"/>
  <c r="B149" i="312" s="1"/>
  <c r="B150" i="312" s="1"/>
  <c r="B151" i="312" s="1"/>
  <c r="B152" i="312" s="1"/>
  <c r="B153" i="312" s="1"/>
  <c r="B154" i="312" s="1"/>
  <c r="B155" i="312" s="1"/>
  <c r="B156" i="312" s="1"/>
  <c r="B157" i="312" s="1"/>
  <c r="B158" i="312" s="1"/>
  <c r="B159" i="312" s="1"/>
  <c r="B160" i="312" s="1"/>
  <c r="B161" i="312" s="1"/>
  <c r="B162" i="312" s="1"/>
  <c r="B163" i="312" s="1"/>
  <c r="B164" i="312" s="1"/>
  <c r="B165" i="312" s="1"/>
  <c r="B166" i="312" s="1"/>
  <c r="B167" i="312" s="1"/>
  <c r="B168" i="312" s="1"/>
  <c r="B169" i="312" s="1"/>
  <c r="B170" i="312" s="1"/>
  <c r="B171" i="312" s="1"/>
  <c r="B172" i="312" s="1"/>
  <c r="B173" i="312" s="1"/>
  <c r="B174" i="312" s="1"/>
  <c r="B175" i="312" s="1"/>
  <c r="B176" i="312" s="1"/>
  <c r="B177" i="312" s="1"/>
  <c r="B178" i="312" s="1"/>
  <c r="B179" i="312" s="1"/>
  <c r="B180" i="312" s="1"/>
  <c r="B181" i="312" s="1"/>
  <c r="B182" i="312" s="1"/>
  <c r="B183" i="312" s="1"/>
  <c r="B184" i="312" s="1"/>
  <c r="B185" i="312" s="1"/>
  <c r="B186" i="312" s="1"/>
  <c r="B187" i="312" s="1"/>
  <c r="B188" i="312" s="1"/>
  <c r="B189" i="312" s="1"/>
  <c r="B190" i="312" s="1"/>
  <c r="K190" i="311"/>
  <c r="D17" i="326" s="1"/>
  <c r="J190" i="311"/>
  <c r="I190" i="311"/>
  <c r="F190" i="311"/>
  <c r="F189" i="311"/>
  <c r="F188" i="311"/>
  <c r="F187" i="311"/>
  <c r="F186" i="311"/>
  <c r="F185" i="311"/>
  <c r="F184" i="311"/>
  <c r="F183" i="311"/>
  <c r="F182" i="311"/>
  <c r="F181" i="311"/>
  <c r="F180" i="311"/>
  <c r="F179" i="311"/>
  <c r="F178" i="311"/>
  <c r="F177" i="311"/>
  <c r="F176" i="311"/>
  <c r="F175" i="311"/>
  <c r="F174" i="311"/>
  <c r="F173" i="311"/>
  <c r="F172" i="311"/>
  <c r="F171" i="311"/>
  <c r="F170" i="311"/>
  <c r="F169" i="311"/>
  <c r="F168" i="311"/>
  <c r="F167" i="311"/>
  <c r="F166" i="311"/>
  <c r="F165" i="311"/>
  <c r="F164" i="311"/>
  <c r="F163" i="311"/>
  <c r="F162" i="311"/>
  <c r="F161" i="311"/>
  <c r="F160" i="311"/>
  <c r="K159" i="311"/>
  <c r="J159" i="311"/>
  <c r="I159" i="311"/>
  <c r="F159" i="311"/>
  <c r="F158" i="311"/>
  <c r="F157" i="311"/>
  <c r="F156" i="311"/>
  <c r="F155" i="311"/>
  <c r="F154" i="311"/>
  <c r="F153" i="311"/>
  <c r="F152" i="311"/>
  <c r="F151" i="311"/>
  <c r="F150" i="311"/>
  <c r="F149" i="311"/>
  <c r="F148" i="311"/>
  <c r="F147" i="311"/>
  <c r="F146" i="311"/>
  <c r="F145" i="311"/>
  <c r="F144" i="311"/>
  <c r="F143" i="311"/>
  <c r="F142" i="311"/>
  <c r="F141" i="311"/>
  <c r="F140" i="311"/>
  <c r="F139" i="311"/>
  <c r="F138" i="311"/>
  <c r="F137" i="311"/>
  <c r="F136" i="311"/>
  <c r="F135" i="311"/>
  <c r="F134" i="311"/>
  <c r="F133" i="311"/>
  <c r="F132" i="311"/>
  <c r="F131" i="311"/>
  <c r="F130" i="311"/>
  <c r="K129" i="311"/>
  <c r="J129" i="311"/>
  <c r="I129" i="311"/>
  <c r="F129" i="311"/>
  <c r="F128" i="311"/>
  <c r="F127" i="311"/>
  <c r="F126" i="311"/>
  <c r="F125" i="311"/>
  <c r="F124" i="311"/>
  <c r="F123" i="311"/>
  <c r="F122" i="311"/>
  <c r="F121" i="311"/>
  <c r="F120" i="311"/>
  <c r="F119" i="311"/>
  <c r="F118" i="311"/>
  <c r="F117" i="311"/>
  <c r="F116" i="311"/>
  <c r="F115" i="311"/>
  <c r="F114" i="311"/>
  <c r="F113" i="311"/>
  <c r="F112" i="311"/>
  <c r="F111" i="311"/>
  <c r="F110" i="311"/>
  <c r="F109" i="311"/>
  <c r="F108" i="311"/>
  <c r="F107" i="311"/>
  <c r="F106" i="311"/>
  <c r="F105" i="311"/>
  <c r="F104" i="311"/>
  <c r="F103" i="311"/>
  <c r="F102" i="311"/>
  <c r="F101" i="311"/>
  <c r="F100" i="311"/>
  <c r="F99" i="311"/>
  <c r="K98" i="311"/>
  <c r="J98" i="311"/>
  <c r="I98" i="311"/>
  <c r="F98" i="311"/>
  <c r="F97" i="311"/>
  <c r="F96" i="311"/>
  <c r="F95" i="311"/>
  <c r="F94" i="311"/>
  <c r="F93" i="311"/>
  <c r="F92" i="311"/>
  <c r="F91" i="311"/>
  <c r="F90" i="311"/>
  <c r="F89" i="311"/>
  <c r="F88" i="311"/>
  <c r="F87" i="311"/>
  <c r="F86" i="311"/>
  <c r="F85" i="311"/>
  <c r="F84" i="311"/>
  <c r="F83" i="311"/>
  <c r="F82" i="311"/>
  <c r="F81" i="311"/>
  <c r="F80" i="311"/>
  <c r="F79" i="311"/>
  <c r="F78" i="311"/>
  <c r="F77" i="311"/>
  <c r="F76" i="311"/>
  <c r="F75" i="311"/>
  <c r="F74" i="311"/>
  <c r="F73" i="311"/>
  <c r="F72" i="311"/>
  <c r="F71" i="311"/>
  <c r="F70" i="311"/>
  <c r="F69" i="311"/>
  <c r="F68" i="311"/>
  <c r="K67" i="311"/>
  <c r="J67" i="311"/>
  <c r="I67" i="311"/>
  <c r="F67" i="311"/>
  <c r="F66" i="311"/>
  <c r="F65" i="311"/>
  <c r="F64" i="311"/>
  <c r="F63" i="311"/>
  <c r="F62" i="311"/>
  <c r="F61" i="311"/>
  <c r="F60" i="311"/>
  <c r="F59" i="311"/>
  <c r="F58" i="311"/>
  <c r="F57" i="311"/>
  <c r="F56" i="311"/>
  <c r="F55" i="311"/>
  <c r="F54" i="311"/>
  <c r="F53" i="311"/>
  <c r="F52" i="311"/>
  <c r="F51" i="311"/>
  <c r="F50" i="311"/>
  <c r="F49" i="311"/>
  <c r="F48" i="311"/>
  <c r="F47" i="311"/>
  <c r="F46" i="311"/>
  <c r="F45" i="311"/>
  <c r="F44" i="311"/>
  <c r="F43" i="311"/>
  <c r="F42" i="311"/>
  <c r="F41" i="311"/>
  <c r="F40" i="311"/>
  <c r="F39" i="311"/>
  <c r="F38" i="311"/>
  <c r="K37" i="311"/>
  <c r="J37" i="311"/>
  <c r="I37" i="311"/>
  <c r="F37" i="311"/>
  <c r="F36" i="311"/>
  <c r="F35" i="311"/>
  <c r="F34" i="311"/>
  <c r="F33" i="311"/>
  <c r="F32" i="311"/>
  <c r="F31" i="311"/>
  <c r="F30" i="311"/>
  <c r="F29" i="311"/>
  <c r="F28" i="311"/>
  <c r="F27" i="311"/>
  <c r="F26" i="311"/>
  <c r="F25" i="311"/>
  <c r="F24" i="311"/>
  <c r="F23" i="311"/>
  <c r="F22" i="311"/>
  <c r="F21" i="311"/>
  <c r="F20" i="311"/>
  <c r="F19" i="311"/>
  <c r="F18" i="311"/>
  <c r="F17" i="311"/>
  <c r="F16" i="311"/>
  <c r="F15" i="311"/>
  <c r="F14" i="311"/>
  <c r="F13" i="311"/>
  <c r="F12" i="311"/>
  <c r="F11" i="311"/>
  <c r="F10" i="311"/>
  <c r="F9" i="311"/>
  <c r="F8" i="311"/>
  <c r="F7" i="311"/>
  <c r="B8" i="311"/>
  <c r="B9" i="311" s="1"/>
  <c r="B10" i="311" s="1"/>
  <c r="B11" i="311" s="1"/>
  <c r="B12" i="311" s="1"/>
  <c r="B13" i="311" s="1"/>
  <c r="B14" i="311" s="1"/>
  <c r="B15" i="311" s="1"/>
  <c r="B16" i="311" s="1"/>
  <c r="B17" i="311" s="1"/>
  <c r="B18" i="311" s="1"/>
  <c r="B19" i="311" s="1"/>
  <c r="B20" i="311" s="1"/>
  <c r="B21" i="311" s="1"/>
  <c r="B22" i="311" s="1"/>
  <c r="B23" i="311" s="1"/>
  <c r="B24" i="311" s="1"/>
  <c r="B25" i="311" s="1"/>
  <c r="B26" i="311" s="1"/>
  <c r="B27" i="311" s="1"/>
  <c r="B28" i="311" s="1"/>
  <c r="B29" i="311" s="1"/>
  <c r="B30" i="311" s="1"/>
  <c r="B31" i="311" s="1"/>
  <c r="B32" i="311" s="1"/>
  <c r="B33" i="311" s="1"/>
  <c r="B34" i="311" s="1"/>
  <c r="B35" i="311" s="1"/>
  <c r="B36" i="311" s="1"/>
  <c r="B37" i="311" s="1"/>
  <c r="B38" i="311" s="1"/>
  <c r="B39" i="311" s="1"/>
  <c r="B40" i="311" s="1"/>
  <c r="B41" i="311" s="1"/>
  <c r="B42" i="311" s="1"/>
  <c r="B43" i="311" s="1"/>
  <c r="B44" i="311" s="1"/>
  <c r="B45" i="311" s="1"/>
  <c r="B46" i="311" s="1"/>
  <c r="B47" i="311" s="1"/>
  <c r="B48" i="311" s="1"/>
  <c r="B49" i="311" s="1"/>
  <c r="B50" i="311" s="1"/>
  <c r="B51" i="311" s="1"/>
  <c r="B52" i="311" s="1"/>
  <c r="B53" i="311" s="1"/>
  <c r="B54" i="311" s="1"/>
  <c r="B55" i="311" s="1"/>
  <c r="B56" i="311" s="1"/>
  <c r="B57" i="311" s="1"/>
  <c r="B58" i="311" s="1"/>
  <c r="B59" i="311" s="1"/>
  <c r="B60" i="311" s="1"/>
  <c r="B61" i="311" s="1"/>
  <c r="B62" i="311" s="1"/>
  <c r="B63" i="311" s="1"/>
  <c r="B64" i="311" s="1"/>
  <c r="B65" i="311" s="1"/>
  <c r="B66" i="311" s="1"/>
  <c r="B67" i="311" s="1"/>
  <c r="B68" i="311" s="1"/>
  <c r="B69" i="311" s="1"/>
  <c r="B70" i="311" s="1"/>
  <c r="B71" i="311" s="1"/>
  <c r="B72" i="311" s="1"/>
  <c r="B73" i="311" s="1"/>
  <c r="B74" i="311" s="1"/>
  <c r="B75" i="311" s="1"/>
  <c r="B76" i="311" s="1"/>
  <c r="B77" i="311" s="1"/>
  <c r="B78" i="311" s="1"/>
  <c r="B79" i="311" s="1"/>
  <c r="B80" i="311" s="1"/>
  <c r="B81" i="311" s="1"/>
  <c r="B82" i="311" s="1"/>
  <c r="B83" i="311" s="1"/>
  <c r="B84" i="311" s="1"/>
  <c r="B85" i="311" s="1"/>
  <c r="B86" i="311" s="1"/>
  <c r="B87" i="311" s="1"/>
  <c r="B88" i="311" s="1"/>
  <c r="B89" i="311" s="1"/>
  <c r="B90" i="311" s="1"/>
  <c r="B91" i="311" s="1"/>
  <c r="B92" i="311" s="1"/>
  <c r="B93" i="311" s="1"/>
  <c r="B94" i="311" s="1"/>
  <c r="B95" i="311" s="1"/>
  <c r="B96" i="311" s="1"/>
  <c r="B97" i="311" s="1"/>
  <c r="B98" i="311" s="1"/>
  <c r="B99" i="311" s="1"/>
  <c r="B100" i="311" s="1"/>
  <c r="B101" i="311" s="1"/>
  <c r="B102" i="311" s="1"/>
  <c r="B103" i="311" s="1"/>
  <c r="B104" i="311" s="1"/>
  <c r="B105" i="311" s="1"/>
  <c r="B106" i="311" s="1"/>
  <c r="B107" i="311" s="1"/>
  <c r="B108" i="311" s="1"/>
  <c r="B109" i="311" s="1"/>
  <c r="B110" i="311" s="1"/>
  <c r="B111" i="311" s="1"/>
  <c r="B112" i="311" s="1"/>
  <c r="B113" i="311" s="1"/>
  <c r="B114" i="311" s="1"/>
  <c r="B115" i="311" s="1"/>
  <c r="B116" i="311" s="1"/>
  <c r="B117" i="311" s="1"/>
  <c r="B118" i="311" s="1"/>
  <c r="B119" i="311" s="1"/>
  <c r="B120" i="311" s="1"/>
  <c r="B121" i="311" s="1"/>
  <c r="B122" i="311" s="1"/>
  <c r="B123" i="311" s="1"/>
  <c r="B124" i="311" s="1"/>
  <c r="B125" i="311" s="1"/>
  <c r="B126" i="311" s="1"/>
  <c r="B127" i="311" s="1"/>
  <c r="B128" i="311" s="1"/>
  <c r="B129" i="311" s="1"/>
  <c r="B130" i="311" s="1"/>
  <c r="B131" i="311" s="1"/>
  <c r="B132" i="311" s="1"/>
  <c r="B133" i="311" s="1"/>
  <c r="B134" i="311" s="1"/>
  <c r="B135" i="311" s="1"/>
  <c r="B136" i="311" s="1"/>
  <c r="B137" i="311" s="1"/>
  <c r="B138" i="311" s="1"/>
  <c r="B139" i="311" s="1"/>
  <c r="B140" i="311" s="1"/>
  <c r="B141" i="311" s="1"/>
  <c r="B142" i="311" s="1"/>
  <c r="B143" i="311" s="1"/>
  <c r="B144" i="311" s="1"/>
  <c r="B145" i="311" s="1"/>
  <c r="B146" i="311" s="1"/>
  <c r="B147" i="311" s="1"/>
  <c r="B148" i="311" s="1"/>
  <c r="B149" i="311" s="1"/>
  <c r="B150" i="311" s="1"/>
  <c r="B151" i="311" s="1"/>
  <c r="B152" i="311" s="1"/>
  <c r="B153" i="311" s="1"/>
  <c r="B154" i="311" s="1"/>
  <c r="B155" i="311" s="1"/>
  <c r="B156" i="311" s="1"/>
  <c r="B157" i="311" s="1"/>
  <c r="B158" i="311" s="1"/>
  <c r="B159" i="311" s="1"/>
  <c r="B160" i="311" s="1"/>
  <c r="B161" i="311" s="1"/>
  <c r="B162" i="311" s="1"/>
  <c r="B163" i="311" s="1"/>
  <c r="B164" i="311" s="1"/>
  <c r="B165" i="311" s="1"/>
  <c r="B166" i="311" s="1"/>
  <c r="B167" i="311" s="1"/>
  <c r="B168" i="311" s="1"/>
  <c r="B169" i="311" s="1"/>
  <c r="B170" i="311" s="1"/>
  <c r="B171" i="311" s="1"/>
  <c r="B172" i="311" s="1"/>
  <c r="B173" i="311" s="1"/>
  <c r="B174" i="311" s="1"/>
  <c r="B175" i="311" s="1"/>
  <c r="B176" i="311" s="1"/>
  <c r="B177" i="311" s="1"/>
  <c r="B178" i="311" s="1"/>
  <c r="B179" i="311" s="1"/>
  <c r="B180" i="311" s="1"/>
  <c r="B181" i="311" s="1"/>
  <c r="B182" i="311" s="1"/>
  <c r="B183" i="311" s="1"/>
  <c r="B184" i="311" s="1"/>
  <c r="B185" i="311" s="1"/>
  <c r="B186" i="311" s="1"/>
  <c r="B187" i="311" s="1"/>
  <c r="B188" i="311" s="1"/>
  <c r="B189" i="311" s="1"/>
  <c r="B190" i="311" s="1"/>
  <c r="K190" i="310"/>
  <c r="D16" i="326" s="1"/>
  <c r="J190" i="310"/>
  <c r="I190" i="310"/>
  <c r="F190" i="310"/>
  <c r="F189" i="310"/>
  <c r="F188" i="310"/>
  <c r="F187" i="310"/>
  <c r="F186" i="310"/>
  <c r="F185" i="310"/>
  <c r="F184" i="310"/>
  <c r="F183" i="310"/>
  <c r="F182" i="310"/>
  <c r="F181" i="310"/>
  <c r="F180" i="310"/>
  <c r="F179" i="310"/>
  <c r="F178" i="310"/>
  <c r="F177" i="310"/>
  <c r="F176" i="310"/>
  <c r="F175" i="310"/>
  <c r="F174" i="310"/>
  <c r="F173" i="310"/>
  <c r="F172" i="310"/>
  <c r="F171" i="310"/>
  <c r="F170" i="310"/>
  <c r="F169" i="310"/>
  <c r="F168" i="310"/>
  <c r="F167" i="310"/>
  <c r="F166" i="310"/>
  <c r="F165" i="310"/>
  <c r="F164" i="310"/>
  <c r="F163" i="310"/>
  <c r="F162" i="310"/>
  <c r="F161" i="310"/>
  <c r="F160" i="310"/>
  <c r="K159" i="310"/>
  <c r="J159" i="310"/>
  <c r="I159" i="310"/>
  <c r="F159" i="310"/>
  <c r="F158" i="310"/>
  <c r="F157" i="310"/>
  <c r="F156" i="310"/>
  <c r="F155" i="310"/>
  <c r="F154" i="310"/>
  <c r="F153" i="310"/>
  <c r="F152" i="310"/>
  <c r="F151" i="310"/>
  <c r="F150" i="310"/>
  <c r="F149" i="310"/>
  <c r="F148" i="310"/>
  <c r="F147" i="310"/>
  <c r="F146" i="310"/>
  <c r="F145" i="310"/>
  <c r="F144" i="310"/>
  <c r="F143" i="310"/>
  <c r="F142" i="310"/>
  <c r="F141" i="310"/>
  <c r="F140" i="310"/>
  <c r="F139" i="310"/>
  <c r="F138" i="310"/>
  <c r="F137" i="310"/>
  <c r="F136" i="310"/>
  <c r="F135" i="310"/>
  <c r="F134" i="310"/>
  <c r="F133" i="310"/>
  <c r="F132" i="310"/>
  <c r="F131" i="310"/>
  <c r="F130" i="310"/>
  <c r="K129" i="310"/>
  <c r="J129" i="310"/>
  <c r="I129" i="310"/>
  <c r="F129" i="310"/>
  <c r="F128" i="310"/>
  <c r="F127" i="310"/>
  <c r="F126" i="310"/>
  <c r="F125" i="310"/>
  <c r="F124" i="310"/>
  <c r="F123" i="310"/>
  <c r="F122" i="310"/>
  <c r="F121" i="310"/>
  <c r="F120" i="310"/>
  <c r="F119" i="310"/>
  <c r="F118" i="310"/>
  <c r="F117" i="310"/>
  <c r="F116" i="310"/>
  <c r="F115" i="310"/>
  <c r="F114" i="310"/>
  <c r="F113" i="310"/>
  <c r="F112" i="310"/>
  <c r="F111" i="310"/>
  <c r="F110" i="310"/>
  <c r="F109" i="310"/>
  <c r="F108" i="310"/>
  <c r="F107" i="310"/>
  <c r="F106" i="310"/>
  <c r="F105" i="310"/>
  <c r="F104" i="310"/>
  <c r="F103" i="310"/>
  <c r="F102" i="310"/>
  <c r="F101" i="310"/>
  <c r="F100" i="310"/>
  <c r="F99" i="310"/>
  <c r="K98" i="310"/>
  <c r="J98" i="310"/>
  <c r="I98" i="310"/>
  <c r="F98" i="310"/>
  <c r="F97" i="310"/>
  <c r="F96" i="310"/>
  <c r="F95" i="310"/>
  <c r="F94" i="310"/>
  <c r="F93" i="310"/>
  <c r="F92" i="310"/>
  <c r="F91" i="310"/>
  <c r="F90" i="310"/>
  <c r="F89" i="310"/>
  <c r="F88" i="310"/>
  <c r="F87" i="310"/>
  <c r="F86" i="310"/>
  <c r="F85" i="310"/>
  <c r="F84" i="310"/>
  <c r="F83" i="310"/>
  <c r="F82" i="310"/>
  <c r="F81" i="310"/>
  <c r="F80" i="310"/>
  <c r="F79" i="310"/>
  <c r="F78" i="310"/>
  <c r="F77" i="310"/>
  <c r="F76" i="310"/>
  <c r="F75" i="310"/>
  <c r="F74" i="310"/>
  <c r="F73" i="310"/>
  <c r="F72" i="310"/>
  <c r="F71" i="310"/>
  <c r="F70" i="310"/>
  <c r="F69" i="310"/>
  <c r="F68" i="310"/>
  <c r="K67" i="310"/>
  <c r="J67" i="310"/>
  <c r="I67" i="310"/>
  <c r="F67" i="310"/>
  <c r="F66" i="310"/>
  <c r="F65" i="310"/>
  <c r="F64" i="310"/>
  <c r="F63" i="310"/>
  <c r="F62" i="310"/>
  <c r="F61" i="310"/>
  <c r="F60" i="310"/>
  <c r="F59" i="310"/>
  <c r="F58" i="310"/>
  <c r="F57" i="310"/>
  <c r="F56" i="310"/>
  <c r="F55" i="310"/>
  <c r="F54" i="310"/>
  <c r="F53" i="310"/>
  <c r="F52" i="310"/>
  <c r="F51" i="310"/>
  <c r="F50" i="310"/>
  <c r="F49" i="310"/>
  <c r="F48" i="310"/>
  <c r="F47" i="310"/>
  <c r="F46" i="310"/>
  <c r="F45" i="310"/>
  <c r="F44" i="310"/>
  <c r="F43" i="310"/>
  <c r="F42" i="310"/>
  <c r="F41" i="310"/>
  <c r="F40" i="310"/>
  <c r="F39" i="310"/>
  <c r="F38" i="310"/>
  <c r="K37" i="310"/>
  <c r="J37" i="310"/>
  <c r="I37" i="310"/>
  <c r="F37" i="310"/>
  <c r="F36" i="310"/>
  <c r="F35" i="310"/>
  <c r="F34" i="310"/>
  <c r="F33" i="310"/>
  <c r="F32" i="310"/>
  <c r="F31" i="310"/>
  <c r="F30" i="310"/>
  <c r="F29" i="310"/>
  <c r="F28" i="310"/>
  <c r="F27" i="310"/>
  <c r="F26" i="310"/>
  <c r="F25" i="310"/>
  <c r="F24" i="310"/>
  <c r="F23" i="310"/>
  <c r="F22" i="310"/>
  <c r="F21" i="310"/>
  <c r="F20" i="310"/>
  <c r="F19" i="310"/>
  <c r="F18" i="310"/>
  <c r="F17" i="310"/>
  <c r="F16" i="310"/>
  <c r="F15" i="310"/>
  <c r="F14" i="310"/>
  <c r="F13" i="310"/>
  <c r="F12" i="310"/>
  <c r="F11" i="310"/>
  <c r="F10" i="310"/>
  <c r="F9" i="310"/>
  <c r="F8" i="310"/>
  <c r="F7" i="310"/>
  <c r="B8" i="310"/>
  <c r="B9" i="310" s="1"/>
  <c r="B10" i="310" s="1"/>
  <c r="B11" i="310" s="1"/>
  <c r="B12" i="310" s="1"/>
  <c r="B13" i="310" s="1"/>
  <c r="B14" i="310" s="1"/>
  <c r="B15" i="310" s="1"/>
  <c r="B16" i="310" s="1"/>
  <c r="B17" i="310" s="1"/>
  <c r="B18" i="310" s="1"/>
  <c r="B19" i="310" s="1"/>
  <c r="B20" i="310" s="1"/>
  <c r="B21" i="310" s="1"/>
  <c r="B22" i="310" s="1"/>
  <c r="B23" i="310" s="1"/>
  <c r="B24" i="310" s="1"/>
  <c r="B25" i="310" s="1"/>
  <c r="B26" i="310" s="1"/>
  <c r="B27" i="310" s="1"/>
  <c r="B28" i="310" s="1"/>
  <c r="B29" i="310" s="1"/>
  <c r="B30" i="310" s="1"/>
  <c r="B31" i="310" s="1"/>
  <c r="B32" i="310" s="1"/>
  <c r="B33" i="310" s="1"/>
  <c r="B34" i="310" s="1"/>
  <c r="B35" i="310" s="1"/>
  <c r="B36" i="310" s="1"/>
  <c r="B37" i="310" s="1"/>
  <c r="B38" i="310" s="1"/>
  <c r="B39" i="310" s="1"/>
  <c r="B40" i="310" s="1"/>
  <c r="B41" i="310" s="1"/>
  <c r="B42" i="310" s="1"/>
  <c r="B43" i="310" s="1"/>
  <c r="B44" i="310" s="1"/>
  <c r="B45" i="310" s="1"/>
  <c r="B46" i="310" s="1"/>
  <c r="B47" i="310" s="1"/>
  <c r="B48" i="310" s="1"/>
  <c r="B49" i="310" s="1"/>
  <c r="B50" i="310" s="1"/>
  <c r="B51" i="310" s="1"/>
  <c r="B52" i="310" s="1"/>
  <c r="B53" i="310" s="1"/>
  <c r="B54" i="310" s="1"/>
  <c r="B55" i="310" s="1"/>
  <c r="B56" i="310" s="1"/>
  <c r="B57" i="310" s="1"/>
  <c r="B58" i="310" s="1"/>
  <c r="B59" i="310" s="1"/>
  <c r="B60" i="310" s="1"/>
  <c r="B61" i="310" s="1"/>
  <c r="B62" i="310" s="1"/>
  <c r="B63" i="310" s="1"/>
  <c r="B64" i="310" s="1"/>
  <c r="B65" i="310" s="1"/>
  <c r="B66" i="310" s="1"/>
  <c r="B67" i="310" s="1"/>
  <c r="B68" i="310" s="1"/>
  <c r="B69" i="310" s="1"/>
  <c r="B70" i="310" s="1"/>
  <c r="B71" i="310" s="1"/>
  <c r="B72" i="310" s="1"/>
  <c r="B73" i="310" s="1"/>
  <c r="B74" i="310" s="1"/>
  <c r="B75" i="310" s="1"/>
  <c r="B76" i="310" s="1"/>
  <c r="B77" i="310" s="1"/>
  <c r="B78" i="310" s="1"/>
  <c r="B79" i="310" s="1"/>
  <c r="B80" i="310" s="1"/>
  <c r="B81" i="310" s="1"/>
  <c r="B82" i="310" s="1"/>
  <c r="B83" i="310" s="1"/>
  <c r="B84" i="310" s="1"/>
  <c r="B85" i="310" s="1"/>
  <c r="B86" i="310" s="1"/>
  <c r="B87" i="310" s="1"/>
  <c r="B88" i="310" s="1"/>
  <c r="B89" i="310" s="1"/>
  <c r="B90" i="310" s="1"/>
  <c r="B91" i="310" s="1"/>
  <c r="B92" i="310" s="1"/>
  <c r="B93" i="310" s="1"/>
  <c r="B94" i="310" s="1"/>
  <c r="B95" i="310" s="1"/>
  <c r="B96" i="310" s="1"/>
  <c r="B97" i="310" s="1"/>
  <c r="B98" i="310" s="1"/>
  <c r="B99" i="310" s="1"/>
  <c r="B100" i="310" s="1"/>
  <c r="B101" i="310" s="1"/>
  <c r="B102" i="310" s="1"/>
  <c r="B103" i="310" s="1"/>
  <c r="B104" i="310" s="1"/>
  <c r="B105" i="310" s="1"/>
  <c r="B106" i="310" s="1"/>
  <c r="B107" i="310" s="1"/>
  <c r="B108" i="310" s="1"/>
  <c r="B109" i="310" s="1"/>
  <c r="B110" i="310" s="1"/>
  <c r="B111" i="310" s="1"/>
  <c r="B112" i="310" s="1"/>
  <c r="B113" i="310" s="1"/>
  <c r="B114" i="310" s="1"/>
  <c r="B115" i="310" s="1"/>
  <c r="B116" i="310" s="1"/>
  <c r="B117" i="310" s="1"/>
  <c r="B118" i="310" s="1"/>
  <c r="B119" i="310" s="1"/>
  <c r="B120" i="310" s="1"/>
  <c r="B121" i="310" s="1"/>
  <c r="B122" i="310" s="1"/>
  <c r="B123" i="310" s="1"/>
  <c r="B124" i="310" s="1"/>
  <c r="B125" i="310" s="1"/>
  <c r="B126" i="310" s="1"/>
  <c r="B127" i="310" s="1"/>
  <c r="B128" i="310" s="1"/>
  <c r="B129" i="310" s="1"/>
  <c r="B130" i="310" s="1"/>
  <c r="B131" i="310" s="1"/>
  <c r="B132" i="310" s="1"/>
  <c r="B133" i="310" s="1"/>
  <c r="B134" i="310" s="1"/>
  <c r="B135" i="310" s="1"/>
  <c r="B136" i="310" s="1"/>
  <c r="B137" i="310" s="1"/>
  <c r="B138" i="310" s="1"/>
  <c r="B139" i="310" s="1"/>
  <c r="B140" i="310" s="1"/>
  <c r="B141" i="310" s="1"/>
  <c r="B142" i="310" s="1"/>
  <c r="B143" i="310" s="1"/>
  <c r="B144" i="310" s="1"/>
  <c r="B145" i="310" s="1"/>
  <c r="B146" i="310" s="1"/>
  <c r="B147" i="310" s="1"/>
  <c r="B148" i="310" s="1"/>
  <c r="B149" i="310" s="1"/>
  <c r="B150" i="310" s="1"/>
  <c r="B151" i="310" s="1"/>
  <c r="B152" i="310" s="1"/>
  <c r="B153" i="310" s="1"/>
  <c r="B154" i="310" s="1"/>
  <c r="B155" i="310" s="1"/>
  <c r="B156" i="310" s="1"/>
  <c r="B157" i="310" s="1"/>
  <c r="B158" i="310" s="1"/>
  <c r="B159" i="310" s="1"/>
  <c r="B160" i="310" s="1"/>
  <c r="B161" i="310" s="1"/>
  <c r="B162" i="310" s="1"/>
  <c r="B163" i="310" s="1"/>
  <c r="B164" i="310" s="1"/>
  <c r="B165" i="310" s="1"/>
  <c r="B166" i="310" s="1"/>
  <c r="B167" i="310" s="1"/>
  <c r="B168" i="310" s="1"/>
  <c r="B169" i="310" s="1"/>
  <c r="B170" i="310" s="1"/>
  <c r="B171" i="310" s="1"/>
  <c r="B172" i="310" s="1"/>
  <c r="B173" i="310" s="1"/>
  <c r="B174" i="310" s="1"/>
  <c r="B175" i="310" s="1"/>
  <c r="B176" i="310" s="1"/>
  <c r="B177" i="310" s="1"/>
  <c r="B178" i="310" s="1"/>
  <c r="B179" i="310" s="1"/>
  <c r="B180" i="310" s="1"/>
  <c r="B181" i="310" s="1"/>
  <c r="B182" i="310" s="1"/>
  <c r="B183" i="310" s="1"/>
  <c r="B184" i="310" s="1"/>
  <c r="B185" i="310" s="1"/>
  <c r="B186" i="310" s="1"/>
  <c r="B187" i="310" s="1"/>
  <c r="B188" i="310" s="1"/>
  <c r="B189" i="310" s="1"/>
  <c r="B190" i="310" s="1"/>
  <c r="K190" i="309"/>
  <c r="D15" i="326" s="1"/>
  <c r="J190" i="309"/>
  <c r="I190" i="309"/>
  <c r="F190" i="309"/>
  <c r="F189" i="309"/>
  <c r="F188" i="309"/>
  <c r="F187" i="309"/>
  <c r="F186" i="309"/>
  <c r="F185" i="309"/>
  <c r="F184" i="309"/>
  <c r="F183" i="309"/>
  <c r="F182" i="309"/>
  <c r="F181" i="309"/>
  <c r="F180" i="309"/>
  <c r="F179" i="309"/>
  <c r="F178" i="309"/>
  <c r="F177" i="309"/>
  <c r="F176" i="309"/>
  <c r="F175" i="309"/>
  <c r="F174" i="309"/>
  <c r="F173" i="309"/>
  <c r="F172" i="309"/>
  <c r="F171" i="309"/>
  <c r="F170" i="309"/>
  <c r="F169" i="309"/>
  <c r="F168" i="309"/>
  <c r="F167" i="309"/>
  <c r="F166" i="309"/>
  <c r="F165" i="309"/>
  <c r="F164" i="309"/>
  <c r="F163" i="309"/>
  <c r="F162" i="309"/>
  <c r="F161" i="309"/>
  <c r="F160" i="309"/>
  <c r="K159" i="309"/>
  <c r="J159" i="309"/>
  <c r="I159" i="309"/>
  <c r="F159" i="309"/>
  <c r="F158" i="309"/>
  <c r="F157" i="309"/>
  <c r="F156" i="309"/>
  <c r="F155" i="309"/>
  <c r="F154" i="309"/>
  <c r="F153" i="309"/>
  <c r="F152" i="309"/>
  <c r="F151" i="309"/>
  <c r="F150" i="309"/>
  <c r="F149" i="309"/>
  <c r="F148" i="309"/>
  <c r="F147" i="309"/>
  <c r="F146" i="309"/>
  <c r="F145" i="309"/>
  <c r="F144" i="309"/>
  <c r="F143" i="309"/>
  <c r="F142" i="309"/>
  <c r="F141" i="309"/>
  <c r="F140" i="309"/>
  <c r="F139" i="309"/>
  <c r="F138" i="309"/>
  <c r="F137" i="309"/>
  <c r="F136" i="309"/>
  <c r="F135" i="309"/>
  <c r="F134" i="309"/>
  <c r="F133" i="309"/>
  <c r="F132" i="309"/>
  <c r="F131" i="309"/>
  <c r="F130" i="309"/>
  <c r="K129" i="309"/>
  <c r="J129" i="309"/>
  <c r="I129" i="309"/>
  <c r="F129" i="309"/>
  <c r="F128" i="309"/>
  <c r="F127" i="309"/>
  <c r="F126" i="309"/>
  <c r="F125" i="309"/>
  <c r="F124" i="309"/>
  <c r="F123" i="309"/>
  <c r="F122" i="309"/>
  <c r="F121" i="309"/>
  <c r="F120" i="309"/>
  <c r="F119" i="309"/>
  <c r="F118" i="309"/>
  <c r="F117" i="309"/>
  <c r="F116" i="309"/>
  <c r="F115" i="309"/>
  <c r="F114" i="309"/>
  <c r="F113" i="309"/>
  <c r="F112" i="309"/>
  <c r="F111" i="309"/>
  <c r="F110" i="309"/>
  <c r="F109" i="309"/>
  <c r="F108" i="309"/>
  <c r="F107" i="309"/>
  <c r="F106" i="309"/>
  <c r="F105" i="309"/>
  <c r="F104" i="309"/>
  <c r="F103" i="309"/>
  <c r="F102" i="309"/>
  <c r="F101" i="309"/>
  <c r="F100" i="309"/>
  <c r="F99" i="309"/>
  <c r="K98" i="309"/>
  <c r="J98" i="309"/>
  <c r="I98" i="309"/>
  <c r="F98" i="309"/>
  <c r="F97" i="309"/>
  <c r="F96" i="309"/>
  <c r="F95" i="309"/>
  <c r="F94" i="309"/>
  <c r="F93" i="309"/>
  <c r="F92" i="309"/>
  <c r="F91" i="309"/>
  <c r="F90" i="309"/>
  <c r="F89" i="309"/>
  <c r="F88" i="309"/>
  <c r="F87" i="309"/>
  <c r="F86" i="309"/>
  <c r="F85" i="309"/>
  <c r="F84" i="309"/>
  <c r="F83" i="309"/>
  <c r="F82" i="309"/>
  <c r="F81" i="309"/>
  <c r="F80" i="309"/>
  <c r="F79" i="309"/>
  <c r="F78" i="309"/>
  <c r="F77" i="309"/>
  <c r="F76" i="309"/>
  <c r="F75" i="309"/>
  <c r="F74" i="309"/>
  <c r="F73" i="309"/>
  <c r="F72" i="309"/>
  <c r="F71" i="309"/>
  <c r="F70" i="309"/>
  <c r="F69" i="309"/>
  <c r="F68" i="309"/>
  <c r="K67" i="309"/>
  <c r="J67" i="309"/>
  <c r="I67" i="309"/>
  <c r="F67" i="309"/>
  <c r="F66" i="309"/>
  <c r="F65" i="309"/>
  <c r="F64" i="309"/>
  <c r="F63" i="309"/>
  <c r="F62" i="309"/>
  <c r="F61" i="309"/>
  <c r="F60" i="309"/>
  <c r="F59" i="309"/>
  <c r="F58" i="309"/>
  <c r="F57" i="309"/>
  <c r="F56" i="309"/>
  <c r="F55" i="309"/>
  <c r="F54" i="309"/>
  <c r="F53" i="309"/>
  <c r="F52" i="309"/>
  <c r="F51" i="309"/>
  <c r="F50" i="309"/>
  <c r="F49" i="309"/>
  <c r="F48" i="309"/>
  <c r="F47" i="309"/>
  <c r="F46" i="309"/>
  <c r="F45" i="309"/>
  <c r="F44" i="309"/>
  <c r="F43" i="309"/>
  <c r="F42" i="309"/>
  <c r="F41" i="309"/>
  <c r="F40" i="309"/>
  <c r="F39" i="309"/>
  <c r="F38" i="309"/>
  <c r="K37" i="309"/>
  <c r="J37" i="309"/>
  <c r="I37" i="309"/>
  <c r="F37" i="309"/>
  <c r="F36" i="309"/>
  <c r="F35" i="309"/>
  <c r="F34" i="309"/>
  <c r="F33" i="309"/>
  <c r="F32" i="309"/>
  <c r="F31" i="309"/>
  <c r="F30" i="309"/>
  <c r="F29" i="309"/>
  <c r="F28" i="309"/>
  <c r="F27" i="309"/>
  <c r="F26" i="309"/>
  <c r="F25" i="309"/>
  <c r="F24" i="309"/>
  <c r="F23" i="309"/>
  <c r="F22" i="309"/>
  <c r="F21" i="309"/>
  <c r="F20" i="309"/>
  <c r="F19" i="309"/>
  <c r="F18" i="309"/>
  <c r="F17" i="309"/>
  <c r="F16" i="309"/>
  <c r="F15" i="309"/>
  <c r="F14" i="309"/>
  <c r="F13" i="309"/>
  <c r="F12" i="309"/>
  <c r="F11" i="309"/>
  <c r="F10" i="309"/>
  <c r="F9" i="309"/>
  <c r="F8" i="309"/>
  <c r="F7" i="309"/>
  <c r="B8" i="309"/>
  <c r="B9" i="309" s="1"/>
  <c r="B10" i="309" s="1"/>
  <c r="B11" i="309" s="1"/>
  <c r="B12" i="309" s="1"/>
  <c r="B13" i="309" s="1"/>
  <c r="B14" i="309" s="1"/>
  <c r="B15" i="309" s="1"/>
  <c r="B16" i="309" s="1"/>
  <c r="B17" i="309" s="1"/>
  <c r="B18" i="309" s="1"/>
  <c r="B19" i="309" s="1"/>
  <c r="B20" i="309" s="1"/>
  <c r="B21" i="309" s="1"/>
  <c r="B22" i="309" s="1"/>
  <c r="B23" i="309" s="1"/>
  <c r="B24" i="309" s="1"/>
  <c r="B25" i="309" s="1"/>
  <c r="B26" i="309" s="1"/>
  <c r="B27" i="309" s="1"/>
  <c r="B28" i="309" s="1"/>
  <c r="B29" i="309" s="1"/>
  <c r="B30" i="309" s="1"/>
  <c r="B31" i="309" s="1"/>
  <c r="B32" i="309" s="1"/>
  <c r="B33" i="309" s="1"/>
  <c r="B34" i="309" s="1"/>
  <c r="B35" i="309" s="1"/>
  <c r="B36" i="309" s="1"/>
  <c r="B37" i="309" s="1"/>
  <c r="B38" i="309" s="1"/>
  <c r="B39" i="309" s="1"/>
  <c r="B40" i="309" s="1"/>
  <c r="B41" i="309" s="1"/>
  <c r="B42" i="309" s="1"/>
  <c r="B43" i="309" s="1"/>
  <c r="B44" i="309" s="1"/>
  <c r="B45" i="309" s="1"/>
  <c r="B46" i="309" s="1"/>
  <c r="B47" i="309" s="1"/>
  <c r="B48" i="309" s="1"/>
  <c r="B49" i="309" s="1"/>
  <c r="B50" i="309" s="1"/>
  <c r="B51" i="309" s="1"/>
  <c r="B52" i="309" s="1"/>
  <c r="B53" i="309" s="1"/>
  <c r="B54" i="309" s="1"/>
  <c r="B55" i="309" s="1"/>
  <c r="B56" i="309" s="1"/>
  <c r="B57" i="309" s="1"/>
  <c r="B58" i="309" s="1"/>
  <c r="B59" i="309" s="1"/>
  <c r="B60" i="309" s="1"/>
  <c r="B61" i="309" s="1"/>
  <c r="B62" i="309" s="1"/>
  <c r="B63" i="309" s="1"/>
  <c r="B64" i="309" s="1"/>
  <c r="B65" i="309" s="1"/>
  <c r="B66" i="309" s="1"/>
  <c r="B67" i="309" s="1"/>
  <c r="B68" i="309" s="1"/>
  <c r="B69" i="309" s="1"/>
  <c r="B70" i="309" s="1"/>
  <c r="B71" i="309" s="1"/>
  <c r="B72" i="309" s="1"/>
  <c r="B73" i="309" s="1"/>
  <c r="B74" i="309" s="1"/>
  <c r="B75" i="309" s="1"/>
  <c r="B76" i="309" s="1"/>
  <c r="B77" i="309" s="1"/>
  <c r="B78" i="309" s="1"/>
  <c r="B79" i="309" s="1"/>
  <c r="B80" i="309" s="1"/>
  <c r="B81" i="309" s="1"/>
  <c r="B82" i="309" s="1"/>
  <c r="B83" i="309" s="1"/>
  <c r="B84" i="309" s="1"/>
  <c r="B85" i="309" s="1"/>
  <c r="B86" i="309" s="1"/>
  <c r="B87" i="309" s="1"/>
  <c r="B88" i="309" s="1"/>
  <c r="B89" i="309" s="1"/>
  <c r="B90" i="309" s="1"/>
  <c r="B91" i="309" s="1"/>
  <c r="B92" i="309" s="1"/>
  <c r="B93" i="309" s="1"/>
  <c r="B94" i="309" s="1"/>
  <c r="B95" i="309" s="1"/>
  <c r="B96" i="309" s="1"/>
  <c r="B97" i="309" s="1"/>
  <c r="B98" i="309" s="1"/>
  <c r="B99" i="309" s="1"/>
  <c r="B100" i="309" s="1"/>
  <c r="B101" i="309" s="1"/>
  <c r="B102" i="309" s="1"/>
  <c r="B103" i="309" s="1"/>
  <c r="B104" i="309" s="1"/>
  <c r="B105" i="309" s="1"/>
  <c r="B106" i="309" s="1"/>
  <c r="B107" i="309" s="1"/>
  <c r="B108" i="309" s="1"/>
  <c r="B109" i="309" s="1"/>
  <c r="B110" i="309" s="1"/>
  <c r="B111" i="309" s="1"/>
  <c r="B112" i="309" s="1"/>
  <c r="B113" i="309" s="1"/>
  <c r="B114" i="309" s="1"/>
  <c r="B115" i="309" s="1"/>
  <c r="B116" i="309" s="1"/>
  <c r="B117" i="309" s="1"/>
  <c r="B118" i="309" s="1"/>
  <c r="B119" i="309" s="1"/>
  <c r="B120" i="309" s="1"/>
  <c r="B121" i="309" s="1"/>
  <c r="B122" i="309" s="1"/>
  <c r="B123" i="309" s="1"/>
  <c r="B124" i="309" s="1"/>
  <c r="B125" i="309" s="1"/>
  <c r="B126" i="309" s="1"/>
  <c r="B127" i="309" s="1"/>
  <c r="B128" i="309" s="1"/>
  <c r="B129" i="309" s="1"/>
  <c r="B130" i="309" s="1"/>
  <c r="B131" i="309" s="1"/>
  <c r="B132" i="309" s="1"/>
  <c r="B133" i="309" s="1"/>
  <c r="B134" i="309" s="1"/>
  <c r="B135" i="309" s="1"/>
  <c r="B136" i="309" s="1"/>
  <c r="B137" i="309" s="1"/>
  <c r="B138" i="309" s="1"/>
  <c r="B139" i="309" s="1"/>
  <c r="B140" i="309" s="1"/>
  <c r="B141" i="309" s="1"/>
  <c r="B142" i="309" s="1"/>
  <c r="B143" i="309" s="1"/>
  <c r="B144" i="309" s="1"/>
  <c r="B145" i="309" s="1"/>
  <c r="B146" i="309" s="1"/>
  <c r="B147" i="309" s="1"/>
  <c r="B148" i="309" s="1"/>
  <c r="B149" i="309" s="1"/>
  <c r="B150" i="309" s="1"/>
  <c r="B151" i="309" s="1"/>
  <c r="B152" i="309" s="1"/>
  <c r="B153" i="309" s="1"/>
  <c r="B154" i="309" s="1"/>
  <c r="B155" i="309" s="1"/>
  <c r="B156" i="309" s="1"/>
  <c r="B157" i="309" s="1"/>
  <c r="B158" i="309" s="1"/>
  <c r="B159" i="309" s="1"/>
  <c r="B160" i="309" s="1"/>
  <c r="B161" i="309" s="1"/>
  <c r="B162" i="309" s="1"/>
  <c r="B163" i="309" s="1"/>
  <c r="B164" i="309" s="1"/>
  <c r="B165" i="309" s="1"/>
  <c r="B166" i="309" s="1"/>
  <c r="B167" i="309" s="1"/>
  <c r="B168" i="309" s="1"/>
  <c r="B169" i="309" s="1"/>
  <c r="B170" i="309" s="1"/>
  <c r="B171" i="309" s="1"/>
  <c r="B172" i="309" s="1"/>
  <c r="B173" i="309" s="1"/>
  <c r="B174" i="309" s="1"/>
  <c r="B175" i="309" s="1"/>
  <c r="B176" i="309" s="1"/>
  <c r="B177" i="309" s="1"/>
  <c r="B178" i="309" s="1"/>
  <c r="B179" i="309" s="1"/>
  <c r="B180" i="309" s="1"/>
  <c r="B181" i="309" s="1"/>
  <c r="B182" i="309" s="1"/>
  <c r="B183" i="309" s="1"/>
  <c r="B184" i="309" s="1"/>
  <c r="B185" i="309" s="1"/>
  <c r="B186" i="309" s="1"/>
  <c r="B187" i="309" s="1"/>
  <c r="B188" i="309" s="1"/>
  <c r="B189" i="309" s="1"/>
  <c r="B190" i="309" s="1"/>
  <c r="K190" i="308"/>
  <c r="D14" i="326" s="1"/>
  <c r="J190" i="308"/>
  <c r="I190" i="308"/>
  <c r="F190" i="308"/>
  <c r="F189" i="308"/>
  <c r="F188" i="308"/>
  <c r="F187" i="308"/>
  <c r="F186" i="308"/>
  <c r="F185" i="308"/>
  <c r="F184" i="308"/>
  <c r="F183" i="308"/>
  <c r="F182" i="308"/>
  <c r="F181" i="308"/>
  <c r="F180" i="308"/>
  <c r="F179" i="308"/>
  <c r="F178" i="308"/>
  <c r="F177" i="308"/>
  <c r="F176" i="308"/>
  <c r="F175" i="308"/>
  <c r="F174" i="308"/>
  <c r="F173" i="308"/>
  <c r="F172" i="308"/>
  <c r="F171" i="308"/>
  <c r="F170" i="308"/>
  <c r="F169" i="308"/>
  <c r="F168" i="308"/>
  <c r="F167" i="308"/>
  <c r="F166" i="308"/>
  <c r="F165" i="308"/>
  <c r="F164" i="308"/>
  <c r="F163" i="308"/>
  <c r="F162" i="308"/>
  <c r="F161" i="308"/>
  <c r="F160" i="308"/>
  <c r="K159" i="308"/>
  <c r="J159" i="308"/>
  <c r="I159" i="308"/>
  <c r="F159" i="308"/>
  <c r="F158" i="308"/>
  <c r="F157" i="308"/>
  <c r="F156" i="308"/>
  <c r="F155" i="308"/>
  <c r="F154" i="308"/>
  <c r="F153" i="308"/>
  <c r="F152" i="308"/>
  <c r="F151" i="308"/>
  <c r="F150" i="308"/>
  <c r="F149" i="308"/>
  <c r="F148" i="308"/>
  <c r="F147" i="308"/>
  <c r="F146" i="308"/>
  <c r="F145" i="308"/>
  <c r="F144" i="308"/>
  <c r="F143" i="308"/>
  <c r="F142" i="308"/>
  <c r="F141" i="308"/>
  <c r="F140" i="308"/>
  <c r="F139" i="308"/>
  <c r="F138" i="308"/>
  <c r="F137" i="308"/>
  <c r="F136" i="308"/>
  <c r="F135" i="308"/>
  <c r="F134" i="308"/>
  <c r="F133" i="308"/>
  <c r="F132" i="308"/>
  <c r="F131" i="308"/>
  <c r="F130" i="308"/>
  <c r="K129" i="308"/>
  <c r="J129" i="308"/>
  <c r="I129" i="308"/>
  <c r="F129" i="308"/>
  <c r="F128" i="308"/>
  <c r="F127" i="308"/>
  <c r="F126" i="308"/>
  <c r="F125" i="308"/>
  <c r="F124" i="308"/>
  <c r="F123" i="308"/>
  <c r="F122" i="308"/>
  <c r="F121" i="308"/>
  <c r="F120" i="308"/>
  <c r="F119" i="308"/>
  <c r="F118" i="308"/>
  <c r="F117" i="308"/>
  <c r="F116" i="308"/>
  <c r="F115" i="308"/>
  <c r="F114" i="308"/>
  <c r="F113" i="308"/>
  <c r="F112" i="308"/>
  <c r="F111" i="308"/>
  <c r="F110" i="308"/>
  <c r="F109" i="308"/>
  <c r="F108" i="308"/>
  <c r="F107" i="308"/>
  <c r="F106" i="308"/>
  <c r="F105" i="308"/>
  <c r="F104" i="308"/>
  <c r="F103" i="308"/>
  <c r="F102" i="308"/>
  <c r="F101" i="308"/>
  <c r="F100" i="308"/>
  <c r="F99" i="308"/>
  <c r="K98" i="308"/>
  <c r="J98" i="308"/>
  <c r="I98" i="308"/>
  <c r="F98" i="308"/>
  <c r="F97" i="308"/>
  <c r="F96" i="308"/>
  <c r="F95" i="308"/>
  <c r="F94" i="308"/>
  <c r="F93" i="308"/>
  <c r="F92" i="308"/>
  <c r="F91" i="308"/>
  <c r="F90" i="308"/>
  <c r="F89" i="308"/>
  <c r="F88" i="308"/>
  <c r="F87" i="308"/>
  <c r="F86" i="308"/>
  <c r="F85" i="308"/>
  <c r="F84" i="308"/>
  <c r="F83" i="308"/>
  <c r="F82" i="308"/>
  <c r="F81" i="308"/>
  <c r="F80" i="308"/>
  <c r="F79" i="308"/>
  <c r="F78" i="308"/>
  <c r="F77" i="308"/>
  <c r="F76" i="308"/>
  <c r="F75" i="308"/>
  <c r="F74" i="308"/>
  <c r="F73" i="308"/>
  <c r="F72" i="308"/>
  <c r="F71" i="308"/>
  <c r="F70" i="308"/>
  <c r="F69" i="308"/>
  <c r="F68" i="308"/>
  <c r="K67" i="308"/>
  <c r="J67" i="308"/>
  <c r="I67" i="308"/>
  <c r="F67" i="308"/>
  <c r="F66" i="308"/>
  <c r="F65" i="308"/>
  <c r="F64" i="308"/>
  <c r="F63" i="308"/>
  <c r="F62" i="308"/>
  <c r="F61" i="308"/>
  <c r="F60" i="308"/>
  <c r="F59" i="308"/>
  <c r="F58" i="308"/>
  <c r="F57" i="308"/>
  <c r="F56" i="308"/>
  <c r="F55" i="308"/>
  <c r="F54" i="308"/>
  <c r="F53" i="308"/>
  <c r="F52" i="308"/>
  <c r="F51" i="308"/>
  <c r="F50" i="308"/>
  <c r="F49" i="308"/>
  <c r="F48" i="308"/>
  <c r="F47" i="308"/>
  <c r="F46" i="308"/>
  <c r="F45" i="308"/>
  <c r="F44" i="308"/>
  <c r="F43" i="308"/>
  <c r="F42" i="308"/>
  <c r="F41" i="308"/>
  <c r="F40" i="308"/>
  <c r="F39" i="308"/>
  <c r="F38" i="308"/>
  <c r="K37" i="308"/>
  <c r="J37" i="308"/>
  <c r="I37" i="308"/>
  <c r="F37" i="308"/>
  <c r="F36" i="308"/>
  <c r="F35" i="308"/>
  <c r="F34" i="308"/>
  <c r="F33" i="308"/>
  <c r="F32" i="308"/>
  <c r="F31" i="308"/>
  <c r="F30" i="308"/>
  <c r="F29" i="308"/>
  <c r="F28" i="308"/>
  <c r="F27" i="308"/>
  <c r="F26" i="308"/>
  <c r="F25" i="308"/>
  <c r="F24" i="308"/>
  <c r="F23" i="308"/>
  <c r="F22" i="308"/>
  <c r="F21" i="308"/>
  <c r="F20" i="308"/>
  <c r="F19" i="308"/>
  <c r="F18" i="308"/>
  <c r="F17" i="308"/>
  <c r="F16" i="308"/>
  <c r="F15" i="308"/>
  <c r="F14" i="308"/>
  <c r="F13" i="308"/>
  <c r="F12" i="308"/>
  <c r="F11" i="308"/>
  <c r="F10" i="308"/>
  <c r="F9" i="308"/>
  <c r="F8" i="308"/>
  <c r="F7" i="308"/>
  <c r="B8" i="308"/>
  <c r="B9" i="308" s="1"/>
  <c r="B10" i="308" s="1"/>
  <c r="B11" i="308" s="1"/>
  <c r="B12" i="308" s="1"/>
  <c r="B13" i="308" s="1"/>
  <c r="B14" i="308" s="1"/>
  <c r="B15" i="308" s="1"/>
  <c r="B16" i="308" s="1"/>
  <c r="B17" i="308" s="1"/>
  <c r="B18" i="308" s="1"/>
  <c r="B19" i="308" s="1"/>
  <c r="B20" i="308" s="1"/>
  <c r="B21" i="308" s="1"/>
  <c r="B22" i="308" s="1"/>
  <c r="B23" i="308" s="1"/>
  <c r="B24" i="308" s="1"/>
  <c r="B25" i="308" s="1"/>
  <c r="B26" i="308" s="1"/>
  <c r="B27" i="308" s="1"/>
  <c r="B28" i="308" s="1"/>
  <c r="B29" i="308" s="1"/>
  <c r="B30" i="308" s="1"/>
  <c r="B31" i="308" s="1"/>
  <c r="B32" i="308" s="1"/>
  <c r="B33" i="308" s="1"/>
  <c r="B34" i="308" s="1"/>
  <c r="B35" i="308" s="1"/>
  <c r="B36" i="308" s="1"/>
  <c r="B37" i="308" s="1"/>
  <c r="B38" i="308" s="1"/>
  <c r="B39" i="308" s="1"/>
  <c r="B40" i="308" s="1"/>
  <c r="B41" i="308" s="1"/>
  <c r="B42" i="308" s="1"/>
  <c r="B43" i="308" s="1"/>
  <c r="B44" i="308" s="1"/>
  <c r="B45" i="308" s="1"/>
  <c r="B46" i="308" s="1"/>
  <c r="B47" i="308" s="1"/>
  <c r="B48" i="308" s="1"/>
  <c r="B49" i="308" s="1"/>
  <c r="B50" i="308" s="1"/>
  <c r="B51" i="308" s="1"/>
  <c r="B52" i="308" s="1"/>
  <c r="B53" i="308" s="1"/>
  <c r="B54" i="308" s="1"/>
  <c r="B55" i="308" s="1"/>
  <c r="B56" i="308" s="1"/>
  <c r="B57" i="308" s="1"/>
  <c r="B58" i="308" s="1"/>
  <c r="B59" i="308" s="1"/>
  <c r="B60" i="308" s="1"/>
  <c r="B61" i="308" s="1"/>
  <c r="B62" i="308" s="1"/>
  <c r="B63" i="308" s="1"/>
  <c r="B64" i="308" s="1"/>
  <c r="B65" i="308" s="1"/>
  <c r="B66" i="308" s="1"/>
  <c r="B67" i="308" s="1"/>
  <c r="B68" i="308" s="1"/>
  <c r="B69" i="308" s="1"/>
  <c r="B70" i="308" s="1"/>
  <c r="B71" i="308" s="1"/>
  <c r="B72" i="308" s="1"/>
  <c r="B73" i="308" s="1"/>
  <c r="B74" i="308" s="1"/>
  <c r="B75" i="308" s="1"/>
  <c r="B76" i="308" s="1"/>
  <c r="B77" i="308" s="1"/>
  <c r="B78" i="308" s="1"/>
  <c r="B79" i="308" s="1"/>
  <c r="B80" i="308" s="1"/>
  <c r="B81" i="308" s="1"/>
  <c r="B82" i="308" s="1"/>
  <c r="B83" i="308" s="1"/>
  <c r="B84" i="308" s="1"/>
  <c r="B85" i="308" s="1"/>
  <c r="B86" i="308" s="1"/>
  <c r="B87" i="308" s="1"/>
  <c r="B88" i="308" s="1"/>
  <c r="B89" i="308" s="1"/>
  <c r="B90" i="308" s="1"/>
  <c r="B91" i="308" s="1"/>
  <c r="B92" i="308" s="1"/>
  <c r="B93" i="308" s="1"/>
  <c r="B94" i="308" s="1"/>
  <c r="B95" i="308" s="1"/>
  <c r="B96" i="308" s="1"/>
  <c r="B97" i="308" s="1"/>
  <c r="B98" i="308" s="1"/>
  <c r="B99" i="308" s="1"/>
  <c r="B100" i="308" s="1"/>
  <c r="B101" i="308" s="1"/>
  <c r="B102" i="308" s="1"/>
  <c r="B103" i="308" s="1"/>
  <c r="B104" i="308" s="1"/>
  <c r="B105" i="308" s="1"/>
  <c r="B106" i="308" s="1"/>
  <c r="B107" i="308" s="1"/>
  <c r="B108" i="308" s="1"/>
  <c r="B109" i="308" s="1"/>
  <c r="B110" i="308" s="1"/>
  <c r="B111" i="308" s="1"/>
  <c r="B112" i="308" s="1"/>
  <c r="B113" i="308" s="1"/>
  <c r="B114" i="308" s="1"/>
  <c r="B115" i="308" s="1"/>
  <c r="B116" i="308" s="1"/>
  <c r="B117" i="308" s="1"/>
  <c r="B118" i="308" s="1"/>
  <c r="B119" i="308" s="1"/>
  <c r="B120" i="308" s="1"/>
  <c r="B121" i="308" s="1"/>
  <c r="B122" i="308" s="1"/>
  <c r="B123" i="308" s="1"/>
  <c r="B124" i="308" s="1"/>
  <c r="B125" i="308" s="1"/>
  <c r="B126" i="308" s="1"/>
  <c r="B127" i="308" s="1"/>
  <c r="B128" i="308" s="1"/>
  <c r="B129" i="308" s="1"/>
  <c r="B130" i="308" s="1"/>
  <c r="B131" i="308" s="1"/>
  <c r="B132" i="308" s="1"/>
  <c r="B133" i="308" s="1"/>
  <c r="B134" i="308" s="1"/>
  <c r="B135" i="308" s="1"/>
  <c r="B136" i="308" s="1"/>
  <c r="B137" i="308" s="1"/>
  <c r="B138" i="308" s="1"/>
  <c r="B139" i="308" s="1"/>
  <c r="B140" i="308" s="1"/>
  <c r="B141" i="308" s="1"/>
  <c r="B142" i="308" s="1"/>
  <c r="B143" i="308" s="1"/>
  <c r="B144" i="308" s="1"/>
  <c r="B145" i="308" s="1"/>
  <c r="B146" i="308" s="1"/>
  <c r="B147" i="308" s="1"/>
  <c r="B148" i="308" s="1"/>
  <c r="B149" i="308" s="1"/>
  <c r="B150" i="308" s="1"/>
  <c r="B151" i="308" s="1"/>
  <c r="B152" i="308" s="1"/>
  <c r="B153" i="308" s="1"/>
  <c r="B154" i="308" s="1"/>
  <c r="B155" i="308" s="1"/>
  <c r="B156" i="308" s="1"/>
  <c r="B157" i="308" s="1"/>
  <c r="B158" i="308" s="1"/>
  <c r="B159" i="308" s="1"/>
  <c r="B160" i="308" s="1"/>
  <c r="B161" i="308" s="1"/>
  <c r="B162" i="308" s="1"/>
  <c r="B163" i="308" s="1"/>
  <c r="B164" i="308" s="1"/>
  <c r="B165" i="308" s="1"/>
  <c r="B166" i="308" s="1"/>
  <c r="B167" i="308" s="1"/>
  <c r="B168" i="308" s="1"/>
  <c r="B169" i="308" s="1"/>
  <c r="B170" i="308" s="1"/>
  <c r="B171" i="308" s="1"/>
  <c r="B172" i="308" s="1"/>
  <c r="B173" i="308" s="1"/>
  <c r="B174" i="308" s="1"/>
  <c r="B175" i="308" s="1"/>
  <c r="B176" i="308" s="1"/>
  <c r="B177" i="308" s="1"/>
  <c r="B178" i="308" s="1"/>
  <c r="B179" i="308" s="1"/>
  <c r="B180" i="308" s="1"/>
  <c r="B181" i="308" s="1"/>
  <c r="B182" i="308" s="1"/>
  <c r="B183" i="308" s="1"/>
  <c r="B184" i="308" s="1"/>
  <c r="B185" i="308" s="1"/>
  <c r="B186" i="308" s="1"/>
  <c r="B187" i="308" s="1"/>
  <c r="B188" i="308" s="1"/>
  <c r="B189" i="308" s="1"/>
  <c r="B190" i="308" s="1"/>
  <c r="K190" i="307"/>
  <c r="D13" i="326" s="1"/>
  <c r="H13" i="326" s="1"/>
  <c r="R13" i="326" s="1"/>
  <c r="U13" i="326" s="1"/>
  <c r="J190" i="307"/>
  <c r="I190" i="307"/>
  <c r="F190" i="307"/>
  <c r="F189" i="307"/>
  <c r="F188" i="307"/>
  <c r="F187" i="307"/>
  <c r="F186" i="307"/>
  <c r="F185" i="307"/>
  <c r="F184" i="307"/>
  <c r="F183" i="307"/>
  <c r="F182" i="307"/>
  <c r="F181" i="307"/>
  <c r="F180" i="307"/>
  <c r="F179" i="307"/>
  <c r="F178" i="307"/>
  <c r="F177" i="307"/>
  <c r="F176" i="307"/>
  <c r="F175" i="307"/>
  <c r="F174" i="307"/>
  <c r="F173" i="307"/>
  <c r="F172" i="307"/>
  <c r="F171" i="307"/>
  <c r="F170" i="307"/>
  <c r="F169" i="307"/>
  <c r="F168" i="307"/>
  <c r="F167" i="307"/>
  <c r="F166" i="307"/>
  <c r="F165" i="307"/>
  <c r="F164" i="307"/>
  <c r="F163" i="307"/>
  <c r="F162" i="307"/>
  <c r="F161" i="307"/>
  <c r="F160" i="307"/>
  <c r="K159" i="307"/>
  <c r="J159" i="307"/>
  <c r="I159" i="307"/>
  <c r="F159" i="307"/>
  <c r="F158" i="307"/>
  <c r="F157" i="307"/>
  <c r="F156" i="307"/>
  <c r="F155" i="307"/>
  <c r="F154" i="307"/>
  <c r="F153" i="307"/>
  <c r="F152" i="307"/>
  <c r="F151" i="307"/>
  <c r="F150" i="307"/>
  <c r="F149" i="307"/>
  <c r="F148" i="307"/>
  <c r="F147" i="307"/>
  <c r="F146" i="307"/>
  <c r="F145" i="307"/>
  <c r="F144" i="307"/>
  <c r="F143" i="307"/>
  <c r="F142" i="307"/>
  <c r="F141" i="307"/>
  <c r="F140" i="307"/>
  <c r="F139" i="307"/>
  <c r="F138" i="307"/>
  <c r="F137" i="307"/>
  <c r="F136" i="307"/>
  <c r="F135" i="307"/>
  <c r="F134" i="307"/>
  <c r="F133" i="307"/>
  <c r="F132" i="307"/>
  <c r="F131" i="307"/>
  <c r="F130" i="307"/>
  <c r="K129" i="307"/>
  <c r="J129" i="307"/>
  <c r="I129" i="307"/>
  <c r="F129" i="307"/>
  <c r="F128" i="307"/>
  <c r="F127" i="307"/>
  <c r="F126" i="307"/>
  <c r="F125" i="307"/>
  <c r="F124" i="307"/>
  <c r="F123" i="307"/>
  <c r="F122" i="307"/>
  <c r="F121" i="307"/>
  <c r="F120" i="307"/>
  <c r="F119" i="307"/>
  <c r="F118" i="307"/>
  <c r="F117" i="307"/>
  <c r="F116" i="307"/>
  <c r="F115" i="307"/>
  <c r="F114" i="307"/>
  <c r="F113" i="307"/>
  <c r="F112" i="307"/>
  <c r="F111" i="307"/>
  <c r="F110" i="307"/>
  <c r="F109" i="307"/>
  <c r="F108" i="307"/>
  <c r="F107" i="307"/>
  <c r="F106" i="307"/>
  <c r="F105" i="307"/>
  <c r="F104" i="307"/>
  <c r="F103" i="307"/>
  <c r="F102" i="307"/>
  <c r="F101" i="307"/>
  <c r="F100" i="307"/>
  <c r="F99" i="307"/>
  <c r="K98" i="307"/>
  <c r="J98" i="307"/>
  <c r="I98" i="307"/>
  <c r="F98" i="307"/>
  <c r="F97" i="307"/>
  <c r="F96" i="307"/>
  <c r="F95" i="307"/>
  <c r="F94" i="307"/>
  <c r="F93" i="307"/>
  <c r="F92" i="307"/>
  <c r="F91" i="307"/>
  <c r="F90" i="307"/>
  <c r="F89" i="307"/>
  <c r="F88" i="307"/>
  <c r="F87" i="307"/>
  <c r="F86" i="307"/>
  <c r="F85" i="307"/>
  <c r="F84" i="307"/>
  <c r="F83" i="307"/>
  <c r="F82" i="307"/>
  <c r="F81" i="307"/>
  <c r="F80" i="307"/>
  <c r="F79" i="307"/>
  <c r="F78" i="307"/>
  <c r="F77" i="307"/>
  <c r="F76" i="307"/>
  <c r="F75" i="307"/>
  <c r="F74" i="307"/>
  <c r="F73" i="307"/>
  <c r="F72" i="307"/>
  <c r="F71" i="307"/>
  <c r="F70" i="307"/>
  <c r="F69" i="307"/>
  <c r="F68" i="307"/>
  <c r="K67" i="307"/>
  <c r="J67" i="307"/>
  <c r="I67" i="307"/>
  <c r="F67" i="307"/>
  <c r="F66" i="307"/>
  <c r="F65" i="307"/>
  <c r="F64" i="307"/>
  <c r="F63" i="307"/>
  <c r="F62" i="307"/>
  <c r="F61" i="307"/>
  <c r="F60" i="307"/>
  <c r="F59" i="307"/>
  <c r="F58" i="307"/>
  <c r="F57" i="307"/>
  <c r="F56" i="307"/>
  <c r="F55" i="307"/>
  <c r="F54" i="307"/>
  <c r="F53" i="307"/>
  <c r="F52" i="307"/>
  <c r="F51" i="307"/>
  <c r="F50" i="307"/>
  <c r="F49" i="307"/>
  <c r="F48" i="307"/>
  <c r="F47" i="307"/>
  <c r="F46" i="307"/>
  <c r="F45" i="307"/>
  <c r="F44" i="307"/>
  <c r="F43" i="307"/>
  <c r="F42" i="307"/>
  <c r="F41" i="307"/>
  <c r="F40" i="307"/>
  <c r="F39" i="307"/>
  <c r="F38" i="307"/>
  <c r="K37" i="307"/>
  <c r="J37" i="307"/>
  <c r="I37" i="307"/>
  <c r="F37" i="307"/>
  <c r="F36" i="307"/>
  <c r="F35" i="307"/>
  <c r="F34" i="307"/>
  <c r="F33" i="307"/>
  <c r="F32" i="307"/>
  <c r="F31" i="307"/>
  <c r="F30" i="307"/>
  <c r="F29" i="307"/>
  <c r="F28" i="307"/>
  <c r="F27" i="307"/>
  <c r="F26" i="307"/>
  <c r="F25" i="307"/>
  <c r="F24" i="307"/>
  <c r="F23" i="307"/>
  <c r="F22" i="307"/>
  <c r="F21" i="307"/>
  <c r="F20" i="307"/>
  <c r="F19" i="307"/>
  <c r="F18" i="307"/>
  <c r="F17" i="307"/>
  <c r="F16" i="307"/>
  <c r="F15" i="307"/>
  <c r="F14" i="307"/>
  <c r="F13" i="307"/>
  <c r="F12" i="307"/>
  <c r="F11" i="307"/>
  <c r="F10" i="307"/>
  <c r="F9" i="307"/>
  <c r="F8" i="307"/>
  <c r="F7" i="307"/>
  <c r="B8" i="307"/>
  <c r="B9" i="307" s="1"/>
  <c r="B10" i="307" s="1"/>
  <c r="B11" i="307" s="1"/>
  <c r="B12" i="307" s="1"/>
  <c r="B13" i="307" s="1"/>
  <c r="B14" i="307" s="1"/>
  <c r="B15" i="307" s="1"/>
  <c r="B16" i="307" s="1"/>
  <c r="B17" i="307" s="1"/>
  <c r="B18" i="307" s="1"/>
  <c r="B19" i="307" s="1"/>
  <c r="B20" i="307" s="1"/>
  <c r="B21" i="307" s="1"/>
  <c r="B22" i="307" s="1"/>
  <c r="B23" i="307" s="1"/>
  <c r="B24" i="307" s="1"/>
  <c r="B25" i="307" s="1"/>
  <c r="B26" i="307" s="1"/>
  <c r="B27" i="307" s="1"/>
  <c r="B28" i="307" s="1"/>
  <c r="B29" i="307" s="1"/>
  <c r="B30" i="307" s="1"/>
  <c r="B31" i="307" s="1"/>
  <c r="B32" i="307" s="1"/>
  <c r="B33" i="307" s="1"/>
  <c r="B34" i="307" s="1"/>
  <c r="B35" i="307" s="1"/>
  <c r="B36" i="307" s="1"/>
  <c r="B37" i="307" s="1"/>
  <c r="B38" i="307" s="1"/>
  <c r="B39" i="307" s="1"/>
  <c r="B40" i="307" s="1"/>
  <c r="B41" i="307" s="1"/>
  <c r="B42" i="307" s="1"/>
  <c r="B43" i="307" s="1"/>
  <c r="B44" i="307" s="1"/>
  <c r="B45" i="307" s="1"/>
  <c r="B46" i="307" s="1"/>
  <c r="B47" i="307" s="1"/>
  <c r="B48" i="307" s="1"/>
  <c r="B49" i="307" s="1"/>
  <c r="B50" i="307" s="1"/>
  <c r="B51" i="307" s="1"/>
  <c r="B52" i="307" s="1"/>
  <c r="B53" i="307" s="1"/>
  <c r="B54" i="307" s="1"/>
  <c r="B55" i="307" s="1"/>
  <c r="B56" i="307" s="1"/>
  <c r="B57" i="307" s="1"/>
  <c r="B58" i="307" s="1"/>
  <c r="B59" i="307" s="1"/>
  <c r="B60" i="307" s="1"/>
  <c r="B61" i="307" s="1"/>
  <c r="B62" i="307" s="1"/>
  <c r="B63" i="307" s="1"/>
  <c r="B64" i="307" s="1"/>
  <c r="B65" i="307" s="1"/>
  <c r="B66" i="307" s="1"/>
  <c r="B67" i="307" s="1"/>
  <c r="B68" i="307" s="1"/>
  <c r="B69" i="307" s="1"/>
  <c r="B70" i="307" s="1"/>
  <c r="B71" i="307" s="1"/>
  <c r="B72" i="307" s="1"/>
  <c r="B73" i="307" s="1"/>
  <c r="B74" i="307" s="1"/>
  <c r="B75" i="307" s="1"/>
  <c r="B76" i="307" s="1"/>
  <c r="B77" i="307" s="1"/>
  <c r="B78" i="307" s="1"/>
  <c r="B79" i="307" s="1"/>
  <c r="B80" i="307" s="1"/>
  <c r="B81" i="307" s="1"/>
  <c r="B82" i="307" s="1"/>
  <c r="B83" i="307" s="1"/>
  <c r="B84" i="307" s="1"/>
  <c r="B85" i="307" s="1"/>
  <c r="B86" i="307" s="1"/>
  <c r="B87" i="307" s="1"/>
  <c r="B88" i="307" s="1"/>
  <c r="B89" i="307" s="1"/>
  <c r="B90" i="307" s="1"/>
  <c r="B91" i="307" s="1"/>
  <c r="B92" i="307" s="1"/>
  <c r="B93" i="307" s="1"/>
  <c r="B94" i="307" s="1"/>
  <c r="B95" i="307" s="1"/>
  <c r="B96" i="307" s="1"/>
  <c r="B97" i="307" s="1"/>
  <c r="B98" i="307" s="1"/>
  <c r="B99" i="307" s="1"/>
  <c r="B100" i="307" s="1"/>
  <c r="B101" i="307" s="1"/>
  <c r="B102" i="307" s="1"/>
  <c r="B103" i="307" s="1"/>
  <c r="B104" i="307" s="1"/>
  <c r="B105" i="307" s="1"/>
  <c r="B106" i="307" s="1"/>
  <c r="B107" i="307" s="1"/>
  <c r="B108" i="307" s="1"/>
  <c r="B109" i="307" s="1"/>
  <c r="B110" i="307" s="1"/>
  <c r="B111" i="307" s="1"/>
  <c r="B112" i="307" s="1"/>
  <c r="B113" i="307" s="1"/>
  <c r="B114" i="307" s="1"/>
  <c r="B115" i="307" s="1"/>
  <c r="B116" i="307" s="1"/>
  <c r="B117" i="307" s="1"/>
  <c r="B118" i="307" s="1"/>
  <c r="B119" i="307" s="1"/>
  <c r="B120" i="307" s="1"/>
  <c r="B121" i="307" s="1"/>
  <c r="B122" i="307" s="1"/>
  <c r="B123" i="307" s="1"/>
  <c r="B124" i="307" s="1"/>
  <c r="B125" i="307" s="1"/>
  <c r="B126" i="307" s="1"/>
  <c r="B127" i="307" s="1"/>
  <c r="B128" i="307" s="1"/>
  <c r="B129" i="307" s="1"/>
  <c r="B130" i="307" s="1"/>
  <c r="B131" i="307" s="1"/>
  <c r="B132" i="307" s="1"/>
  <c r="B133" i="307" s="1"/>
  <c r="B134" i="307" s="1"/>
  <c r="B135" i="307" s="1"/>
  <c r="B136" i="307" s="1"/>
  <c r="B137" i="307" s="1"/>
  <c r="B138" i="307" s="1"/>
  <c r="B139" i="307" s="1"/>
  <c r="B140" i="307" s="1"/>
  <c r="B141" i="307" s="1"/>
  <c r="B142" i="307" s="1"/>
  <c r="B143" i="307" s="1"/>
  <c r="B144" i="307" s="1"/>
  <c r="B145" i="307" s="1"/>
  <c r="B146" i="307" s="1"/>
  <c r="B147" i="307" s="1"/>
  <c r="B148" i="307" s="1"/>
  <c r="B149" i="307" s="1"/>
  <c r="B150" i="307" s="1"/>
  <c r="B151" i="307" s="1"/>
  <c r="B152" i="307" s="1"/>
  <c r="B153" i="307" s="1"/>
  <c r="B154" i="307" s="1"/>
  <c r="B155" i="307" s="1"/>
  <c r="B156" i="307" s="1"/>
  <c r="B157" i="307" s="1"/>
  <c r="B158" i="307" s="1"/>
  <c r="B159" i="307" s="1"/>
  <c r="B160" i="307" s="1"/>
  <c r="B161" i="307" s="1"/>
  <c r="B162" i="307" s="1"/>
  <c r="B163" i="307" s="1"/>
  <c r="B164" i="307" s="1"/>
  <c r="B165" i="307" s="1"/>
  <c r="B166" i="307" s="1"/>
  <c r="B167" i="307" s="1"/>
  <c r="B168" i="307" s="1"/>
  <c r="B169" i="307" s="1"/>
  <c r="B170" i="307" s="1"/>
  <c r="B171" i="307" s="1"/>
  <c r="B172" i="307" s="1"/>
  <c r="B173" i="307" s="1"/>
  <c r="B174" i="307" s="1"/>
  <c r="B175" i="307" s="1"/>
  <c r="B176" i="307" s="1"/>
  <c r="B177" i="307" s="1"/>
  <c r="B178" i="307" s="1"/>
  <c r="B179" i="307" s="1"/>
  <c r="B180" i="307" s="1"/>
  <c r="B181" i="307" s="1"/>
  <c r="B182" i="307" s="1"/>
  <c r="B183" i="307" s="1"/>
  <c r="B184" i="307" s="1"/>
  <c r="B185" i="307" s="1"/>
  <c r="B186" i="307" s="1"/>
  <c r="B187" i="307" s="1"/>
  <c r="B188" i="307" s="1"/>
  <c r="B189" i="307" s="1"/>
  <c r="B190" i="307" s="1"/>
  <c r="K191" i="306"/>
  <c r="D12" i="326" s="1"/>
  <c r="J191" i="306"/>
  <c r="I191" i="306"/>
  <c r="F191" i="306"/>
  <c r="F190" i="306"/>
  <c r="F189" i="306"/>
  <c r="F188" i="306"/>
  <c r="F187" i="306"/>
  <c r="F186" i="306"/>
  <c r="F185" i="306"/>
  <c r="F184" i="306"/>
  <c r="F183" i="306"/>
  <c r="F182" i="306"/>
  <c r="F181" i="306"/>
  <c r="F180" i="306"/>
  <c r="F179" i="306"/>
  <c r="F178" i="306"/>
  <c r="F177" i="306"/>
  <c r="F176" i="306"/>
  <c r="F175" i="306"/>
  <c r="F174" i="306"/>
  <c r="F173" i="306"/>
  <c r="F172" i="306"/>
  <c r="F171" i="306"/>
  <c r="F170" i="306"/>
  <c r="F169" i="306"/>
  <c r="F168" i="306"/>
  <c r="F167" i="306"/>
  <c r="F166" i="306"/>
  <c r="F165" i="306"/>
  <c r="F164" i="306"/>
  <c r="F163" i="306"/>
  <c r="F162" i="306"/>
  <c r="F161" i="306"/>
  <c r="K160" i="306"/>
  <c r="J160" i="306"/>
  <c r="I160" i="306"/>
  <c r="F160" i="306"/>
  <c r="F159" i="306"/>
  <c r="F158" i="306"/>
  <c r="F157" i="306"/>
  <c r="F156" i="306"/>
  <c r="F155" i="306"/>
  <c r="F154" i="306"/>
  <c r="F153" i="306"/>
  <c r="F152" i="306"/>
  <c r="F151" i="306"/>
  <c r="F150" i="306"/>
  <c r="F149" i="306"/>
  <c r="F148" i="306"/>
  <c r="F147" i="306"/>
  <c r="F146" i="306"/>
  <c r="F145" i="306"/>
  <c r="F144" i="306"/>
  <c r="F143" i="306"/>
  <c r="F142" i="306"/>
  <c r="F141" i="306"/>
  <c r="F140" i="306"/>
  <c r="F139" i="306"/>
  <c r="F138" i="306"/>
  <c r="F137" i="306"/>
  <c r="F136" i="306"/>
  <c r="F135" i="306"/>
  <c r="F134" i="306"/>
  <c r="F133" i="306"/>
  <c r="F132" i="306"/>
  <c r="F131" i="306"/>
  <c r="K130" i="306"/>
  <c r="J130" i="306"/>
  <c r="I130" i="306"/>
  <c r="F130" i="306"/>
  <c r="F129" i="306"/>
  <c r="F128" i="306"/>
  <c r="F127" i="306"/>
  <c r="F126" i="306"/>
  <c r="F125" i="306"/>
  <c r="F124" i="306"/>
  <c r="F123" i="306"/>
  <c r="F122" i="306"/>
  <c r="F121" i="306"/>
  <c r="F120" i="306"/>
  <c r="F119" i="306"/>
  <c r="F118" i="306"/>
  <c r="F117" i="306"/>
  <c r="F116" i="306"/>
  <c r="F115" i="306"/>
  <c r="F114" i="306"/>
  <c r="F113" i="306"/>
  <c r="F112" i="306"/>
  <c r="F111" i="306"/>
  <c r="F110" i="306"/>
  <c r="F109" i="306"/>
  <c r="F108" i="306"/>
  <c r="F107" i="306"/>
  <c r="F106" i="306"/>
  <c r="F105" i="306"/>
  <c r="F104" i="306"/>
  <c r="F103" i="306"/>
  <c r="F102" i="306"/>
  <c r="F101" i="306"/>
  <c r="F100" i="306"/>
  <c r="K99" i="306"/>
  <c r="J99" i="306"/>
  <c r="I99" i="306"/>
  <c r="F99" i="306"/>
  <c r="F98" i="306"/>
  <c r="F97" i="306"/>
  <c r="F96" i="306"/>
  <c r="F95" i="306"/>
  <c r="F94" i="306"/>
  <c r="F93" i="306"/>
  <c r="F92" i="306"/>
  <c r="F91" i="306"/>
  <c r="F90" i="306"/>
  <c r="F89" i="306"/>
  <c r="F88" i="306"/>
  <c r="F87" i="306"/>
  <c r="F86" i="306"/>
  <c r="F85" i="306"/>
  <c r="F84" i="306"/>
  <c r="F83" i="306"/>
  <c r="F82" i="306"/>
  <c r="F81" i="306"/>
  <c r="F80" i="306"/>
  <c r="F79" i="306"/>
  <c r="F78" i="306"/>
  <c r="F77" i="306"/>
  <c r="F76" i="306"/>
  <c r="F75" i="306"/>
  <c r="F74" i="306"/>
  <c r="F73" i="306"/>
  <c r="F72" i="306"/>
  <c r="F71" i="306"/>
  <c r="F70" i="306"/>
  <c r="F69" i="306"/>
  <c r="K68" i="306"/>
  <c r="J68" i="306"/>
  <c r="I68" i="306"/>
  <c r="F68" i="306"/>
  <c r="F67" i="306"/>
  <c r="F66" i="306"/>
  <c r="F65" i="306"/>
  <c r="F64" i="306"/>
  <c r="F63" i="306"/>
  <c r="F62" i="306"/>
  <c r="F61" i="306"/>
  <c r="F60" i="306"/>
  <c r="F59" i="306"/>
  <c r="F58" i="306"/>
  <c r="F57" i="306"/>
  <c r="F56" i="306"/>
  <c r="F55" i="306"/>
  <c r="F54" i="306"/>
  <c r="F53" i="306"/>
  <c r="F52" i="306"/>
  <c r="F51" i="306"/>
  <c r="F50" i="306"/>
  <c r="F49" i="306"/>
  <c r="F48" i="306"/>
  <c r="F47" i="306"/>
  <c r="F46" i="306"/>
  <c r="F45" i="306"/>
  <c r="F44" i="306"/>
  <c r="F43" i="306"/>
  <c r="F42" i="306"/>
  <c r="F41" i="306"/>
  <c r="F40" i="306"/>
  <c r="F39" i="306"/>
  <c r="K38" i="306"/>
  <c r="J38" i="306"/>
  <c r="I38" i="306"/>
  <c r="F38" i="306"/>
  <c r="F37" i="306"/>
  <c r="F36" i="306"/>
  <c r="F35" i="306"/>
  <c r="F34" i="306"/>
  <c r="F33" i="306"/>
  <c r="F32" i="306"/>
  <c r="F31" i="306"/>
  <c r="F30" i="306"/>
  <c r="F29" i="306"/>
  <c r="F28" i="306"/>
  <c r="F27" i="306"/>
  <c r="F26" i="306"/>
  <c r="F25" i="306"/>
  <c r="F24" i="306"/>
  <c r="F23" i="306"/>
  <c r="F22" i="306"/>
  <c r="F21" i="306"/>
  <c r="F20" i="306"/>
  <c r="F19" i="306"/>
  <c r="F18" i="306"/>
  <c r="F17" i="306"/>
  <c r="F16" i="306"/>
  <c r="F15" i="306"/>
  <c r="F14" i="306"/>
  <c r="F13" i="306"/>
  <c r="F12" i="306"/>
  <c r="F11" i="306"/>
  <c r="F10" i="306"/>
  <c r="F9" i="306"/>
  <c r="F8" i="306"/>
  <c r="B9" i="306"/>
  <c r="B10" i="306" s="1"/>
  <c r="B11" i="306" s="1"/>
  <c r="B12" i="306" s="1"/>
  <c r="B13" i="306" s="1"/>
  <c r="B14" i="306" s="1"/>
  <c r="B15" i="306" s="1"/>
  <c r="B16" i="306" s="1"/>
  <c r="B17" i="306" s="1"/>
  <c r="B18" i="306" s="1"/>
  <c r="B19" i="306" s="1"/>
  <c r="B20" i="306" s="1"/>
  <c r="B21" i="306" s="1"/>
  <c r="B22" i="306" s="1"/>
  <c r="B23" i="306" s="1"/>
  <c r="B24" i="306" s="1"/>
  <c r="B25" i="306" s="1"/>
  <c r="B26" i="306" s="1"/>
  <c r="B27" i="306" s="1"/>
  <c r="B28" i="306" s="1"/>
  <c r="B29" i="306" s="1"/>
  <c r="B30" i="306" s="1"/>
  <c r="B31" i="306" s="1"/>
  <c r="B32" i="306" s="1"/>
  <c r="B33" i="306" s="1"/>
  <c r="B34" i="306" s="1"/>
  <c r="B35" i="306" s="1"/>
  <c r="B36" i="306" s="1"/>
  <c r="B37" i="306" s="1"/>
  <c r="B38" i="306" s="1"/>
  <c r="B39" i="306" s="1"/>
  <c r="B40" i="306" s="1"/>
  <c r="B41" i="306" s="1"/>
  <c r="B42" i="306" s="1"/>
  <c r="B43" i="306" s="1"/>
  <c r="B44" i="306" s="1"/>
  <c r="B45" i="306" s="1"/>
  <c r="B46" i="306" s="1"/>
  <c r="B47" i="306" s="1"/>
  <c r="B48" i="306" s="1"/>
  <c r="B49" i="306" s="1"/>
  <c r="B50" i="306" s="1"/>
  <c r="B51" i="306" s="1"/>
  <c r="B52" i="306" s="1"/>
  <c r="B53" i="306" s="1"/>
  <c r="B54" i="306" s="1"/>
  <c r="B55" i="306" s="1"/>
  <c r="B56" i="306" s="1"/>
  <c r="B57" i="306" s="1"/>
  <c r="B58" i="306" s="1"/>
  <c r="B59" i="306" s="1"/>
  <c r="B60" i="306" s="1"/>
  <c r="B61" i="306" s="1"/>
  <c r="B62" i="306" s="1"/>
  <c r="B63" i="306" s="1"/>
  <c r="B64" i="306" s="1"/>
  <c r="B65" i="306" s="1"/>
  <c r="B66" i="306" s="1"/>
  <c r="B67" i="306" s="1"/>
  <c r="B68" i="306" s="1"/>
  <c r="B69" i="306" s="1"/>
  <c r="B70" i="306" s="1"/>
  <c r="B71" i="306" s="1"/>
  <c r="B72" i="306" s="1"/>
  <c r="B73" i="306" s="1"/>
  <c r="B74" i="306" s="1"/>
  <c r="B75" i="306" s="1"/>
  <c r="B76" i="306" s="1"/>
  <c r="B77" i="306" s="1"/>
  <c r="B78" i="306" s="1"/>
  <c r="B79" i="306" s="1"/>
  <c r="B80" i="306" s="1"/>
  <c r="B81" i="306" s="1"/>
  <c r="B82" i="306" s="1"/>
  <c r="B83" i="306" s="1"/>
  <c r="B84" i="306" s="1"/>
  <c r="B85" i="306" s="1"/>
  <c r="B86" i="306" s="1"/>
  <c r="B87" i="306" s="1"/>
  <c r="B88" i="306" s="1"/>
  <c r="B89" i="306" s="1"/>
  <c r="B90" i="306" s="1"/>
  <c r="B91" i="306" s="1"/>
  <c r="B92" i="306" s="1"/>
  <c r="B93" i="306" s="1"/>
  <c r="B94" i="306" s="1"/>
  <c r="B95" i="306" s="1"/>
  <c r="B96" i="306" s="1"/>
  <c r="B97" i="306" s="1"/>
  <c r="B98" i="306" s="1"/>
  <c r="B99" i="306" s="1"/>
  <c r="B100" i="306" s="1"/>
  <c r="B101" i="306" s="1"/>
  <c r="B102" i="306" s="1"/>
  <c r="B103" i="306" s="1"/>
  <c r="B104" i="306" s="1"/>
  <c r="B105" i="306" s="1"/>
  <c r="B106" i="306" s="1"/>
  <c r="B107" i="306" s="1"/>
  <c r="B108" i="306" s="1"/>
  <c r="B109" i="306" s="1"/>
  <c r="B110" i="306" s="1"/>
  <c r="B111" i="306" s="1"/>
  <c r="B112" i="306" s="1"/>
  <c r="B113" i="306" s="1"/>
  <c r="B114" i="306" s="1"/>
  <c r="B115" i="306" s="1"/>
  <c r="B116" i="306" s="1"/>
  <c r="B117" i="306" s="1"/>
  <c r="B118" i="306" s="1"/>
  <c r="B119" i="306" s="1"/>
  <c r="B120" i="306" s="1"/>
  <c r="B121" i="306" s="1"/>
  <c r="B122" i="306" s="1"/>
  <c r="B123" i="306" s="1"/>
  <c r="B124" i="306" s="1"/>
  <c r="B125" i="306" s="1"/>
  <c r="B126" i="306" s="1"/>
  <c r="B127" i="306" s="1"/>
  <c r="B128" i="306" s="1"/>
  <c r="B129" i="306" s="1"/>
  <c r="B130" i="306" s="1"/>
  <c r="B131" i="306" s="1"/>
  <c r="B132" i="306" s="1"/>
  <c r="B133" i="306" s="1"/>
  <c r="B134" i="306" s="1"/>
  <c r="B135" i="306" s="1"/>
  <c r="B136" i="306" s="1"/>
  <c r="B137" i="306" s="1"/>
  <c r="B138" i="306" s="1"/>
  <c r="B139" i="306" s="1"/>
  <c r="B140" i="306" s="1"/>
  <c r="B141" i="306" s="1"/>
  <c r="B142" i="306" s="1"/>
  <c r="B143" i="306" s="1"/>
  <c r="B144" i="306" s="1"/>
  <c r="B145" i="306" s="1"/>
  <c r="B146" i="306" s="1"/>
  <c r="B147" i="306" s="1"/>
  <c r="B148" i="306" s="1"/>
  <c r="B149" i="306" s="1"/>
  <c r="B150" i="306" s="1"/>
  <c r="B151" i="306" s="1"/>
  <c r="B152" i="306" s="1"/>
  <c r="B153" i="306" s="1"/>
  <c r="B154" i="306" s="1"/>
  <c r="B155" i="306" s="1"/>
  <c r="B156" i="306" s="1"/>
  <c r="B157" i="306" s="1"/>
  <c r="B158" i="306" s="1"/>
  <c r="B159" i="306" s="1"/>
  <c r="B160" i="306" s="1"/>
  <c r="B161" i="306" s="1"/>
  <c r="B162" i="306" s="1"/>
  <c r="B163" i="306" s="1"/>
  <c r="B164" i="306" s="1"/>
  <c r="B165" i="306" s="1"/>
  <c r="B166" i="306" s="1"/>
  <c r="B167" i="306" s="1"/>
  <c r="B168" i="306" s="1"/>
  <c r="B169" i="306" s="1"/>
  <c r="B170" i="306" s="1"/>
  <c r="B171" i="306" s="1"/>
  <c r="B172" i="306" s="1"/>
  <c r="B173" i="306" s="1"/>
  <c r="B174" i="306" s="1"/>
  <c r="B175" i="306" s="1"/>
  <c r="B176" i="306" s="1"/>
  <c r="B177" i="306" s="1"/>
  <c r="B178" i="306" s="1"/>
  <c r="B179" i="306" s="1"/>
  <c r="B180" i="306" s="1"/>
  <c r="B181" i="306" s="1"/>
  <c r="B182" i="306" s="1"/>
  <c r="B183" i="306" s="1"/>
  <c r="B184" i="306" s="1"/>
  <c r="B185" i="306" s="1"/>
  <c r="B186" i="306" s="1"/>
  <c r="B187" i="306" s="1"/>
  <c r="B188" i="306" s="1"/>
  <c r="B189" i="306" s="1"/>
  <c r="B190" i="306" s="1"/>
  <c r="B191" i="306" s="1"/>
  <c r="H190" i="314" l="1"/>
  <c r="H67" i="314"/>
  <c r="H22" i="326"/>
  <c r="R22" i="326" s="1"/>
  <c r="U22" i="326" s="1"/>
  <c r="H129" i="313"/>
  <c r="H190" i="312"/>
  <c r="H18" i="326"/>
  <c r="R18" i="326" s="1"/>
  <c r="U18" i="326" s="1"/>
  <c r="H190" i="311"/>
  <c r="H17" i="326"/>
  <c r="R17" i="326" s="1"/>
  <c r="U17" i="326" s="1"/>
  <c r="H16" i="326"/>
  <c r="R16" i="326" s="1"/>
  <c r="U16" i="326" s="1"/>
  <c r="H190" i="309"/>
  <c r="H15" i="326"/>
  <c r="R15" i="326" s="1"/>
  <c r="U15" i="326" s="1"/>
  <c r="H98" i="307"/>
  <c r="H14" i="326"/>
  <c r="R14" i="326" s="1"/>
  <c r="U14" i="326" s="1"/>
  <c r="H67" i="308"/>
  <c r="H190" i="308"/>
  <c r="H12" i="326"/>
  <c r="R12" i="326" s="1"/>
  <c r="H37" i="314"/>
  <c r="H129" i="314"/>
  <c r="H159" i="314"/>
  <c r="H98" i="314"/>
  <c r="H67" i="313"/>
  <c r="H37" i="313"/>
  <c r="H98" i="313"/>
  <c r="H129" i="312"/>
  <c r="H67" i="312"/>
  <c r="H159" i="312"/>
  <c r="H37" i="312"/>
  <c r="H98" i="312"/>
  <c r="H67" i="311"/>
  <c r="H37" i="311"/>
  <c r="H129" i="311"/>
  <c r="H159" i="311"/>
  <c r="H98" i="311"/>
  <c r="H67" i="309"/>
  <c r="H37" i="309"/>
  <c r="H159" i="309"/>
  <c r="H129" i="309"/>
  <c r="H98" i="309"/>
  <c r="H37" i="308"/>
  <c r="H129" i="308"/>
  <c r="H159" i="308"/>
  <c r="H98" i="308"/>
  <c r="H37" i="307"/>
  <c r="H129" i="307"/>
  <c r="H67" i="307"/>
  <c r="H190" i="307"/>
  <c r="H159" i="307"/>
  <c r="H190" i="313"/>
  <c r="H159" i="313"/>
  <c r="H159" i="310"/>
  <c r="H67" i="310"/>
  <c r="H98" i="310"/>
  <c r="H37" i="310"/>
  <c r="H129" i="310"/>
  <c r="H190" i="310"/>
  <c r="H130" i="306"/>
  <c r="H38" i="306"/>
  <c r="H99" i="306"/>
  <c r="H160" i="306"/>
  <c r="H68" i="306"/>
  <c r="H191" i="306"/>
  <c r="H37" i="326" l="1"/>
  <c r="H43" i="326" s="1"/>
  <c r="U12" i="326"/>
  <c r="R37" i="326"/>
  <c r="R43" i="326" l="1"/>
  <c r="U37" i="326"/>
  <c r="U43" i="326" l="1"/>
  <c r="E9" i="321" l="1"/>
  <c r="H8" i="321"/>
  <c r="E10" i="321" l="1"/>
  <c r="H9" i="321"/>
  <c r="E11" i="321" l="1"/>
  <c r="H10" i="321"/>
  <c r="H11" i="321" l="1"/>
  <c r="E12" i="321"/>
  <c r="E13" i="321" l="1"/>
  <c r="H12" i="321"/>
  <c r="E14" i="321" l="1"/>
  <c r="H13" i="321"/>
  <c r="E15" i="321" l="1"/>
  <c r="H14" i="321"/>
  <c r="E16" i="321" l="1"/>
  <c r="H15" i="321"/>
  <c r="E17" i="321" l="1"/>
  <c r="H16" i="321"/>
  <c r="E18" i="321" l="1"/>
  <c r="H17" i="321"/>
  <c r="E19" i="321" l="1"/>
  <c r="H18" i="321"/>
  <c r="E20" i="321" l="1"/>
  <c r="H19" i="321"/>
  <c r="E21" i="321" l="1"/>
  <c r="H20" i="321"/>
  <c r="E22" i="321" l="1"/>
  <c r="H21" i="321"/>
  <c r="H22" i="321" l="1"/>
  <c r="E23" i="321"/>
  <c r="E24" i="321" l="1"/>
  <c r="H23" i="321"/>
  <c r="E25" i="321" l="1"/>
  <c r="H24" i="321"/>
  <c r="E26" i="321" l="1"/>
  <c r="H25" i="321"/>
  <c r="E27" i="321" l="1"/>
  <c r="H26" i="321"/>
  <c r="H27" i="321" l="1"/>
  <c r="E28" i="321"/>
  <c r="E29" i="321" l="1"/>
  <c r="H28" i="321"/>
  <c r="E30" i="321" l="1"/>
  <c r="H29" i="321"/>
  <c r="E31" i="321" l="1"/>
  <c r="H30" i="321"/>
  <c r="E32" i="321" l="1"/>
  <c r="H31" i="321"/>
  <c r="E33" i="321" l="1"/>
  <c r="H32" i="321"/>
  <c r="E34" i="321" l="1"/>
  <c r="H33" i="321"/>
  <c r="E35" i="321" l="1"/>
  <c r="H34" i="321"/>
  <c r="E36" i="321" l="1"/>
  <c r="H35" i="321"/>
  <c r="E37" i="321" l="1"/>
  <c r="H36" i="321"/>
  <c r="E38" i="321" l="1"/>
  <c r="H37" i="321"/>
  <c r="E39" i="321" l="1"/>
  <c r="H38" i="321"/>
  <c r="M38" i="321"/>
  <c r="N38" i="321"/>
  <c r="I38" i="321" l="1"/>
  <c r="K38" i="321"/>
  <c r="L38" i="321"/>
  <c r="E40" i="321"/>
  <c r="H39" i="321"/>
  <c r="E41" i="321" l="1"/>
  <c r="H40" i="321"/>
  <c r="E42" i="321" l="1"/>
  <c r="H41" i="321"/>
  <c r="E43" i="321" l="1"/>
  <c r="H42" i="321"/>
  <c r="H43" i="321" l="1"/>
  <c r="E44" i="321"/>
  <c r="E45" i="321" l="1"/>
  <c r="H44" i="321"/>
  <c r="H45" i="321" l="1"/>
  <c r="E46" i="321"/>
  <c r="E47" i="321" l="1"/>
  <c r="H46" i="321"/>
  <c r="H47" i="321" l="1"/>
  <c r="E48" i="321"/>
  <c r="E49" i="321" l="1"/>
  <c r="H48" i="321"/>
  <c r="E50" i="321" l="1"/>
  <c r="H49" i="321"/>
  <c r="E51" i="321" l="1"/>
  <c r="H50" i="321"/>
  <c r="E52" i="321" l="1"/>
  <c r="H51" i="321"/>
  <c r="H52" i="321" l="1"/>
  <c r="E53" i="321"/>
  <c r="E54" i="321" l="1"/>
  <c r="H53" i="321"/>
  <c r="E55" i="321" l="1"/>
  <c r="H54" i="321"/>
  <c r="H55" i="321" l="1"/>
  <c r="E56" i="321"/>
  <c r="E57" i="321" l="1"/>
  <c r="H56" i="321"/>
  <c r="E58" i="321" l="1"/>
  <c r="H57" i="321"/>
  <c r="E59" i="321" l="1"/>
  <c r="H58" i="321"/>
  <c r="H59" i="321" l="1"/>
  <c r="E60" i="321"/>
  <c r="H60" i="321" l="1"/>
  <c r="E61" i="321"/>
  <c r="E62" i="321" l="1"/>
  <c r="H61" i="321"/>
  <c r="E63" i="321" l="1"/>
  <c r="H62" i="321"/>
  <c r="H63" i="321" l="1"/>
  <c r="E64" i="321"/>
  <c r="H64" i="321" l="1"/>
  <c r="E65" i="321"/>
  <c r="E66" i="321" l="1"/>
  <c r="H65" i="321"/>
  <c r="H66" i="321" l="1"/>
  <c r="E67" i="321"/>
  <c r="H67" i="321" l="1"/>
  <c r="E68" i="321"/>
  <c r="E69" i="321" l="1"/>
  <c r="H68" i="321"/>
  <c r="I68" i="321" s="1"/>
  <c r="N68" i="321"/>
  <c r="M68" i="321"/>
  <c r="E70" i="321" l="1"/>
  <c r="H69" i="321"/>
  <c r="E71" i="321" l="1"/>
  <c r="H70" i="321"/>
  <c r="H71" i="321" l="1"/>
  <c r="E72" i="321"/>
  <c r="E73" i="321" l="1"/>
  <c r="H72" i="321"/>
  <c r="E74" i="321" l="1"/>
  <c r="H73" i="321"/>
  <c r="H74" i="321" l="1"/>
  <c r="E75" i="321"/>
  <c r="H75" i="321" l="1"/>
  <c r="E76" i="321"/>
  <c r="H76" i="321" l="1"/>
  <c r="E77" i="321"/>
  <c r="E78" i="321" l="1"/>
  <c r="H77" i="321"/>
  <c r="H78" i="321" l="1"/>
  <c r="E79" i="321"/>
  <c r="E80" i="321" l="1"/>
  <c r="H79" i="321"/>
  <c r="E81" i="321" l="1"/>
  <c r="H80" i="321"/>
  <c r="E82" i="321" l="1"/>
  <c r="H81" i="321"/>
  <c r="H82" i="321" l="1"/>
  <c r="E83" i="321"/>
  <c r="E84" i="321" l="1"/>
  <c r="H83" i="321"/>
  <c r="E85" i="321" l="1"/>
  <c r="H84" i="321"/>
  <c r="E86" i="321" l="1"/>
  <c r="H85" i="321"/>
  <c r="E87" i="321" l="1"/>
  <c r="H86" i="321"/>
  <c r="E88" i="321" l="1"/>
  <c r="H87" i="321"/>
  <c r="H88" i="321" l="1"/>
  <c r="E89" i="321"/>
  <c r="H89" i="321" l="1"/>
  <c r="E90" i="321"/>
  <c r="H90" i="321" l="1"/>
  <c r="E91" i="321"/>
  <c r="E92" i="321" l="1"/>
  <c r="H91" i="321"/>
  <c r="E93" i="321" l="1"/>
  <c r="H92" i="321"/>
  <c r="E94" i="321" l="1"/>
  <c r="H93" i="321"/>
  <c r="H94" i="321" l="1"/>
  <c r="E95" i="321"/>
  <c r="E96" i="321" l="1"/>
  <c r="H95" i="321"/>
  <c r="H96" i="321" l="1"/>
  <c r="E97" i="321"/>
  <c r="E98" i="321" l="1"/>
  <c r="H97" i="321"/>
  <c r="E99" i="321" l="1"/>
  <c r="H98" i="321"/>
  <c r="H99" i="321" l="1"/>
  <c r="I99" i="321" s="1"/>
  <c r="E100" i="321"/>
  <c r="N99" i="321"/>
  <c r="M99" i="321"/>
  <c r="E101" i="321" l="1"/>
  <c r="H100" i="321"/>
  <c r="H101" i="321" l="1"/>
  <c r="E102" i="321"/>
  <c r="E103" i="321" l="1"/>
  <c r="H102" i="321"/>
  <c r="E104" i="321" l="1"/>
  <c r="H103" i="321"/>
  <c r="E105" i="321" l="1"/>
  <c r="H104" i="321"/>
  <c r="H105" i="321" l="1"/>
  <c r="E106" i="321"/>
  <c r="E107" i="321" l="1"/>
  <c r="H106" i="321"/>
  <c r="E108" i="321" l="1"/>
  <c r="H107" i="321"/>
  <c r="E109" i="321" l="1"/>
  <c r="H108" i="321"/>
  <c r="E110" i="321" l="1"/>
  <c r="H109" i="321"/>
  <c r="E111" i="321" l="1"/>
  <c r="H110" i="321"/>
  <c r="E112" i="321" l="1"/>
  <c r="H111" i="321"/>
  <c r="E113" i="321" l="1"/>
  <c r="H112" i="321"/>
  <c r="H113" i="321" l="1"/>
  <c r="E114" i="321"/>
  <c r="H114" i="321" l="1"/>
  <c r="E115" i="321"/>
  <c r="E116" i="321" l="1"/>
  <c r="H115" i="321"/>
  <c r="H116" i="321" l="1"/>
  <c r="E117" i="321"/>
  <c r="H117" i="321" l="1"/>
  <c r="E118" i="321"/>
  <c r="E119" i="321" l="1"/>
  <c r="H118" i="321"/>
  <c r="E120" i="321" l="1"/>
  <c r="H119" i="321"/>
  <c r="H120" i="321" l="1"/>
  <c r="E121" i="321"/>
  <c r="E122" i="321" l="1"/>
  <c r="H121" i="321"/>
  <c r="E123" i="321" l="1"/>
  <c r="H122" i="321"/>
  <c r="E124" i="321" l="1"/>
  <c r="H123" i="321"/>
  <c r="E125" i="321" l="1"/>
  <c r="H124" i="321"/>
  <c r="E126" i="321" l="1"/>
  <c r="H125" i="321"/>
  <c r="H126" i="321" l="1"/>
  <c r="E127" i="321"/>
  <c r="E128" i="321" l="1"/>
  <c r="H127" i="321"/>
  <c r="E129" i="321" l="1"/>
  <c r="H128" i="321"/>
  <c r="E130" i="321" l="1"/>
  <c r="H129" i="321"/>
  <c r="E131" i="321" l="1"/>
  <c r="H130" i="321"/>
  <c r="I130" i="321" s="1"/>
  <c r="E132" i="321" l="1"/>
  <c r="H131" i="321"/>
  <c r="E133" i="321" l="1"/>
  <c r="H132" i="321"/>
  <c r="E134" i="321" l="1"/>
  <c r="H133" i="321"/>
  <c r="E135" i="321" l="1"/>
  <c r="H134" i="321"/>
  <c r="E136" i="321" l="1"/>
  <c r="H135" i="321"/>
  <c r="E137" i="321" l="1"/>
  <c r="H136" i="321"/>
  <c r="E138" i="321" l="1"/>
  <c r="H137" i="321"/>
  <c r="H138" i="321" l="1"/>
  <c r="E139" i="321"/>
  <c r="E140" i="321" l="1"/>
  <c r="H139" i="321"/>
  <c r="E141" i="321" l="1"/>
  <c r="H140" i="321"/>
  <c r="E142" i="321" l="1"/>
  <c r="H141" i="321"/>
  <c r="H142" i="321" l="1"/>
  <c r="E143" i="321"/>
  <c r="E144" i="321" l="1"/>
  <c r="H143" i="321"/>
  <c r="E145" i="321" l="1"/>
  <c r="H144" i="321"/>
  <c r="H145" i="321" l="1"/>
  <c r="E146" i="321"/>
  <c r="H146" i="321" l="1"/>
  <c r="E147" i="321"/>
  <c r="E148" i="321" l="1"/>
  <c r="H147" i="321"/>
  <c r="E149" i="321" l="1"/>
  <c r="H148" i="321"/>
  <c r="E150" i="321" l="1"/>
  <c r="H149" i="321"/>
  <c r="H150" i="321" l="1"/>
  <c r="E151" i="321"/>
  <c r="E152" i="321" l="1"/>
  <c r="H151" i="321"/>
  <c r="E153" i="321" l="1"/>
  <c r="H152" i="321"/>
  <c r="E154" i="321" l="1"/>
  <c r="H153" i="321"/>
  <c r="E155" i="321" l="1"/>
  <c r="H154" i="321"/>
  <c r="E156" i="321" l="1"/>
  <c r="H155" i="321"/>
  <c r="E157" i="321" l="1"/>
  <c r="H156" i="321"/>
  <c r="E158" i="321" l="1"/>
  <c r="H157" i="321"/>
  <c r="E159" i="321" l="1"/>
  <c r="H158" i="321"/>
  <c r="E160" i="321" l="1"/>
  <c r="H159" i="321"/>
  <c r="H160" i="321" l="1"/>
  <c r="E161" i="321"/>
  <c r="N160" i="321"/>
  <c r="M160" i="321"/>
  <c r="E162" i="321" l="1"/>
  <c r="H161" i="321"/>
  <c r="L160" i="321"/>
  <c r="K160" i="321"/>
  <c r="I160" i="321"/>
  <c r="E163" i="321" l="1"/>
  <c r="H162" i="321"/>
  <c r="H163" i="321" l="1"/>
  <c r="E164" i="321"/>
  <c r="H164" i="321" l="1"/>
  <c r="E165" i="321"/>
  <c r="H165" i="321" l="1"/>
  <c r="E166" i="321"/>
  <c r="H166" i="321" l="1"/>
  <c r="E167" i="321"/>
  <c r="H167" i="321" l="1"/>
  <c r="E168" i="321"/>
  <c r="E169" i="321" l="1"/>
  <c r="H168" i="321"/>
  <c r="E170" i="321" l="1"/>
  <c r="H169" i="321"/>
  <c r="E171" i="321" l="1"/>
  <c r="H170" i="321"/>
  <c r="E172" i="321" l="1"/>
  <c r="H171" i="321"/>
  <c r="E173" i="321" l="1"/>
  <c r="H172" i="321"/>
  <c r="E174" i="321" l="1"/>
  <c r="H173" i="321"/>
  <c r="E175" i="321" l="1"/>
  <c r="H174" i="321"/>
  <c r="H175" i="321" l="1"/>
  <c r="E176" i="321"/>
  <c r="E177" i="321" l="1"/>
  <c r="H176" i="321"/>
  <c r="E178" i="321" l="1"/>
  <c r="H177" i="321"/>
  <c r="H178" i="321" l="1"/>
  <c r="E179" i="321"/>
  <c r="H179" i="321" l="1"/>
  <c r="E180" i="321"/>
  <c r="E181" i="321" l="1"/>
  <c r="H180" i="321"/>
  <c r="H181" i="321" l="1"/>
  <c r="E182" i="321"/>
  <c r="E183" i="321" l="1"/>
  <c r="H182" i="321"/>
  <c r="E184" i="321" l="1"/>
  <c r="H183" i="321"/>
  <c r="E185" i="321" l="1"/>
  <c r="H184" i="321"/>
  <c r="E186" i="321" l="1"/>
  <c r="H185" i="321"/>
  <c r="E187" i="321" l="1"/>
  <c r="H186" i="321"/>
  <c r="E188" i="321" l="1"/>
  <c r="H187" i="321"/>
  <c r="E189" i="321" l="1"/>
  <c r="H188" i="321"/>
  <c r="E190" i="321" l="1"/>
  <c r="H189" i="321"/>
  <c r="E191" i="321" l="1"/>
  <c r="H190" i="321"/>
  <c r="H191" i="321" l="1"/>
  <c r="N191" i="321"/>
  <c r="F54" i="326" s="1"/>
  <c r="M191" i="321"/>
  <c r="H54" i="326" l="1"/>
  <c r="F59" i="326"/>
  <c r="F62" i="326" s="1"/>
  <c r="U54" i="326"/>
  <c r="L191" i="321"/>
  <c r="I191" i="321"/>
  <c r="K191" i="321"/>
  <c r="R54" i="326" l="1"/>
  <c r="R59" i="326" s="1"/>
  <c r="H59" i="326"/>
  <c r="H62" i="326" s="1"/>
  <c r="U59" i="326" l="1"/>
  <c r="R62" i="326"/>
  <c r="U62" i="326" s="1"/>
</calcChain>
</file>

<file path=xl/sharedStrings.xml><?xml version="1.0" encoding="utf-8"?>
<sst xmlns="http://schemas.openxmlformats.org/spreadsheetml/2006/main" count="709" uniqueCount="373">
  <si>
    <t>KENTUCKY UTILITIES COMPANY</t>
  </si>
  <si>
    <t>ANALYSIS OF THE EMBEDDED COST OF CAPITAL AT</t>
  </si>
  <si>
    <t>LONG-TERM DEBT</t>
  </si>
  <si>
    <t>Annualized Cost</t>
  </si>
  <si>
    <t>Amortized Debt</t>
  </si>
  <si>
    <t>Amortized Loss-</t>
  </si>
  <si>
    <t>Embedded</t>
  </si>
  <si>
    <t>Due</t>
  </si>
  <si>
    <t>Rate</t>
  </si>
  <si>
    <t>Principal</t>
  </si>
  <si>
    <t>Premium</t>
  </si>
  <si>
    <t>Total</t>
  </si>
  <si>
    <t xml:space="preserve">  Cost  </t>
  </si>
  <si>
    <t>*</t>
  </si>
  <si>
    <t>Called Bonds</t>
  </si>
  <si>
    <t>Expense</t>
  </si>
  <si>
    <t>Cost</t>
  </si>
  <si>
    <t>Interest</t>
  </si>
  <si>
    <t>Loss</t>
  </si>
  <si>
    <t>Notes Payable to Associated Company</t>
  </si>
  <si>
    <t>Variable</t>
  </si>
  <si>
    <t>Fixed</t>
  </si>
  <si>
    <t>Maturity</t>
  </si>
  <si>
    <t>Kentucky Utilities Company</t>
  </si>
  <si>
    <t>Total External Debt</t>
  </si>
  <si>
    <t>Total Internal Debt</t>
  </si>
  <si>
    <t>Embedded Cost of Total Debt</t>
  </si>
  <si>
    <t>Avg Monthly</t>
  </si>
  <si>
    <t xml:space="preserve"> </t>
  </si>
  <si>
    <t>Mercer Co. 2000 Series A</t>
  </si>
  <si>
    <t>Carroll Co. 2002 Series A</t>
  </si>
  <si>
    <t>Carroll Co. 2002 Series B</t>
  </si>
  <si>
    <t>Muhlenberg Co. 2002 Series A</t>
  </si>
  <si>
    <t>Mercer Co. 2002 Series A</t>
  </si>
  <si>
    <t>Carroll Co. 2002 Series C</t>
  </si>
  <si>
    <t>Carroll Co. 2004 Series A</t>
  </si>
  <si>
    <t>Carroll Co. 2006 Series B</t>
  </si>
  <si>
    <t>Carroll Co. 2007 Series A</t>
  </si>
  <si>
    <t>Trimble Co. 2007 Series A</t>
  </si>
  <si>
    <t>Carroll Co. 2008 Series A</t>
  </si>
  <si>
    <t>Reacquired Debt</t>
  </si>
  <si>
    <t>Letter of Credit</t>
  </si>
  <si>
    <t>and other fees</t>
  </si>
  <si>
    <t>a</t>
  </si>
  <si>
    <t>b</t>
  </si>
  <si>
    <t>c</t>
  </si>
  <si>
    <t>d</t>
  </si>
  <si>
    <t>b - Remarketing fee = 10 basis points</t>
  </si>
  <si>
    <t>2010 due 2020</t>
  </si>
  <si>
    <t>2010 due 2015</t>
  </si>
  <si>
    <t>2010 due 2040</t>
  </si>
  <si>
    <t>Pollution Control Bonds -</t>
  </si>
  <si>
    <t>First Mortgage Bonds -</t>
  </si>
  <si>
    <t>Notes Payable to PPL</t>
  </si>
  <si>
    <t>a - Letter of credit fee = (principal bal + 45 days interest)*2% L/C Fee and .25% L/C Fronting Fee.  Rate based on company credit rating.  Remarketing Fee = 10 basis points.</t>
  </si>
  <si>
    <t xml:space="preserve"> Issuance Exp/Discount</t>
  </si>
  <si>
    <t>**</t>
  </si>
  <si>
    <t>Revolving Credit Facility</t>
  </si>
  <si>
    <t>Revolving Credit Facility Payable</t>
  </si>
  <si>
    <t>SHORT-TERM DEBT</t>
  </si>
  <si>
    <t>p.8</t>
  </si>
  <si>
    <t>p.10</t>
  </si>
  <si>
    <t>p. 22</t>
  </si>
  <si>
    <t>p.11</t>
  </si>
  <si>
    <t>p.13</t>
  </si>
  <si>
    <t>Letter of Credit Facility</t>
  </si>
  <si>
    <t xml:space="preserve">   Debt discount on FMB</t>
  </si>
  <si>
    <t>**  Debt discount shown on separate line.</t>
  </si>
  <si>
    <t>USING AVERAGE DAILY BALANCES AND INTEREST RATES FOR ECR FILINGS</t>
  </si>
  <si>
    <r>
      <t xml:space="preserve">* </t>
    </r>
    <r>
      <rPr>
        <sz val="13"/>
        <rFont val="Arial"/>
        <family val="2"/>
      </rPr>
      <t xml:space="preserve"> Composite rate at end of current month for Embedded Cost of Capital report and daily average rate for ECR filings.</t>
    </r>
  </si>
  <si>
    <t>p.30</t>
  </si>
  <si>
    <t>p. 21</t>
  </si>
  <si>
    <t>ECR</t>
  </si>
  <si>
    <t>p.9</t>
  </si>
  <si>
    <t>S-3 SEC Shelf Registration</t>
  </si>
  <si>
    <t>Commercial Paper Program</t>
  </si>
  <si>
    <t>Varies</t>
  </si>
  <si>
    <t>p.7</t>
  </si>
  <si>
    <t>d - Revolving Credit facility fee = 12.5 basis points</t>
  </si>
  <si>
    <t>{a}</t>
  </si>
  <si>
    <t>{b}</t>
  </si>
  <si>
    <t>{c}</t>
  </si>
  <si>
    <t>c - Remarketing fee = 25 basis points (25bp on $43.7M; 5bp on $52.3M; avg 14bp + $166,137.60 Annual Ins. Premium)</t>
  </si>
  <si>
    <t>p.5</t>
  </si>
  <si>
    <t>p.6</t>
  </si>
  <si>
    <t>p.4</t>
  </si>
  <si>
    <t>p. 18</t>
  </si>
  <si>
    <t>p. 16</t>
  </si>
  <si>
    <t>p. 19</t>
  </si>
  <si>
    <t>p.22&amp;23</t>
  </si>
  <si>
    <r>
      <rPr>
        <b/>
        <sz val="12"/>
        <color rgb="FFFF0000"/>
        <rFont val="Arial"/>
        <family val="2"/>
      </rPr>
      <t>1</t>
    </r>
    <r>
      <rPr>
        <sz val="12"/>
        <rFont val="Arial"/>
        <family val="2"/>
      </rPr>
      <t xml:space="preserve">  Series  P and R bonds were redeemed in  2003, and 2005, respectively .  They were not replaced with other bond series.  The remaining unamortized expense is being amortized over the remainder of the original lives (due 5/15/07, 6/1/25, 6/1/35, and 6/1/36, respectively) of the bonds as a loss on reacquired debt. </t>
    </r>
  </si>
  <si>
    <t>2&amp;3</t>
  </si>
  <si>
    <r>
      <rPr>
        <b/>
        <sz val="12"/>
        <color rgb="FFFF0000"/>
        <rFont val="Arial"/>
        <family val="2"/>
      </rPr>
      <t>2</t>
    </r>
    <r>
      <rPr>
        <sz val="12"/>
        <rFont val="Arial"/>
        <family val="2"/>
      </rPr>
      <t xml:space="preserve"> Includes setup fees for the Wachovia Credit Facility in Long-term Debt due to 4 year credit arrangement</t>
    </r>
  </si>
  <si>
    <r>
      <rPr>
        <b/>
        <sz val="12"/>
        <color rgb="FFFF0000"/>
        <rFont val="Arial"/>
        <family val="2"/>
      </rPr>
      <t>3</t>
    </r>
    <r>
      <rPr>
        <sz val="12"/>
        <rFont val="Arial"/>
        <family val="2"/>
      </rPr>
      <t xml:space="preserve"> Includes fees for Revolving Credit Facility amended effective October 19, 2011.  New term of 5 years at lower interest rate.</t>
    </r>
  </si>
  <si>
    <t>p.12 &amp; 34</t>
  </si>
  <si>
    <t>p.14&amp;34</t>
  </si>
  <si>
    <t>P/M p. 33</t>
  </si>
  <si>
    <t>2000 SERIES A MERCER COUNTY BONDS</t>
  </si>
  <si>
    <t>VARIABLE INTEREST RATE CALCULATION</t>
  </si>
  <si>
    <t>MONTHLY INTEREST</t>
  </si>
  <si>
    <t>AVG MTHLY INT RATE</t>
  </si>
  <si>
    <t>AVG INT RATE - YTD</t>
  </si>
  <si>
    <t>AVG INT RATE - Beg Nov 1, 2013</t>
  </si>
  <si>
    <t>2002 SERIES A CARROLL COUNTY BONDS</t>
  </si>
  <si>
    <t>2002 SERIES B CARROLL COUNTY BONDS</t>
  </si>
  <si>
    <t>2002 SERIES A MUHLENBERG COUNTY BONDS</t>
  </si>
  <si>
    <t>2002 SERIES A MERCER COUNTY BONDS</t>
  </si>
  <si>
    <t>2002 SERIES C CARROLL COUNTY BONDS</t>
  </si>
  <si>
    <t>(35 DAY) DUTCH AUCTION RATE CALCULATION</t>
  </si>
  <si>
    <t>2004 SERIES A CARROLL COUNTY BONDS</t>
  </si>
  <si>
    <t>2006 SERIES B CARROLL COUNTY BONDS</t>
  </si>
  <si>
    <t>2008 SERIES A CARROLL COUNTY BONDS</t>
  </si>
  <si>
    <t>Amort</t>
  </si>
  <si>
    <t>Ending</t>
  </si>
  <si>
    <t>Account</t>
  </si>
  <si>
    <t>Balance @</t>
  </si>
  <si>
    <t>Additional</t>
  </si>
  <si>
    <t>Per</t>
  </si>
  <si>
    <t>Transfer to Loss</t>
  </si>
  <si>
    <t>GL Account Name</t>
  </si>
  <si>
    <t>Amort Mo</t>
  </si>
  <si>
    <t>Number</t>
  </si>
  <si>
    <t>Exp/(Refund)</t>
  </si>
  <si>
    <t>Subtotal</t>
  </si>
  <si>
    <t>Month</t>
  </si>
  <si>
    <t>on Reaquired Debt</t>
  </si>
  <si>
    <t>UNAM EXP-PCB CC2007A $17.8M 02/26</t>
  </si>
  <si>
    <t>UNAM EXP-PCB TC2007A $8.9M 03/37</t>
  </si>
  <si>
    <t>UNAM EXP-PCB CC2008A $77.9M 02/32</t>
  </si>
  <si>
    <t>UNAM EXP-PCB CC2002A $20.93M 2/32</t>
  </si>
  <si>
    <t>UNAM EXP-PCB CC2002B $2.4M 2/32</t>
  </si>
  <si>
    <t>UNAM EXP-PCB MC2002A $7.4M 2/32</t>
  </si>
  <si>
    <t>UNAM EXP-PCB MC2002A $2.4M 2/32</t>
  </si>
  <si>
    <t>UNAM EXP-PCB CC2002C $96M 10/32</t>
  </si>
  <si>
    <t>UNAM EXP-FMB $250M 11/15</t>
  </si>
  <si>
    <t>UNAM EXP-FMB $500M 11/20</t>
  </si>
  <si>
    <t>UNAM EXP-FMB $750M 11/40</t>
  </si>
  <si>
    <t>UNAM EXP-PCB CC2006B $54M 10/34</t>
  </si>
  <si>
    <t>UNAM EXP-S-3 SHELF REGISTRATION 3/15</t>
  </si>
  <si>
    <t>Average Balance for ECR Calculation:</t>
  </si>
  <si>
    <t xml:space="preserve">Acct # </t>
  </si>
  <si>
    <t>Balance</t>
  </si>
  <si>
    <t># of days in mo</t>
  </si>
  <si>
    <t>Average Balance</t>
  </si>
  <si>
    <t>Transfers from</t>
  </si>
  <si>
    <t>Last Month of</t>
  </si>
  <si>
    <t>Bond Series</t>
  </si>
  <si>
    <t>G/L Account</t>
  </si>
  <si>
    <t>Prior Debt Exp</t>
  </si>
  <si>
    <t>Amortization</t>
  </si>
  <si>
    <t>Expiration</t>
  </si>
  <si>
    <t>&amp; Loss Accts</t>
  </si>
  <si>
    <t>First Mortgage Bonds</t>
  </si>
  <si>
    <t>UNAM LOSS-FMB Series P $33M 05/15</t>
  </si>
  <si>
    <t>UNAM LOSS-PCB MC2000A $12.9M 05/23</t>
  </si>
  <si>
    <t>UNAM LOSS-PCB CC2004A $50M 10/34</t>
  </si>
  <si>
    <t>UNAM LOSS-PCB MC2002A $7.2M 2/32</t>
  </si>
  <si>
    <t>UNAM LOSS-PCB 2006C $16.7M 05/36</t>
  </si>
  <si>
    <t>UNAM LOSS-PCB CC2005A $13M 06/35</t>
  </si>
  <si>
    <t>UNAM LOSS-PCB CC2005B $13M 06/35</t>
  </si>
  <si>
    <t>UNAM LOSS-PCB CC2006A $17M 06/36</t>
  </si>
  <si>
    <t>Debt Discount Amortization</t>
  </si>
  <si>
    <t>Exp Acct</t>
  </si>
  <si>
    <t>GL Acct Name</t>
  </si>
  <si>
    <t>Bond Name</t>
  </si>
  <si>
    <t xml:space="preserve">KU -FMB DEBT DISC $250M 5yr </t>
  </si>
  <si>
    <t xml:space="preserve">KU -FMB $250M 5yr </t>
  </si>
  <si>
    <t xml:space="preserve">KU -FMB DEBT DISC $500M 10yr </t>
  </si>
  <si>
    <t xml:space="preserve">KU -FMB $500M 10yr </t>
  </si>
  <si>
    <t xml:space="preserve">KU -FMB DEBT DISC $750M 30yr </t>
  </si>
  <si>
    <t xml:space="preserve">KU -FMB $750M 30yr </t>
  </si>
  <si>
    <t>Amortization of Revolving Credit &amp; Letter of Credit</t>
  </si>
  <si>
    <t>Wachovia Bank</t>
  </si>
  <si>
    <t>Write-offs</t>
  </si>
  <si>
    <t>KU Revolving Credit $400M</t>
  </si>
  <si>
    <t>181008</t>
  </si>
  <si>
    <t>428007</t>
  </si>
  <si>
    <t>KU Letter of Credit Facility</t>
  </si>
  <si>
    <t>181013</t>
  </si>
  <si>
    <t>428013</t>
  </si>
  <si>
    <t>Money Pool and Intercompany Statements - 2014</t>
  </si>
  <si>
    <t>POOL - KU</t>
  </si>
  <si>
    <t>AVG</t>
  </si>
  <si>
    <t>Debt</t>
  </si>
  <si>
    <t>Monthly</t>
  </si>
  <si>
    <t>Accounting</t>
  </si>
  <si>
    <t>Avg Interest</t>
  </si>
  <si>
    <t>Avg Pool Balance</t>
  </si>
  <si>
    <t>Date</t>
  </si>
  <si>
    <t>Manual</t>
  </si>
  <si>
    <t>Debit</t>
  </si>
  <si>
    <t>Credit</t>
  </si>
  <si>
    <t xml:space="preserve">Balance </t>
  </si>
  <si>
    <t>Interest Total</t>
  </si>
  <si>
    <t>Adjustment</t>
  </si>
  <si>
    <t>(ECR)</t>
  </si>
  <si>
    <t>Pool Balance</t>
  </si>
  <si>
    <t>Beginning balance</t>
  </si>
  <si>
    <t>LG&amp;E and KU Energy LLC</t>
  </si>
  <si>
    <t>Debt Maturity Schedule</t>
  </si>
  <si>
    <t>Swap Expiry</t>
  </si>
  <si>
    <t>INCLUDING REACQUIRED BONDS</t>
  </si>
  <si>
    <t>EXCLUDING REACQUIRED BONDS</t>
  </si>
  <si>
    <t>Individual Companies</t>
  </si>
  <si>
    <t>Consolidated</t>
  </si>
  <si>
    <t>External</t>
  </si>
  <si>
    <t>Affiliated</t>
  </si>
  <si>
    <t>Louisville Gas &amp; Electric Company</t>
  </si>
  <si>
    <t>Make</t>
  </si>
  <si>
    <t>Remarketing</t>
  </si>
  <si>
    <t>First Call</t>
  </si>
  <si>
    <t>Current</t>
  </si>
  <si>
    <t>Non-current</t>
  </si>
  <si>
    <t>Floating</t>
  </si>
  <si>
    <t>Wtd average</t>
  </si>
  <si>
    <t>Current Wtd average</t>
  </si>
  <si>
    <t>Non-current Wtd average</t>
  </si>
  <si>
    <t>Issue Date</t>
  </si>
  <si>
    <t>CUSIP</t>
  </si>
  <si>
    <t>Coupon</t>
  </si>
  <si>
    <t>Amount</t>
  </si>
  <si>
    <t>Insurer</t>
  </si>
  <si>
    <t>Put Date</t>
  </si>
  <si>
    <t>Whole</t>
  </si>
  <si>
    <t>Agent</t>
  </si>
  <si>
    <t>Effective Rate @ 12/31/09</t>
  </si>
  <si>
    <t>November 15, 2015</t>
  </si>
  <si>
    <t>546676AS6</t>
  </si>
  <si>
    <t>T+10</t>
  </si>
  <si>
    <t>November 15, 2040</t>
  </si>
  <si>
    <t>546676AU1</t>
  </si>
  <si>
    <t>T+20</t>
  </si>
  <si>
    <t>May 15, 2040</t>
  </si>
  <si>
    <t>November 15, 2043</t>
  </si>
  <si>
    <t xml:space="preserve">546676AV9 </t>
  </si>
  <si>
    <t>Sub-total taxable FMB's</t>
  </si>
  <si>
    <t>Pollution Control Bonds - secured</t>
  </si>
  <si>
    <t>May 1, 2027</t>
  </si>
  <si>
    <t>Series Y</t>
  </si>
  <si>
    <t>LG&amp;E Jefferson Co. 2000 Series A</t>
  </si>
  <si>
    <t>Uninsured</t>
  </si>
  <si>
    <t>Morgan Stanley (Bonds owned by SunTrust)</t>
  </si>
  <si>
    <t>Non-AMT</t>
  </si>
  <si>
    <t>Series Z</t>
  </si>
  <si>
    <t>896224AS1</t>
  </si>
  <si>
    <t>LG&amp;E Trimble County 2000 Series A</t>
  </si>
  <si>
    <t>Ambac</t>
  </si>
  <si>
    <t>JP Morgan and Goldman</t>
  </si>
  <si>
    <t>AMT</t>
  </si>
  <si>
    <t>September 1, 2027</t>
  </si>
  <si>
    <t>Series AA</t>
  </si>
  <si>
    <t>47302PAA8</t>
  </si>
  <si>
    <t>LG&amp;E Jefferson Co. 2001 Series A</t>
  </si>
  <si>
    <t>Morgan Stanley</t>
  </si>
  <si>
    <t>September 1, 2026</t>
  </si>
  <si>
    <t>Series BB</t>
  </si>
  <si>
    <t>473044BV6</t>
  </si>
  <si>
    <t>Merrill Lynch</t>
  </si>
  <si>
    <t>Series CC</t>
  </si>
  <si>
    <t>896224AT9</t>
  </si>
  <si>
    <t>LG&amp;E Trimble County 2001 Series A</t>
  </si>
  <si>
    <t>November 1, 2027</t>
  </si>
  <si>
    <t>Series DD</t>
  </si>
  <si>
    <t>473044BW4</t>
  </si>
  <si>
    <t>LG&amp;E Jefferson Co. 2001 Series B</t>
  </si>
  <si>
    <t>Series EE</t>
  </si>
  <si>
    <t>896224AU6</t>
  </si>
  <si>
    <t>LG&amp;E Trimble County 2001 Series B</t>
  </si>
  <si>
    <t>October 1, 2032</t>
  </si>
  <si>
    <t>Series FF</t>
  </si>
  <si>
    <t>896224AV4</t>
  </si>
  <si>
    <t>LG&amp;E Trimble County 2002 Series A</t>
  </si>
  <si>
    <t>UBS Paine Webber</t>
  </si>
  <si>
    <t>October 1, 2033</t>
  </si>
  <si>
    <t>Series GG</t>
  </si>
  <si>
    <t>546749AJ1</t>
  </si>
  <si>
    <t>LG&amp;E Louisville Metro 2003 Series A</t>
  </si>
  <si>
    <t>February 1 2035</t>
  </si>
  <si>
    <t>Series HH</t>
  </si>
  <si>
    <t>546749AK8</t>
  </si>
  <si>
    <t>LG&amp;E Louisville Metro 2005 Series A</t>
  </si>
  <si>
    <t>Goldman</t>
  </si>
  <si>
    <t>June 1, 2033</t>
  </si>
  <si>
    <t>896221AA6</t>
  </si>
  <si>
    <t>LG&amp;E Trimble County 2007 Series A</t>
  </si>
  <si>
    <t>546751AG3</t>
  </si>
  <si>
    <t>LG&amp;E Louisville Metro 2007 Series B</t>
  </si>
  <si>
    <t>JP Morgan</t>
  </si>
  <si>
    <t>546751AE8</t>
  </si>
  <si>
    <t>LG&amp;E Louisville Metro 2007 Series A</t>
  </si>
  <si>
    <t>US Bank</t>
  </si>
  <si>
    <t>Sub-total - tax-exempt bonds</t>
  </si>
  <si>
    <t>Commercial paper</t>
  </si>
  <si>
    <t>LG&amp;E line of credit - Wells Fargo</t>
  </si>
  <si>
    <t>Total Louisville Gas and Electric</t>
  </si>
  <si>
    <t>November 1, 2015</t>
  </si>
  <si>
    <t>491674BC0</t>
  </si>
  <si>
    <t>November 1, 2020</t>
  </si>
  <si>
    <t>491674BE6</t>
  </si>
  <si>
    <t>T+15</t>
  </si>
  <si>
    <t>August 1, 2020</t>
  </si>
  <si>
    <t>November 1, 2040</t>
  </si>
  <si>
    <t>491674BG1</t>
  </si>
  <si>
    <t>May 1, 2040</t>
  </si>
  <si>
    <t>491674BF3</t>
  </si>
  <si>
    <t xml:space="preserve">491674BJ5 </t>
  </si>
  <si>
    <t>May 1, 2023</t>
  </si>
  <si>
    <t>PCS 11</t>
  </si>
  <si>
    <t>587829AC6</t>
  </si>
  <si>
    <t>KU Mercer County 2000 Series A</t>
  </si>
  <si>
    <t>Sumitomo LC</t>
  </si>
  <si>
    <t>PCS 16</t>
  </si>
  <si>
    <t>144838AC3</t>
  </si>
  <si>
    <t>KU Carroll County 2002 Series C</t>
  </si>
  <si>
    <t>Citi and BoA</t>
  </si>
  <si>
    <t>February 1, 2032</t>
  </si>
  <si>
    <t>PCS 12</t>
  </si>
  <si>
    <t>144838AA7</t>
  </si>
  <si>
    <t>KU Carroll County 2002 Series A</t>
  </si>
  <si>
    <t>PCS 13</t>
  </si>
  <si>
    <t>144838AB5</t>
  </si>
  <si>
    <t>KU Carroll County 2002 Series B</t>
  </si>
  <si>
    <t>PCS 14</t>
  </si>
  <si>
    <t>62479PAA4</t>
  </si>
  <si>
    <t>KU Muhlenberg County 2002 Series A</t>
  </si>
  <si>
    <t>PCS 15</t>
  </si>
  <si>
    <t>587824AA1</t>
  </si>
  <si>
    <t>KU Mercer County 2002 Series A</t>
  </si>
  <si>
    <t>10/17/0008</t>
  </si>
  <si>
    <t>14483RAN7</t>
  </si>
  <si>
    <t>KU Carroll County 2008 Series A</t>
  </si>
  <si>
    <t>BoA</t>
  </si>
  <si>
    <t>eligible for non-AMT in 2010</t>
  </si>
  <si>
    <t>October 1, 2034</t>
  </si>
  <si>
    <t>PCS 17</t>
  </si>
  <si>
    <t>14483RAM9</t>
  </si>
  <si>
    <t>KU Carroll County 2004 Series A</t>
  </si>
  <si>
    <t>Merrill, Morgan Stanley</t>
  </si>
  <si>
    <t>14483RAP2</t>
  </si>
  <si>
    <t>KU Carroll County 2006 Series B</t>
  </si>
  <si>
    <t>February 1, 2026</t>
  </si>
  <si>
    <t>14483RAH0</t>
  </si>
  <si>
    <t>KU Carroll County 2007 Series A</t>
  </si>
  <si>
    <t>6/1/2018 call date</t>
  </si>
  <si>
    <t>Lehman</t>
  </si>
  <si>
    <t>March 1, 2037</t>
  </si>
  <si>
    <t>896221AC2</t>
  </si>
  <si>
    <t>KU Trimble County 2007 Series A</t>
  </si>
  <si>
    <t>KU line of credit - Wells Fargo</t>
  </si>
  <si>
    <t>Total Kentucky Utilities</t>
  </si>
  <si>
    <t>Short-term from PPL Investment Corporation</t>
  </si>
  <si>
    <t>Community Bank Credit Facility</t>
  </si>
  <si>
    <t>50188FAA3</t>
  </si>
  <si>
    <t>50188FAB1</t>
  </si>
  <si>
    <t>November 15, 2020</t>
  </si>
  <si>
    <t>50188FAD7</t>
  </si>
  <si>
    <t>T+25</t>
  </si>
  <si>
    <t>August 15, 2020</t>
  </si>
  <si>
    <t>October 1, 2021</t>
  </si>
  <si>
    <t>50188FAE5</t>
  </si>
  <si>
    <t>T+37.5</t>
  </si>
  <si>
    <t>July 1, 2021</t>
  </si>
  <si>
    <t>Total LG&amp;E and KU Energy LLC</t>
  </si>
  <si>
    <t>Grand Total</t>
  </si>
  <si>
    <t>Current External Debt</t>
  </si>
  <si>
    <t>Current Affiliate Debt</t>
  </si>
  <si>
    <t>UNAM LOSS-FMB Series R 06/25</t>
  </si>
  <si>
    <t>UNAM LOSS-PCB CC2002A $20.93M 2/32</t>
  </si>
  <si>
    <t>UNAM LOSS-PCB CC2002B $2.4M 2/32</t>
  </si>
  <si>
    <t>UNAM LOSS-PCB MC2002A $7.4M 2/32</t>
  </si>
  <si>
    <t>UNAM LOSS-PCB CC2002C $96M 10/32</t>
  </si>
  <si>
    <t>UNAM LOSS-PCB Series 10 $54M 09/34 189096</t>
  </si>
  <si>
    <t>AVG INT RATE - Beg May 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</si>
</sst>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/dd/yy_)"/>
    <numFmt numFmtId="166" formatCode="0.000%"/>
    <numFmt numFmtId="167" formatCode="0.000_)"/>
    <numFmt numFmtId="168" formatCode="_(* #,##0_);_(* \(#,##0\);_(* &quot;-&quot;??_);_(@_)"/>
    <numFmt numFmtId="169" formatCode="0.0000%"/>
    <numFmt numFmtId="170" formatCode="0.00000%"/>
    <numFmt numFmtId="171" formatCode="0_);\(0\)"/>
    <numFmt numFmtId="172" formatCode="&quot;$&quot;#,##0"/>
    <numFmt numFmtId="173" formatCode="&quot;$&quot;#,##0.00\ ;\(&quot;$&quot;#,##0.00\)"/>
    <numFmt numFmtId="174" formatCode="[$-409]mmm\-yy;@"/>
    <numFmt numFmtId="175" formatCode="[$-409]d\-mmm\-yy;@"/>
    <numFmt numFmtId="176" formatCode="0.000"/>
    <numFmt numFmtId="177" formatCode="&quot;$&quot;#,##0\ ;\(&quot;$&quot;#,##0\)"/>
    <numFmt numFmtId="178" formatCode="0.000_);\(0.000\)"/>
    <numFmt numFmtId="179" formatCode="0.000000"/>
    <numFmt numFmtId="180" formatCode="#,##0.0000"/>
    <numFmt numFmtId="181" formatCode="mm/dd/yy;@"/>
    <numFmt numFmtId="182" formatCode="General_)"/>
    <numFmt numFmtId="183" formatCode="[$-409]mmmm\-yy;@"/>
    <numFmt numFmtId="184" formatCode="#,##0.00;[Red]\(#,##0.00\)"/>
    <numFmt numFmtId="185" formatCode="_(&quot;$&quot;* #,##0_);_(&quot;$&quot;* \(#,##0\);_(&quot;$&quot;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0"/>
      <name val="Helv"/>
    </font>
    <font>
      <sz val="13"/>
      <name val="Arial"/>
      <family val="2"/>
    </font>
    <font>
      <b/>
      <sz val="13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sz val="13"/>
      <color rgb="FF0000FF"/>
      <name val="Arial"/>
      <family val="2"/>
    </font>
    <font>
      <b/>
      <sz val="12"/>
      <color rgb="FFFF0000"/>
      <name val="Arial"/>
      <family val="2"/>
    </font>
    <font>
      <b/>
      <sz val="12"/>
      <color indexed="48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b/>
      <sz val="13"/>
      <color rgb="FFFF0000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Helv"/>
    </font>
    <font>
      <sz val="12"/>
      <color indexed="12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Calibri"/>
      <family val="1"/>
      <scheme val="minor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0"/>
      <color rgb="FF0000FF"/>
      <name val="Arial"/>
      <family val="2"/>
    </font>
    <font>
      <sz val="10"/>
      <name val="Arial Unicode MS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2"/>
      <name val="Arial"/>
      <family val="2"/>
    </font>
    <font>
      <vertAlign val="superscript"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6" fillId="0" borderId="0"/>
    <xf numFmtId="0" fontId="28" fillId="10" borderId="0" applyNumberFormat="0" applyBorder="0" applyAlignment="0" applyProtection="0"/>
    <xf numFmtId="0" fontId="29" fillId="5" borderId="14" applyNumberFormat="0" applyAlignment="0" applyProtection="0"/>
    <xf numFmtId="43" fontId="1" fillId="0" borderId="0" applyFont="0" applyFill="0" applyBorder="0" applyAlignment="0" applyProtection="0"/>
    <xf numFmtId="0" fontId="30" fillId="4" borderId="14" applyNumberFormat="0" applyAlignment="0" applyProtection="0"/>
    <xf numFmtId="0" fontId="3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0" fillId="11" borderId="0">
      <alignment horizontal="left"/>
    </xf>
    <xf numFmtId="0" fontId="41" fillId="11" borderId="0">
      <alignment horizontal="right"/>
    </xf>
    <xf numFmtId="0" fontId="42" fillId="12" borderId="0">
      <alignment horizontal="center"/>
    </xf>
    <xf numFmtId="0" fontId="41" fillId="11" borderId="0">
      <alignment horizontal="right"/>
    </xf>
    <xf numFmtId="0" fontId="43" fillId="12" borderId="0">
      <alignment horizontal="left"/>
    </xf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0" fillId="11" borderId="0">
      <alignment horizontal="left"/>
    </xf>
    <xf numFmtId="0" fontId="47" fillId="12" borderId="0">
      <alignment horizontal="left"/>
    </xf>
    <xf numFmtId="0" fontId="1" fillId="0" borderId="0"/>
    <xf numFmtId="0" fontId="1" fillId="0" borderId="0"/>
    <xf numFmtId="0" fontId="2" fillId="0" borderId="0"/>
    <xf numFmtId="183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184" fontId="48" fillId="12" borderId="0">
      <alignment horizontal="right"/>
    </xf>
    <xf numFmtId="0" fontId="49" fillId="13" borderId="0">
      <alignment horizontal="center"/>
    </xf>
    <xf numFmtId="0" fontId="40" fillId="14" borderId="0"/>
    <xf numFmtId="0" fontId="50" fillId="12" borderId="0" applyBorder="0">
      <alignment horizontal="centerContinuous"/>
    </xf>
    <xf numFmtId="0" fontId="51" fillId="14" borderId="0" applyBorder="0">
      <alignment horizontal="centerContinuous"/>
    </xf>
    <xf numFmtId="0" fontId="9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 applyNumberFormat="0" applyFont="0" applyFill="0" applyBorder="0" applyAlignment="0" applyProtection="0">
      <alignment horizontal="left"/>
    </xf>
    <xf numFmtId="4" fontId="52" fillId="0" borderId="0" applyFont="0" applyFill="0" applyBorder="0" applyAlignment="0" applyProtection="0"/>
    <xf numFmtId="0" fontId="47" fillId="15" borderId="0">
      <alignment horizontal="center"/>
    </xf>
    <xf numFmtId="49" fontId="53" fillId="12" borderId="0">
      <alignment horizontal="center"/>
    </xf>
    <xf numFmtId="0" fontId="41" fillId="11" borderId="0">
      <alignment horizontal="center"/>
    </xf>
    <xf numFmtId="0" fontId="41" fillId="11" borderId="0">
      <alignment horizontal="centerContinuous"/>
    </xf>
    <xf numFmtId="0" fontId="54" fillId="12" borderId="0">
      <alignment horizontal="left"/>
    </xf>
    <xf numFmtId="49" fontId="54" fillId="12" borderId="0">
      <alignment horizontal="center"/>
    </xf>
    <xf numFmtId="0" fontId="40" fillId="11" borderId="0">
      <alignment horizontal="left"/>
    </xf>
    <xf numFmtId="49" fontId="54" fillId="12" borderId="0">
      <alignment horizontal="left"/>
    </xf>
    <xf numFmtId="0" fontId="40" fillId="11" borderId="0">
      <alignment horizontal="centerContinuous"/>
    </xf>
    <xf numFmtId="0" fontId="40" fillId="11" borderId="0">
      <alignment horizontal="right"/>
    </xf>
    <xf numFmtId="49" fontId="47" fillId="12" borderId="0">
      <alignment horizontal="left"/>
    </xf>
    <xf numFmtId="0" fontId="41" fillId="11" borderId="0">
      <alignment horizontal="right"/>
    </xf>
    <xf numFmtId="0" fontId="54" fillId="16" borderId="0">
      <alignment horizontal="center"/>
    </xf>
    <xf numFmtId="0" fontId="55" fillId="16" borderId="0">
      <alignment horizontal="center"/>
    </xf>
    <xf numFmtId="0" fontId="56" fillId="12" borderId="0">
      <alignment horizontal="center"/>
    </xf>
  </cellStyleXfs>
  <cellXfs count="52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7" fontId="3" fillId="0" borderId="0" xfId="0" applyNumberFormat="1" applyFont="1" applyFill="1" applyAlignment="1" applyProtection="1">
      <alignment horizontal="left"/>
    </xf>
    <xf numFmtId="37" fontId="3" fillId="0" borderId="0" xfId="0" applyNumberFormat="1" applyFont="1" applyFill="1" applyProtection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Continuous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Continuous"/>
    </xf>
    <xf numFmtId="37" fontId="3" fillId="0" borderId="0" xfId="0" applyNumberFormat="1" applyFont="1" applyFill="1" applyBorder="1" applyProtection="1"/>
    <xf numFmtId="168" fontId="3" fillId="0" borderId="7" xfId="1" applyNumberFormat="1" applyFont="1" applyFill="1" applyBorder="1"/>
    <xf numFmtId="0" fontId="3" fillId="0" borderId="10" xfId="0" applyFont="1" applyFill="1" applyBorder="1"/>
    <xf numFmtId="0" fontId="3" fillId="0" borderId="7" xfId="0" applyFont="1" applyFill="1" applyBorder="1"/>
    <xf numFmtId="0" fontId="3" fillId="0" borderId="11" xfId="0" applyFont="1" applyFill="1" applyBorder="1"/>
    <xf numFmtId="167" fontId="3" fillId="0" borderId="0" xfId="0" applyNumberFormat="1" applyFont="1" applyFill="1" applyProtection="1"/>
    <xf numFmtId="0" fontId="3" fillId="0" borderId="0" xfId="0" applyFont="1" applyFill="1" applyAlignment="1">
      <alignment horizontal="center"/>
    </xf>
    <xf numFmtId="0" fontId="0" fillId="0" borderId="0" xfId="0" applyFill="1"/>
    <xf numFmtId="37" fontId="3" fillId="0" borderId="7" xfId="0" applyNumberFormat="1" applyFont="1" applyFill="1" applyBorder="1" applyProtection="1"/>
    <xf numFmtId="0" fontId="0" fillId="0" borderId="0" xfId="0" applyAlignment="1">
      <alignment horizontal="right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Border="1"/>
    <xf numFmtId="39" fontId="3" fillId="0" borderId="0" xfId="0" applyNumberFormat="1" applyFont="1" applyFill="1"/>
    <xf numFmtId="0" fontId="10" fillId="0" borderId="4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41" fontId="10" fillId="0" borderId="7" xfId="0" applyNumberFormat="1" applyFont="1" applyFill="1" applyBorder="1"/>
    <xf numFmtId="168" fontId="10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/>
    <xf numFmtId="39" fontId="3" fillId="0" borderId="0" xfId="0" applyNumberFormat="1" applyFont="1" applyFill="1" applyProtection="1"/>
    <xf numFmtId="168" fontId="3" fillId="0" borderId="0" xfId="1" applyNumberFormat="1" applyFont="1" applyFill="1"/>
    <xf numFmtId="170" fontId="3" fillId="0" borderId="0" xfId="2" applyNumberFormat="1" applyFont="1" applyFill="1" applyBorder="1" applyProtection="1"/>
    <xf numFmtId="0" fontId="3" fillId="0" borderId="0" xfId="0" applyFont="1" applyFill="1" applyBorder="1" applyAlignment="1">
      <alignment horizontal="centerContinuous"/>
    </xf>
    <xf numFmtId="165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 applyAlignment="1" applyProtection="1">
      <alignment horizontal="center"/>
    </xf>
    <xf numFmtId="167" fontId="3" fillId="0" borderId="0" xfId="0" applyNumberFormat="1" applyFont="1" applyFill="1" applyBorder="1" applyProtection="1"/>
    <xf numFmtId="166" fontId="3" fillId="0" borderId="0" xfId="2" applyNumberFormat="1" applyFont="1" applyFill="1" applyBorder="1" applyProtection="1"/>
    <xf numFmtId="167" fontId="3" fillId="0" borderId="0" xfId="0" applyNumberFormat="1" applyFont="1" applyFill="1" applyBorder="1" applyAlignment="1" applyProtection="1">
      <alignment horizontal="left"/>
    </xf>
    <xf numFmtId="167" fontId="3" fillId="0" borderId="7" xfId="0" applyNumberFormat="1" applyFont="1" applyFill="1" applyBorder="1" applyAlignment="1" applyProtection="1">
      <alignment horizontal="left"/>
    </xf>
    <xf numFmtId="166" fontId="3" fillId="0" borderId="0" xfId="1" applyNumberFormat="1" applyFont="1" applyFill="1" applyBorder="1"/>
    <xf numFmtId="166" fontId="3" fillId="0" borderId="0" xfId="0" applyNumberFormat="1" applyFont="1" applyFill="1" applyAlignment="1">
      <alignment horizontal="centerContinuous"/>
    </xf>
    <xf numFmtId="166" fontId="3" fillId="0" borderId="2" xfId="0" applyNumberFormat="1" applyFont="1" applyFill="1" applyBorder="1" applyAlignment="1">
      <alignment horizontal="centerContinuous"/>
    </xf>
    <xf numFmtId="166" fontId="3" fillId="0" borderId="0" xfId="0" applyNumberFormat="1" applyFont="1" applyFill="1" applyBorder="1" applyAlignment="1">
      <alignment horizontal="centerContinuous"/>
    </xf>
    <xf numFmtId="166" fontId="3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/>
    <xf numFmtId="166" fontId="3" fillId="0" borderId="0" xfId="0" applyNumberFormat="1" applyFont="1" applyFill="1" applyBorder="1" applyProtection="1"/>
    <xf numFmtId="166" fontId="3" fillId="0" borderId="7" xfId="0" applyNumberFormat="1" applyFont="1" applyFill="1" applyBorder="1"/>
    <xf numFmtId="166" fontId="3" fillId="0" borderId="0" xfId="0" applyNumberFormat="1" applyFont="1" applyFill="1"/>
    <xf numFmtId="166" fontId="11" fillId="0" borderId="9" xfId="0" applyNumberFormat="1" applyFont="1" applyFill="1" applyBorder="1"/>
    <xf numFmtId="41" fontId="10" fillId="0" borderId="0" xfId="0" applyNumberFormat="1" applyFont="1" applyFill="1" applyBorder="1"/>
    <xf numFmtId="42" fontId="3" fillId="0" borderId="0" xfId="0" applyNumberFormat="1" applyFont="1" applyFill="1" applyBorder="1" applyProtection="1"/>
    <xf numFmtId="42" fontId="3" fillId="0" borderId="0" xfId="0" applyNumberFormat="1" applyFont="1" applyFill="1" applyBorder="1"/>
    <xf numFmtId="42" fontId="3" fillId="0" borderId="0" xfId="1" applyNumberFormat="1" applyFont="1" applyFill="1" applyBorder="1" applyProtection="1"/>
    <xf numFmtId="42" fontId="3" fillId="0" borderId="0" xfId="1" applyNumberFormat="1" applyFont="1" applyFill="1" applyBorder="1" applyAlignment="1" applyProtection="1">
      <alignment horizontal="center"/>
    </xf>
    <xf numFmtId="42" fontId="3" fillId="0" borderId="12" xfId="0" applyNumberFormat="1" applyFont="1" applyFill="1" applyBorder="1" applyAlignment="1" applyProtection="1">
      <alignment horizontal="right"/>
    </xf>
    <xf numFmtId="42" fontId="3" fillId="0" borderId="0" xfId="1" applyNumberFormat="1" applyFont="1" applyFill="1" applyBorder="1"/>
    <xf numFmtId="42" fontId="3" fillId="0" borderId="12" xfId="0" applyNumberFormat="1" applyFont="1" applyFill="1" applyBorder="1" applyProtection="1"/>
    <xf numFmtId="42" fontId="3" fillId="0" borderId="8" xfId="0" applyNumberFormat="1" applyFont="1" applyFill="1" applyBorder="1" applyProtection="1"/>
    <xf numFmtId="42" fontId="3" fillId="0" borderId="8" xfId="1" applyNumberFormat="1" applyFont="1" applyFill="1" applyBorder="1"/>
    <xf numFmtId="42" fontId="3" fillId="0" borderId="0" xfId="1" applyNumberFormat="1" applyFont="1" applyFill="1" applyBorder="1" applyAlignment="1">
      <alignment horizontal="center"/>
    </xf>
    <xf numFmtId="42" fontId="3" fillId="0" borderId="13" xfId="0" applyNumberFormat="1" applyFont="1" applyFill="1" applyBorder="1"/>
    <xf numFmtId="42" fontId="3" fillId="0" borderId="0" xfId="0" applyNumberFormat="1" applyFont="1" applyFill="1"/>
    <xf numFmtId="41" fontId="3" fillId="0" borderId="0" xfId="0" applyNumberFormat="1" applyFont="1" applyFill="1" applyBorder="1" applyProtection="1"/>
    <xf numFmtId="41" fontId="3" fillId="0" borderId="0" xfId="1" applyNumberFormat="1" applyFont="1" applyFill="1" applyBorder="1" applyProtection="1"/>
    <xf numFmtId="41" fontId="3" fillId="0" borderId="0" xfId="0" applyNumberFormat="1" applyFont="1" applyFill="1" applyBorder="1"/>
    <xf numFmtId="41" fontId="3" fillId="0" borderId="0" xfId="1" applyNumberFormat="1" applyFont="1" applyFill="1" applyBorder="1"/>
    <xf numFmtId="0" fontId="7" fillId="0" borderId="0" xfId="0" applyFont="1" applyFill="1" applyBorder="1" applyAlignment="1">
      <alignment horizontal="center" wrapText="1"/>
    </xf>
    <xf numFmtId="41" fontId="10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37" fontId="15" fillId="0" borderId="0" xfId="0" applyNumberFormat="1" applyFont="1" applyFill="1" applyAlignment="1" applyProtection="1">
      <alignment horizontal="center"/>
    </xf>
    <xf numFmtId="0" fontId="4" fillId="0" borderId="0" xfId="0" applyFont="1" applyFill="1"/>
    <xf numFmtId="0" fontId="4" fillId="0" borderId="4" xfId="0" applyFont="1" applyFill="1" applyBorder="1"/>
    <xf numFmtId="42" fontId="3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Continuous"/>
    </xf>
    <xf numFmtId="0" fontId="20" fillId="0" borderId="1" xfId="0" applyFont="1" applyFill="1" applyBorder="1" applyAlignment="1">
      <alignment horizontal="centerContinuous"/>
    </xf>
    <xf numFmtId="0" fontId="20" fillId="0" borderId="4" xfId="0" applyFont="1" applyFill="1" applyBorder="1" applyAlignment="1">
      <alignment horizontal="centerContinuous"/>
    </xf>
    <xf numFmtId="42" fontId="4" fillId="0" borderId="0" xfId="0" applyNumberFormat="1" applyFont="1" applyFill="1" applyBorder="1" applyAlignment="1">
      <alignment horizontal="left"/>
    </xf>
    <xf numFmtId="166" fontId="4" fillId="0" borderId="9" xfId="2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left"/>
    </xf>
    <xf numFmtId="166" fontId="4" fillId="0" borderId="7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Protection="1"/>
    <xf numFmtId="166" fontId="4" fillId="0" borderId="9" xfId="2" applyNumberFormat="1" applyFont="1" applyFill="1" applyBorder="1"/>
    <xf numFmtId="41" fontId="15" fillId="0" borderId="0" xfId="0" applyNumberFormat="1" applyFont="1" applyFill="1" applyBorder="1" applyProtection="1"/>
    <xf numFmtId="166" fontId="15" fillId="0" borderId="0" xfId="0" applyNumberFormat="1" applyFont="1" applyFill="1"/>
    <xf numFmtId="166" fontId="3" fillId="3" borderId="0" xfId="2" applyNumberFormat="1" applyFont="1" applyFill="1" applyBorder="1" applyProtection="1"/>
    <xf numFmtId="41" fontId="10" fillId="3" borderId="0" xfId="0" applyNumberFormat="1" applyFont="1" applyFill="1" applyBorder="1"/>
    <xf numFmtId="41" fontId="15" fillId="3" borderId="0" xfId="0" applyNumberFormat="1" applyFont="1" applyFill="1" applyBorder="1" applyProtection="1"/>
    <xf numFmtId="10" fontId="22" fillId="0" borderId="0" xfId="0" applyNumberFormat="1" applyFont="1" applyFill="1" applyAlignment="1">
      <alignment horizontal="center"/>
    </xf>
    <xf numFmtId="41" fontId="10" fillId="0" borderId="7" xfId="0" applyNumberFormat="1" applyFont="1" applyFill="1" applyBorder="1" applyAlignment="1">
      <alignment horizontal="center"/>
    </xf>
    <xf numFmtId="166" fontId="10" fillId="0" borderId="0" xfId="2" applyNumberFormat="1" applyFont="1" applyFill="1" applyBorder="1"/>
    <xf numFmtId="166" fontId="15" fillId="3" borderId="0" xfId="2" applyNumberFormat="1" applyFont="1" applyFill="1" applyBorder="1"/>
    <xf numFmtId="166" fontId="17" fillId="3" borderId="0" xfId="0" applyNumberFormat="1" applyFont="1" applyFill="1" applyBorder="1"/>
    <xf numFmtId="166" fontId="17" fillId="0" borderId="0" xfId="0" applyNumberFormat="1" applyFont="1" applyFill="1" applyBorder="1"/>
    <xf numFmtId="166" fontId="23" fillId="0" borderId="0" xfId="2" applyNumberFormat="1" applyFont="1" applyFill="1" applyBorder="1" applyProtection="1"/>
    <xf numFmtId="14" fontId="3" fillId="0" borderId="0" xfId="0" applyNumberFormat="1" applyFont="1" applyFill="1"/>
    <xf numFmtId="43" fontId="3" fillId="0" borderId="0" xfId="0" applyNumberFormat="1" applyFont="1" applyFill="1"/>
    <xf numFmtId="37" fontId="18" fillId="0" borderId="0" xfId="0" applyNumberFormat="1" applyFont="1" applyFill="1" applyAlignment="1" applyProtection="1">
      <alignment horizontal="right"/>
    </xf>
    <xf numFmtId="41" fontId="3" fillId="3" borderId="0" xfId="1" applyNumberFormat="1" applyFont="1" applyFill="1" applyBorder="1"/>
    <xf numFmtId="0" fontId="15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37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Alignment="1">
      <alignment horizontal="center"/>
    </xf>
    <xf numFmtId="0" fontId="2" fillId="6" borderId="0" xfId="3" applyFill="1"/>
    <xf numFmtId="0" fontId="2" fillId="0" borderId="0" xfId="3"/>
    <xf numFmtId="174" fontId="13" fillId="0" borderId="0" xfId="3" applyNumberFormat="1" applyFont="1"/>
    <xf numFmtId="175" fontId="2" fillId="0" borderId="0" xfId="3" applyNumberFormat="1" applyAlignment="1">
      <alignment horizontal="right"/>
    </xf>
    <xf numFmtId="2" fontId="2" fillId="0" borderId="0" xfId="3" applyNumberFormat="1"/>
    <xf numFmtId="0" fontId="6" fillId="7" borderId="0" xfId="3" applyFont="1" applyFill="1" applyAlignment="1">
      <alignment horizontal="center" wrapText="1"/>
    </xf>
    <xf numFmtId="0" fontId="6" fillId="8" borderId="0" xfId="3" applyFont="1" applyFill="1" applyAlignment="1">
      <alignment horizontal="center" wrapText="1"/>
    </xf>
    <xf numFmtId="175" fontId="6" fillId="9" borderId="0" xfId="3" applyNumberFormat="1" applyFont="1" applyFill="1" applyAlignment="1">
      <alignment horizontal="center" wrapText="1"/>
    </xf>
    <xf numFmtId="0" fontId="6" fillId="6" borderId="0" xfId="3" applyFont="1" applyFill="1" applyAlignment="1">
      <alignment horizontal="center" wrapText="1"/>
    </xf>
    <xf numFmtId="0" fontId="2" fillId="0" borderId="0" xfId="3" applyAlignment="1">
      <alignment horizontal="center"/>
    </xf>
    <xf numFmtId="0" fontId="2" fillId="6" borderId="0" xfId="3" applyFill="1" applyAlignment="1">
      <alignment horizontal="center"/>
    </xf>
    <xf numFmtId="4" fontId="2" fillId="0" borderId="0" xfId="3" applyNumberFormat="1"/>
    <xf numFmtId="0" fontId="2" fillId="8" borderId="0" xfId="3" applyFill="1"/>
    <xf numFmtId="0" fontId="2" fillId="9" borderId="0" xfId="3" applyFill="1"/>
    <xf numFmtId="4" fontId="6" fillId="7" borderId="0" xfId="3" applyNumberFormat="1" applyFont="1" applyFill="1" applyAlignment="1">
      <alignment wrapText="1"/>
    </xf>
    <xf numFmtId="176" fontId="6" fillId="8" borderId="0" xfId="3" applyNumberFormat="1" applyFont="1" applyFill="1"/>
    <xf numFmtId="176" fontId="6" fillId="9" borderId="0" xfId="3" applyNumberFormat="1" applyFont="1" applyFill="1"/>
    <xf numFmtId="176" fontId="2" fillId="0" borderId="0" xfId="3" applyNumberFormat="1"/>
    <xf numFmtId="0" fontId="6" fillId="7" borderId="0" xfId="3" applyFont="1" applyFill="1" applyAlignment="1">
      <alignment wrapText="1"/>
    </xf>
    <xf numFmtId="176" fontId="6" fillId="6" borderId="0" xfId="3" applyNumberFormat="1" applyFont="1" applyFill="1"/>
    <xf numFmtId="0" fontId="6" fillId="6" borderId="0" xfId="3" applyFont="1" applyFill="1"/>
    <xf numFmtId="175" fontId="2" fillId="0" borderId="0" xfId="3" applyNumberFormat="1"/>
    <xf numFmtId="178" fontId="6" fillId="0" borderId="0" xfId="3" applyNumberFormat="1" applyFont="1" applyFill="1"/>
    <xf numFmtId="0" fontId="2" fillId="0" borderId="0" xfId="3" applyFill="1"/>
    <xf numFmtId="178" fontId="6" fillId="8" borderId="0" xfId="3" applyNumberFormat="1" applyFont="1" applyFill="1" applyAlignment="1">
      <alignment horizontal="center" wrapText="1"/>
    </xf>
    <xf numFmtId="178" fontId="6" fillId="9" borderId="0" xfId="3" applyNumberFormat="1" applyFont="1" applyFill="1" applyAlignment="1">
      <alignment horizontal="center" wrapText="1"/>
    </xf>
    <xf numFmtId="178" fontId="6" fillId="6" borderId="0" xfId="3" applyNumberFormat="1" applyFont="1" applyFill="1" applyAlignment="1">
      <alignment horizontal="center"/>
    </xf>
    <xf numFmtId="178" fontId="2" fillId="8" borderId="0" xfId="3" applyNumberFormat="1" applyFill="1"/>
    <xf numFmtId="178" fontId="2" fillId="9" borderId="0" xfId="3" applyNumberFormat="1" applyFill="1"/>
    <xf numFmtId="178" fontId="6" fillId="6" borderId="0" xfId="3" applyNumberFormat="1" applyFont="1" applyFill="1"/>
    <xf numFmtId="178" fontId="6" fillId="8" borderId="0" xfId="3" applyNumberFormat="1" applyFont="1" applyFill="1"/>
    <xf numFmtId="178" fontId="6" fillId="9" borderId="0" xfId="3" applyNumberFormat="1" applyFont="1" applyFill="1"/>
    <xf numFmtId="179" fontId="2" fillId="0" borderId="0" xfId="3" applyNumberFormat="1"/>
    <xf numFmtId="0" fontId="6" fillId="0" borderId="0" xfId="3" applyFont="1" applyFill="1" applyAlignment="1">
      <alignment wrapText="1"/>
    </xf>
    <xf numFmtId="178" fontId="2" fillId="0" borderId="0" xfId="3" applyNumberFormat="1" applyFill="1"/>
    <xf numFmtId="178" fontId="2" fillId="6" borderId="0" xfId="3" applyNumberFormat="1" applyFill="1"/>
    <xf numFmtId="178" fontId="2" fillId="6" borderId="0" xfId="3" applyNumberFormat="1" applyFill="1" applyAlignment="1">
      <alignment horizontal="center"/>
    </xf>
    <xf numFmtId="0" fontId="6" fillId="0" borderId="0" xfId="3" applyFont="1"/>
    <xf numFmtId="2" fontId="6" fillId="9" borderId="0" xfId="3" applyNumberFormat="1" applyFont="1" applyFill="1"/>
    <xf numFmtId="0" fontId="6" fillId="6" borderId="0" xfId="3" applyFont="1" applyFill="1" applyAlignment="1">
      <alignment horizontal="center"/>
    </xf>
    <xf numFmtId="180" fontId="6" fillId="7" borderId="0" xfId="3" applyNumberFormat="1" applyFont="1" applyFill="1" applyAlignment="1">
      <alignment wrapText="1"/>
    </xf>
    <xf numFmtId="0" fontId="3" fillId="0" borderId="0" xfId="16" applyFont="1"/>
    <xf numFmtId="0" fontId="3" fillId="0" borderId="0" xfId="16" applyFont="1" applyAlignment="1">
      <alignment horizontal="centerContinuous"/>
    </xf>
    <xf numFmtId="43" fontId="3" fillId="0" borderId="0" xfId="17" applyFont="1" applyAlignment="1">
      <alignment horizontal="centerContinuous"/>
    </xf>
    <xf numFmtId="0" fontId="3" fillId="0" borderId="0" xfId="16" applyFont="1" applyAlignment="1">
      <alignment horizontal="center"/>
    </xf>
    <xf numFmtId="0" fontId="3" fillId="0" borderId="7" xfId="16" applyFont="1" applyBorder="1" applyAlignment="1">
      <alignment horizontal="center"/>
    </xf>
    <xf numFmtId="181" fontId="27" fillId="0" borderId="7" xfId="16" applyNumberFormat="1" applyFont="1" applyFill="1" applyBorder="1" applyAlignment="1">
      <alignment horizontal="centerContinuous"/>
    </xf>
    <xf numFmtId="0" fontId="3" fillId="0" borderId="7" xfId="16" applyFont="1" applyBorder="1" applyAlignment="1">
      <alignment horizontal="centerContinuous"/>
    </xf>
    <xf numFmtId="0" fontId="3" fillId="0" borderId="7" xfId="16" applyFont="1" applyBorder="1"/>
    <xf numFmtId="39" fontId="3" fillId="0" borderId="0" xfId="16" applyNumberFormat="1" applyFont="1" applyProtection="1"/>
    <xf numFmtId="39" fontId="3" fillId="0" borderId="0" xfId="16" applyNumberFormat="1" applyFont="1" applyFill="1" applyProtection="1"/>
    <xf numFmtId="39" fontId="3" fillId="0" borderId="0" xfId="16" applyNumberFormat="1" applyFont="1"/>
    <xf numFmtId="0" fontId="3" fillId="0" borderId="0" xfId="16" applyFont="1" applyBorder="1"/>
    <xf numFmtId="0" fontId="4" fillId="0" borderId="0" xfId="16" applyFont="1" applyFill="1" applyAlignment="1">
      <alignment horizontal="center"/>
    </xf>
    <xf numFmtId="0" fontId="3" fillId="0" borderId="0" xfId="16" applyFont="1" applyFill="1"/>
    <xf numFmtId="43" fontId="3" fillId="0" borderId="0" xfId="17" applyFont="1" applyFill="1"/>
    <xf numFmtId="39" fontId="3" fillId="0" borderId="0" xfId="16" applyNumberFormat="1" applyFont="1" applyFill="1"/>
    <xf numFmtId="174" fontId="3" fillId="0" borderId="0" xfId="16" applyNumberFormat="1" applyFont="1" applyFill="1"/>
    <xf numFmtId="0" fontId="3" fillId="0" borderId="0" xfId="16" applyFont="1" applyFill="1" applyAlignment="1">
      <alignment horizontal="center"/>
    </xf>
    <xf numFmtId="43" fontId="3" fillId="0" borderId="0" xfId="16" applyNumberFormat="1" applyFont="1" applyFill="1" applyBorder="1" applyAlignment="1" applyProtection="1">
      <alignment horizontal="right"/>
    </xf>
    <xf numFmtId="39" fontId="3" fillId="0" borderId="0" xfId="16" applyNumberFormat="1" applyFont="1" applyFill="1" applyBorder="1" applyProtection="1"/>
    <xf numFmtId="39" fontId="15" fillId="0" borderId="0" xfId="16" applyNumberFormat="1" applyFont="1" applyFill="1"/>
    <xf numFmtId="43" fontId="3" fillId="0" borderId="0" xfId="17" applyFont="1" applyFill="1" applyBorder="1"/>
    <xf numFmtId="43" fontId="3" fillId="0" borderId="0" xfId="17" applyNumberFormat="1" applyFont="1" applyFill="1"/>
    <xf numFmtId="43" fontId="15" fillId="0" borderId="0" xfId="17" applyFont="1" applyFill="1" applyBorder="1" applyAlignment="1" applyProtection="1">
      <alignment vertical="top"/>
    </xf>
    <xf numFmtId="43" fontId="15" fillId="0" borderId="0" xfId="16" applyNumberFormat="1" applyFont="1" applyFill="1" applyProtection="1"/>
    <xf numFmtId="0" fontId="3" fillId="0" borderId="0" xfId="16" applyFont="1" applyFill="1" applyBorder="1"/>
    <xf numFmtId="0" fontId="3" fillId="0" borderId="15" xfId="3" applyFont="1" applyFill="1" applyBorder="1" applyAlignment="1" applyProtection="1">
      <alignment horizontal="left" vertical="center"/>
    </xf>
    <xf numFmtId="182" fontId="2" fillId="0" borderId="0" xfId="16" applyNumberFormat="1" applyFont="1" applyFill="1"/>
    <xf numFmtId="174" fontId="3" fillId="0" borderId="0" xfId="16" applyNumberFormat="1" applyFont="1" applyFill="1" applyAlignment="1">
      <alignment horizontal="right"/>
    </xf>
    <xf numFmtId="43" fontId="2" fillId="0" borderId="0" xfId="17" applyFont="1" applyFill="1" applyAlignment="1"/>
    <xf numFmtId="39" fontId="3" fillId="0" borderId="12" xfId="16" applyNumberFormat="1" applyFont="1" applyBorder="1" applyProtection="1"/>
    <xf numFmtId="39" fontId="3" fillId="0" borderId="12" xfId="16" applyNumberFormat="1" applyFont="1" applyFill="1" applyBorder="1" applyProtection="1"/>
    <xf numFmtId="43" fontId="3" fillId="0" borderId="12" xfId="16" applyNumberFormat="1" applyFont="1" applyFill="1" applyBorder="1" applyProtection="1"/>
    <xf numFmtId="43" fontId="15" fillId="0" borderId="0" xfId="16" applyNumberFormat="1" applyFont="1"/>
    <xf numFmtId="43" fontId="3" fillId="0" borderId="0" xfId="17" applyFont="1"/>
    <xf numFmtId="182" fontId="2" fillId="0" borderId="0" xfId="16" applyNumberFormat="1" applyFont="1"/>
    <xf numFmtId="174" fontId="2" fillId="0" borderId="0" xfId="16" applyNumberFormat="1" applyFont="1" applyBorder="1"/>
    <xf numFmtId="43" fontId="2" fillId="0" borderId="0" xfId="17" applyFont="1" applyBorder="1"/>
    <xf numFmtId="0" fontId="2" fillId="0" borderId="0" xfId="16" applyFont="1" applyBorder="1"/>
    <xf numFmtId="43" fontId="2" fillId="0" borderId="0" xfId="16" applyNumberFormat="1" applyFont="1" applyBorder="1"/>
    <xf numFmtId="182" fontId="2" fillId="0" borderId="22" xfId="16" applyNumberFormat="1" applyFont="1" applyBorder="1"/>
    <xf numFmtId="43" fontId="2" fillId="0" borderId="22" xfId="17" applyFont="1" applyBorder="1"/>
    <xf numFmtId="182" fontId="2" fillId="0" borderId="0" xfId="19" applyFont="1"/>
    <xf numFmtId="182" fontId="2" fillId="0" borderId="0" xfId="19" applyFont="1" applyFill="1"/>
    <xf numFmtId="39" fontId="2" fillId="0" borderId="0" xfId="19" applyNumberFormat="1" applyFont="1" applyFill="1" applyProtection="1"/>
    <xf numFmtId="181" fontId="27" fillId="0" borderId="7" xfId="16" applyNumberFormat="1" applyFont="1" applyBorder="1" applyAlignment="1">
      <alignment horizontal="centerContinuous"/>
    </xf>
    <xf numFmtId="17" fontId="3" fillId="0" borderId="0" xfId="16" applyNumberFormat="1" applyFont="1" applyFill="1"/>
    <xf numFmtId="14" fontId="3" fillId="0" borderId="0" xfId="16" applyNumberFormat="1" applyFont="1" applyFill="1" applyAlignment="1">
      <alignment horizontal="center"/>
    </xf>
    <xf numFmtId="39" fontId="15" fillId="0" borderId="0" xfId="16" applyNumberFormat="1" applyFont="1" applyFill="1" applyProtection="1"/>
    <xf numFmtId="39" fontId="3" fillId="0" borderId="0" xfId="17" applyNumberFormat="1" applyFont="1" applyFill="1"/>
    <xf numFmtId="0" fontId="2" fillId="0" borderId="0" xfId="16" applyFont="1" applyFill="1"/>
    <xf numFmtId="0" fontId="2" fillId="0" borderId="0" xfId="16" applyFont="1"/>
    <xf numFmtId="17" fontId="3" fillId="0" borderId="0" xfId="16" applyNumberFormat="1" applyFont="1"/>
    <xf numFmtId="49" fontId="32" fillId="0" borderId="0" xfId="16" applyNumberFormat="1" applyFont="1" applyAlignment="1">
      <alignment horizontal="centerContinuous"/>
    </xf>
    <xf numFmtId="0" fontId="2" fillId="0" borderId="0" xfId="16" applyFont="1" applyAlignment="1">
      <alignment horizontal="centerContinuous"/>
    </xf>
    <xf numFmtId="182" fontId="2" fillId="0" borderId="0" xfId="16" applyNumberFormat="1" applyFont="1" applyAlignment="1">
      <alignment horizontal="centerContinuous"/>
    </xf>
    <xf numFmtId="43" fontId="2" fillId="0" borderId="0" xfId="17" applyFont="1" applyAlignment="1">
      <alignment horizontal="centerContinuous"/>
    </xf>
    <xf numFmtId="0" fontId="2" fillId="0" borderId="0" xfId="16" applyFont="1" applyAlignment="1">
      <alignment horizontal="center"/>
    </xf>
    <xf numFmtId="182" fontId="2" fillId="0" borderId="0" xfId="16" applyNumberFormat="1" applyFont="1" applyAlignment="1">
      <alignment horizontal="center"/>
    </xf>
    <xf numFmtId="182" fontId="6" fillId="0" borderId="0" xfId="16" applyNumberFormat="1" applyFont="1" applyFill="1" applyAlignment="1">
      <alignment horizontal="center"/>
    </xf>
    <xf numFmtId="0" fontId="2" fillId="0" borderId="7" xfId="16" applyFont="1" applyBorder="1" applyAlignment="1">
      <alignment horizontal="center"/>
    </xf>
    <xf numFmtId="182" fontId="2" fillId="0" borderId="7" xfId="16" applyNumberFormat="1" applyFont="1" applyFill="1" applyBorder="1" applyAlignment="1">
      <alignment horizontal="center"/>
    </xf>
    <xf numFmtId="181" fontId="33" fillId="0" borderId="7" xfId="16" applyNumberFormat="1" applyFont="1" applyFill="1" applyBorder="1" applyAlignment="1">
      <alignment horizontal="centerContinuous"/>
    </xf>
    <xf numFmtId="0" fontId="2" fillId="0" borderId="7" xfId="16" applyFont="1" applyBorder="1" applyAlignment="1">
      <alignment horizontal="centerContinuous"/>
    </xf>
    <xf numFmtId="0" fontId="2" fillId="0" borderId="0" xfId="17" applyNumberFormat="1" applyFont="1" applyFill="1" applyBorder="1" applyAlignment="1" applyProtection="1"/>
    <xf numFmtId="0" fontId="2" fillId="0" borderId="0" xfId="17" applyNumberFormat="1" applyFont="1" applyFill="1" applyBorder="1" applyAlignment="1" applyProtection="1">
      <alignment horizontal="center"/>
    </xf>
    <xf numFmtId="43" fontId="2" fillId="0" borderId="0" xfId="16" applyNumberFormat="1" applyFont="1" applyProtection="1"/>
    <xf numFmtId="43" fontId="2" fillId="0" borderId="0" xfId="17" applyFont="1" applyFill="1" applyBorder="1" applyAlignment="1" applyProtection="1"/>
    <xf numFmtId="39" fontId="34" fillId="0" borderId="0" xfId="16" applyNumberFormat="1" applyFont="1" applyFill="1" applyProtection="1"/>
    <xf numFmtId="43" fontId="2" fillId="0" borderId="0" xfId="16" applyNumberFormat="1" applyFont="1" applyFill="1" applyBorder="1" applyAlignment="1" applyProtection="1">
      <alignment horizontal="right"/>
    </xf>
    <xf numFmtId="43" fontId="2" fillId="0" borderId="0" xfId="17" applyFont="1" applyFill="1"/>
    <xf numFmtId="39" fontId="34" fillId="0" borderId="0" xfId="16" applyNumberFormat="1" applyFont="1" applyFill="1"/>
    <xf numFmtId="182" fontId="6" fillId="0" borderId="0" xfId="16" applyNumberFormat="1" applyFont="1" applyFill="1"/>
    <xf numFmtId="39" fontId="2" fillId="0" borderId="12" xfId="16" applyNumberFormat="1" applyFont="1" applyBorder="1" applyProtection="1"/>
    <xf numFmtId="43" fontId="34" fillId="0" borderId="0" xfId="16" applyNumberFormat="1" applyFont="1" applyAlignment="1">
      <alignment horizontal="center"/>
    </xf>
    <xf numFmtId="43" fontId="2" fillId="0" borderId="0" xfId="17" applyFont="1"/>
    <xf numFmtId="0" fontId="2" fillId="0" borderId="16" xfId="16" applyFont="1" applyBorder="1"/>
    <xf numFmtId="0" fontId="6" fillId="0" borderId="17" xfId="16" applyFont="1" applyBorder="1" applyAlignment="1">
      <alignment horizontal="right"/>
    </xf>
    <xf numFmtId="0" fontId="2" fillId="0" borderId="17" xfId="16" applyFont="1" applyBorder="1" applyAlignment="1">
      <alignment horizontal="center"/>
    </xf>
    <xf numFmtId="182" fontId="2" fillId="0" borderId="17" xfId="16" applyNumberFormat="1" applyFont="1" applyBorder="1" applyAlignment="1">
      <alignment horizontal="center"/>
    </xf>
    <xf numFmtId="43" fontId="2" fillId="0" borderId="17" xfId="17" applyFont="1" applyBorder="1" applyAlignment="1">
      <alignment horizontal="center"/>
    </xf>
    <xf numFmtId="0" fontId="2" fillId="0" borderId="17" xfId="16" applyFont="1" applyBorder="1"/>
    <xf numFmtId="0" fontId="2" fillId="0" borderId="18" xfId="16" applyFont="1" applyBorder="1"/>
    <xf numFmtId="0" fontId="2" fillId="0" borderId="19" xfId="16" applyFont="1" applyBorder="1"/>
    <xf numFmtId="0" fontId="2" fillId="0" borderId="0" xfId="16" applyFont="1" applyBorder="1" applyAlignment="1">
      <alignment horizontal="center"/>
    </xf>
    <xf numFmtId="0" fontId="2" fillId="0" borderId="20" xfId="16" applyFont="1" applyBorder="1"/>
    <xf numFmtId="182" fontId="2" fillId="0" borderId="0" xfId="16" applyNumberFormat="1" applyFont="1" applyBorder="1"/>
    <xf numFmtId="0" fontId="2" fillId="0" borderId="13" xfId="16" applyFont="1" applyBorder="1" applyAlignment="1">
      <alignment horizontal="center"/>
    </xf>
    <xf numFmtId="43" fontId="2" fillId="0" borderId="13" xfId="16" applyNumberFormat="1" applyFont="1" applyBorder="1"/>
    <xf numFmtId="43" fontId="2" fillId="2" borderId="20" xfId="16" applyNumberFormat="1" applyFont="1" applyFill="1" applyBorder="1"/>
    <xf numFmtId="0" fontId="34" fillId="0" borderId="0" xfId="16" applyFont="1"/>
    <xf numFmtId="0" fontId="2" fillId="0" borderId="21" xfId="16" applyFont="1" applyBorder="1"/>
    <xf numFmtId="0" fontId="2" fillId="0" borderId="22" xfId="16" applyFont="1" applyBorder="1"/>
    <xf numFmtId="0" fontId="2" fillId="0" borderId="24" xfId="16" applyFont="1" applyBorder="1"/>
    <xf numFmtId="49" fontId="32" fillId="0" borderId="0" xfId="19" applyNumberFormat="1" applyFont="1" applyAlignment="1">
      <alignment horizontal="centerContinuous"/>
    </xf>
    <xf numFmtId="182" fontId="2" fillId="0" borderId="0" xfId="19" applyFont="1" applyAlignment="1">
      <alignment horizontal="centerContinuous"/>
    </xf>
    <xf numFmtId="182" fontId="2" fillId="0" borderId="0" xfId="19" applyFont="1" applyAlignment="1">
      <alignment horizontal="center"/>
    </xf>
    <xf numFmtId="182" fontId="2" fillId="0" borderId="7" xfId="19" applyFont="1" applyFill="1" applyBorder="1" applyAlignment="1">
      <alignment horizontal="center"/>
    </xf>
    <xf numFmtId="181" fontId="33" fillId="0" borderId="7" xfId="19" applyNumberFormat="1" applyFont="1" applyFill="1" applyBorder="1" applyAlignment="1">
      <alignment horizontal="centerContinuous"/>
    </xf>
    <xf numFmtId="182" fontId="2" fillId="0" borderId="7" xfId="19" applyFont="1" applyFill="1" applyBorder="1" applyAlignment="1">
      <alignment horizontal="centerContinuous"/>
    </xf>
    <xf numFmtId="0" fontId="6" fillId="0" borderId="0" xfId="28" applyFont="1" applyFill="1" applyBorder="1"/>
    <xf numFmtId="49" fontId="35" fillId="0" borderId="0" xfId="10" applyNumberFormat="1" applyFont="1" applyFill="1" applyBorder="1" applyAlignment="1">
      <alignment horizontal="center"/>
    </xf>
    <xf numFmtId="43" fontId="35" fillId="0" borderId="0" xfId="19" applyNumberFormat="1" applyFont="1" applyFill="1" applyProtection="1"/>
    <xf numFmtId="43" fontId="34" fillId="0" borderId="0" xfId="17" applyFont="1" applyFill="1" applyAlignment="1">
      <alignment horizontal="left"/>
    </xf>
    <xf numFmtId="43" fontId="34" fillId="0" borderId="0" xfId="17" applyFont="1" applyFill="1" applyAlignment="1">
      <alignment horizontal="right"/>
    </xf>
    <xf numFmtId="182" fontId="2" fillId="0" borderId="0" xfId="19" applyFont="1" applyFill="1" applyBorder="1"/>
    <xf numFmtId="182" fontId="6" fillId="0" borderId="0" xfId="19" applyFont="1" applyFill="1"/>
    <xf numFmtId="182" fontId="36" fillId="0" borderId="0" xfId="19" applyFont="1" applyFill="1" applyAlignment="1">
      <alignment horizontal="center"/>
    </xf>
    <xf numFmtId="43" fontId="2" fillId="0" borderId="12" xfId="17" applyFont="1" applyFill="1" applyBorder="1" applyAlignment="1" applyProtection="1"/>
    <xf numFmtId="43" fontId="2" fillId="0" borderId="12" xfId="17" applyFont="1" applyFill="1" applyBorder="1" applyAlignment="1"/>
    <xf numFmtId="182" fontId="37" fillId="0" borderId="16" xfId="19" applyFont="1" applyBorder="1"/>
    <xf numFmtId="0" fontId="38" fillId="0" borderId="17" xfId="19" applyNumberFormat="1" applyFont="1" applyBorder="1" applyAlignment="1">
      <alignment horizontal="right"/>
    </xf>
    <xf numFmtId="0" fontId="37" fillId="0" borderId="17" xfId="19" applyNumberFormat="1" applyFont="1" applyBorder="1" applyAlignment="1">
      <alignment horizontal="center"/>
    </xf>
    <xf numFmtId="182" fontId="37" fillId="0" borderId="17" xfId="19" applyNumberFormat="1" applyFont="1" applyBorder="1" applyAlignment="1">
      <alignment horizontal="center"/>
    </xf>
    <xf numFmtId="43" fontId="37" fillId="0" borderId="17" xfId="17" applyFont="1" applyBorder="1" applyAlignment="1">
      <alignment horizontal="center"/>
    </xf>
    <xf numFmtId="0" fontId="37" fillId="0" borderId="17" xfId="19" applyNumberFormat="1" applyFont="1" applyBorder="1"/>
    <xf numFmtId="182" fontId="37" fillId="0" borderId="17" xfId="19" applyFont="1" applyBorder="1"/>
    <xf numFmtId="0" fontId="37" fillId="0" borderId="18" xfId="19" applyNumberFormat="1" applyFont="1" applyBorder="1"/>
    <xf numFmtId="182" fontId="37" fillId="0" borderId="19" xfId="19" applyFont="1" applyBorder="1"/>
    <xf numFmtId="182" fontId="37" fillId="0" borderId="0" xfId="19" applyFont="1" applyBorder="1"/>
    <xf numFmtId="0" fontId="37" fillId="0" borderId="0" xfId="19" applyNumberFormat="1" applyFont="1" applyBorder="1"/>
    <xf numFmtId="174" fontId="37" fillId="0" borderId="0" xfId="19" applyNumberFormat="1" applyFont="1"/>
    <xf numFmtId="43" fontId="37" fillId="0" borderId="0" xfId="17" applyFont="1"/>
    <xf numFmtId="182" fontId="37" fillId="0" borderId="0" xfId="19" applyFont="1" applyAlignment="1">
      <alignment horizontal="center"/>
    </xf>
    <xf numFmtId="43" fontId="37" fillId="0" borderId="0" xfId="19" applyNumberFormat="1" applyFont="1" applyBorder="1"/>
    <xf numFmtId="182" fontId="37" fillId="0" borderId="20" xfId="19" applyFont="1" applyBorder="1"/>
    <xf numFmtId="0" fontId="37" fillId="0" borderId="0" xfId="19" applyNumberFormat="1" applyFont="1" applyBorder="1" applyAlignment="1">
      <alignment horizontal="center"/>
    </xf>
    <xf numFmtId="43" fontId="37" fillId="0" borderId="0" xfId="17" applyFont="1" applyBorder="1"/>
    <xf numFmtId="182" fontId="37" fillId="0" borderId="0" xfId="19" applyFont="1"/>
    <xf numFmtId="182" fontId="37" fillId="0" borderId="21" xfId="19" applyFont="1" applyBorder="1"/>
    <xf numFmtId="182" fontId="37" fillId="0" borderId="22" xfId="19" applyFont="1" applyBorder="1"/>
    <xf numFmtId="0" fontId="37" fillId="0" borderId="22" xfId="19" applyNumberFormat="1" applyFont="1" applyBorder="1"/>
    <xf numFmtId="182" fontId="37" fillId="0" borderId="22" xfId="19" applyNumberFormat="1" applyFont="1" applyBorder="1"/>
    <xf numFmtId="43" fontId="37" fillId="0" borderId="22" xfId="17" applyFont="1" applyBorder="1"/>
    <xf numFmtId="182" fontId="37" fillId="0" borderId="23" xfId="19" applyNumberFormat="1" applyFont="1" applyBorder="1" applyAlignment="1">
      <alignment horizontal="center"/>
    </xf>
    <xf numFmtId="43" fontId="37" fillId="0" borderId="23" xfId="19" applyNumberFormat="1" applyFont="1" applyBorder="1"/>
    <xf numFmtId="43" fontId="37" fillId="0" borderId="23" xfId="17" applyFont="1" applyBorder="1"/>
    <xf numFmtId="43" fontId="37" fillId="2" borderId="24" xfId="19" applyNumberFormat="1" applyFont="1" applyFill="1" applyBorder="1"/>
    <xf numFmtId="181" fontId="13" fillId="0" borderId="0" xfId="87" applyNumberFormat="1" applyFont="1"/>
    <xf numFmtId="4" fontId="13" fillId="0" borderId="0" xfId="87" applyNumberFormat="1" applyFont="1" applyFill="1"/>
    <xf numFmtId="4" fontId="2" fillId="0" borderId="0" xfId="87" applyNumberFormat="1" applyAlignment="1">
      <alignment horizontal="center"/>
    </xf>
    <xf numFmtId="0" fontId="2" fillId="0" borderId="0" xfId="87"/>
    <xf numFmtId="7" fontId="57" fillId="0" borderId="0" xfId="87" applyNumberFormat="1" applyFont="1"/>
    <xf numFmtId="7" fontId="6" fillId="0" borderId="0" xfId="87" applyNumberFormat="1" applyFont="1"/>
    <xf numFmtId="7" fontId="2" fillId="0" borderId="0" xfId="87" applyNumberFormat="1"/>
    <xf numFmtId="181" fontId="2" fillId="0" borderId="0" xfId="87" applyNumberFormat="1"/>
    <xf numFmtId="181" fontId="6" fillId="0" borderId="0" xfId="87" applyNumberFormat="1" applyFont="1" applyAlignment="1">
      <alignment horizontal="left"/>
    </xf>
    <xf numFmtId="4" fontId="6" fillId="0" borderId="0" xfId="87" applyNumberFormat="1" applyFont="1" applyFill="1" applyAlignment="1">
      <alignment horizontal="left"/>
    </xf>
    <xf numFmtId="181" fontId="6" fillId="0" borderId="0" xfId="87" applyNumberFormat="1" applyFont="1"/>
    <xf numFmtId="4" fontId="6" fillId="0" borderId="0" xfId="87" applyNumberFormat="1" applyFont="1" applyFill="1"/>
    <xf numFmtId="4" fontId="6" fillId="0" borderId="0" xfId="87" applyNumberFormat="1" applyFont="1" applyAlignment="1">
      <alignment horizontal="center"/>
    </xf>
    <xf numFmtId="0" fontId="6" fillId="0" borderId="0" xfId="87" applyFont="1"/>
    <xf numFmtId="0" fontId="6" fillId="0" borderId="0" xfId="87" applyFont="1" applyAlignment="1">
      <alignment horizontal="right"/>
    </xf>
    <xf numFmtId="7" fontId="6" fillId="0" borderId="0" xfId="87" applyNumberFormat="1" applyFont="1" applyAlignment="1">
      <alignment horizontal="center"/>
    </xf>
    <xf numFmtId="181" fontId="6" fillId="0" borderId="0" xfId="87" applyNumberFormat="1" applyFont="1" applyAlignment="1">
      <alignment horizontal="center"/>
    </xf>
    <xf numFmtId="4" fontId="2" fillId="6" borderId="0" xfId="87" applyNumberFormat="1" applyFill="1"/>
    <xf numFmtId="181" fontId="2" fillId="0" borderId="0" xfId="87" applyNumberFormat="1" applyFont="1" applyAlignment="1">
      <alignment horizontal="left"/>
    </xf>
    <xf numFmtId="4" fontId="2" fillId="6" borderId="0" xfId="87" applyNumberFormat="1" applyFill="1" applyAlignment="1">
      <alignment horizontal="left"/>
    </xf>
    <xf numFmtId="7" fontId="6" fillId="17" borderId="0" xfId="87" applyNumberFormat="1" applyFont="1" applyFill="1" applyProtection="1"/>
    <xf numFmtId="169" fontId="2" fillId="0" borderId="0" xfId="87" applyNumberFormat="1"/>
    <xf numFmtId="181" fontId="2" fillId="0" borderId="0" xfId="87" applyNumberFormat="1" applyAlignment="1" applyProtection="1">
      <alignment horizontal="right"/>
    </xf>
    <xf numFmtId="4" fontId="58" fillId="0" borderId="0" xfId="87" applyNumberFormat="1" applyFont="1" applyFill="1" applyAlignment="1">
      <alignment horizontal="right" vertical="top"/>
    </xf>
    <xf numFmtId="7" fontId="2" fillId="0" borderId="0" xfId="87" applyNumberFormat="1" applyProtection="1"/>
    <xf numFmtId="169" fontId="6" fillId="0" borderId="0" xfId="87" applyNumberFormat="1" applyFont="1"/>
    <xf numFmtId="169" fontId="57" fillId="0" borderId="0" xfId="87" applyNumberFormat="1" applyFont="1"/>
    <xf numFmtId="10" fontId="2" fillId="0" borderId="0" xfId="87" applyNumberFormat="1"/>
    <xf numFmtId="5" fontId="15" fillId="3" borderId="0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9" borderId="19" xfId="0" applyFill="1" applyBorder="1"/>
    <xf numFmtId="0" fontId="59" fillId="9" borderId="0" xfId="0" applyFont="1" applyFill="1" applyBorder="1" applyAlignment="1">
      <alignment horizontal="center"/>
    </xf>
    <xf numFmtId="0" fontId="59" fillId="9" borderId="20" xfId="0" applyFont="1" applyFill="1" applyBorder="1" applyAlignment="1">
      <alignment horizontal="center"/>
    </xf>
    <xf numFmtId="0" fontId="0" fillId="2" borderId="19" xfId="0" applyFill="1" applyBorder="1"/>
    <xf numFmtId="0" fontId="59" fillId="2" borderId="0" xfId="0" applyFont="1" applyFill="1" applyBorder="1" applyAlignment="1">
      <alignment horizontal="center"/>
    </xf>
    <xf numFmtId="0" fontId="59" fillId="2" borderId="20" xfId="0" applyFont="1" applyFill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60" fillId="0" borderId="0" xfId="0" applyFont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60" fillId="0" borderId="0" xfId="0" applyFont="1"/>
    <xf numFmtId="0" fontId="0" fillId="9" borderId="0" xfId="0" applyFill="1" applyBorder="1"/>
    <xf numFmtId="0" fontId="0" fillId="9" borderId="20" xfId="0" applyFill="1" applyBorder="1"/>
    <xf numFmtId="0" fontId="0" fillId="2" borderId="0" xfId="0" applyFill="1" applyBorder="1"/>
    <xf numFmtId="0" fontId="0" fillId="2" borderId="20" xfId="0" applyFill="1" applyBorder="1"/>
    <xf numFmtId="15" fontId="2" fillId="0" borderId="0" xfId="0" quotePrefix="1" applyNumberFormat="1" applyFont="1"/>
    <xf numFmtId="166" fontId="0" fillId="0" borderId="0" xfId="2" applyNumberFormat="1" applyFont="1"/>
    <xf numFmtId="168" fontId="3" fillId="0" borderId="0" xfId="1" applyNumberFormat="1" applyFont="1"/>
    <xf numFmtId="0" fontId="0" fillId="0" borderId="0" xfId="0" applyAlignment="1">
      <alignment horizontal="left"/>
    </xf>
    <xf numFmtId="15" fontId="0" fillId="0" borderId="0" xfId="0" applyNumberFormat="1"/>
    <xf numFmtId="10" fontId="2" fillId="9" borderId="19" xfId="2" applyNumberFormat="1" applyFont="1" applyFill="1" applyBorder="1"/>
    <xf numFmtId="10" fontId="2" fillId="2" borderId="19" xfId="2" applyNumberFormat="1" applyFont="1" applyFill="1" applyBorder="1"/>
    <xf numFmtId="168" fontId="61" fillId="0" borderId="0" xfId="1" applyNumberFormat="1" applyFont="1"/>
    <xf numFmtId="14" fontId="0" fillId="0" borderId="0" xfId="0" applyNumberFormat="1" applyAlignment="1">
      <alignment horizontal="center"/>
    </xf>
    <xf numFmtId="14" fontId="2" fillId="0" borderId="0" xfId="0" quotePrefix="1" applyNumberFormat="1" applyFont="1" applyAlignment="1">
      <alignment horizontal="left"/>
    </xf>
    <xf numFmtId="14" fontId="2" fillId="0" borderId="0" xfId="0" applyNumberFormat="1" applyFont="1"/>
    <xf numFmtId="15" fontId="0" fillId="0" borderId="0" xfId="0" quotePrefix="1" applyNumberFormat="1"/>
    <xf numFmtId="0" fontId="2" fillId="0" borderId="0" xfId="0" applyFont="1" applyAlignment="1">
      <alignment horizontal="right"/>
    </xf>
    <xf numFmtId="0" fontId="60" fillId="0" borderId="0" xfId="0" quotePrefix="1" applyFont="1" applyAlignment="1">
      <alignment horizontal="left"/>
    </xf>
    <xf numFmtId="15" fontId="0" fillId="9" borderId="19" xfId="0" applyNumberFormat="1" applyFill="1" applyBorder="1"/>
    <xf numFmtId="10" fontId="2" fillId="9" borderId="0" xfId="2" applyNumberFormat="1" applyFont="1" applyFill="1" applyBorder="1"/>
    <xf numFmtId="15" fontId="0" fillId="2" borderId="19" xfId="0" applyNumberFormat="1" applyFill="1" applyBorder="1"/>
    <xf numFmtId="10" fontId="2" fillId="2" borderId="0" xfId="2" applyNumberFormat="1" applyFont="1" applyFill="1" applyBorder="1"/>
    <xf numFmtId="0" fontId="0" fillId="0" borderId="0" xfId="0" quotePrefix="1"/>
    <xf numFmtId="166" fontId="2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0" fontId="0" fillId="0" borderId="0" xfId="0" applyNumberFormat="1"/>
    <xf numFmtId="0" fontId="2" fillId="0" borderId="0" xfId="0" applyFont="1"/>
    <xf numFmtId="168" fontId="0" fillId="0" borderId="0" xfId="0" applyNumberFormat="1"/>
    <xf numFmtId="169" fontId="2" fillId="0" borderId="0" xfId="2" applyNumberFormat="1" applyFont="1"/>
    <xf numFmtId="169" fontId="2" fillId="9" borderId="19" xfId="2" applyNumberFormat="1" applyFont="1" applyFill="1" applyBorder="1" applyAlignment="1">
      <alignment horizontal="right"/>
    </xf>
    <xf numFmtId="10" fontId="2" fillId="9" borderId="20" xfId="2" applyNumberFormat="1" applyFont="1" applyFill="1" applyBorder="1"/>
    <xf numFmtId="169" fontId="2" fillId="2" borderId="19" xfId="2" applyNumberFormat="1" applyFont="1" applyFill="1" applyBorder="1" applyAlignment="1">
      <alignment horizontal="right"/>
    </xf>
    <xf numFmtId="10" fontId="2" fillId="2" borderId="20" xfId="2" applyNumberFormat="1" applyFont="1" applyFill="1" applyBorder="1"/>
    <xf numFmtId="164" fontId="0" fillId="0" borderId="0" xfId="0" quotePrefix="1" applyNumberFormat="1" applyAlignment="1">
      <alignment horizontal="left"/>
    </xf>
    <xf numFmtId="164" fontId="0" fillId="0" borderId="0" xfId="0" applyNumberFormat="1" applyAlignment="1">
      <alignment horizontal="left"/>
    </xf>
    <xf numFmtId="169" fontId="2" fillId="18" borderId="0" xfId="2" applyNumberFormat="1" applyFont="1" applyFill="1"/>
    <xf numFmtId="0" fontId="0" fillId="0" borderId="0" xfId="0" quotePrefix="1" applyAlignment="1">
      <alignment horizontal="center"/>
    </xf>
    <xf numFmtId="169" fontId="2" fillId="0" borderId="0" xfId="0" applyNumberFormat="1" applyFont="1"/>
    <xf numFmtId="169" fontId="2" fillId="0" borderId="0" xfId="2" applyNumberFormat="1" applyFont="1" applyAlignment="1">
      <alignment horizontal="left"/>
    </xf>
    <xf numFmtId="169" fontId="2" fillId="0" borderId="0" xfId="0" applyNumberFormat="1" applyFont="1" applyFill="1"/>
    <xf numFmtId="169" fontId="2" fillId="9" borderId="0" xfId="2" applyNumberFormat="1" applyFont="1" applyFill="1" applyBorder="1"/>
    <xf numFmtId="185" fontId="3" fillId="0" borderId="0" xfId="64" applyNumberFormat="1" applyFont="1"/>
    <xf numFmtId="15" fontId="0" fillId="19" borderId="0" xfId="0" quotePrefix="1" applyNumberFormat="1" applyFill="1" applyAlignment="1">
      <alignment horizontal="left"/>
    </xf>
    <xf numFmtId="14" fontId="0" fillId="19" borderId="0" xfId="0" applyNumberFormat="1" applyFill="1"/>
    <xf numFmtId="0" fontId="0" fillId="19" borderId="0" xfId="0" applyFill="1"/>
    <xf numFmtId="0" fontId="2" fillId="19" borderId="0" xfId="0" applyFont="1" applyFill="1" applyAlignment="1">
      <alignment horizontal="center"/>
    </xf>
    <xf numFmtId="10" fontId="2" fillId="19" borderId="0" xfId="2" applyNumberFormat="1" applyFont="1" applyFill="1" applyAlignment="1">
      <alignment horizontal="right"/>
    </xf>
    <xf numFmtId="166" fontId="2" fillId="19" borderId="0" xfId="2" applyNumberFormat="1" applyFont="1" applyFill="1"/>
    <xf numFmtId="10" fontId="0" fillId="19" borderId="0" xfId="0" applyNumberFormat="1" applyFill="1"/>
    <xf numFmtId="168" fontId="3" fillId="19" borderId="0" xfId="1" applyNumberFormat="1" applyFont="1" applyFill="1"/>
    <xf numFmtId="14" fontId="0" fillId="0" borderId="0" xfId="0" quotePrefix="1" applyNumberFormat="1" applyAlignment="1">
      <alignment horizontal="center"/>
    </xf>
    <xf numFmtId="15" fontId="0" fillId="0" borderId="0" xfId="0" quotePrefix="1" applyNumberFormat="1" applyAlignment="1">
      <alignment horizontal="left"/>
    </xf>
    <xf numFmtId="15" fontId="0" fillId="0" borderId="0" xfId="0" applyNumberFormat="1" applyAlignment="1">
      <alignment horizontal="left"/>
    </xf>
    <xf numFmtId="0" fontId="2" fillId="0" borderId="0" xfId="0" applyFont="1" applyFill="1" applyAlignment="1">
      <alignment horizontal="center"/>
    </xf>
    <xf numFmtId="10" fontId="0" fillId="0" borderId="0" xfId="2" applyNumberFormat="1" applyFont="1" applyAlignment="1">
      <alignment horizontal="right"/>
    </xf>
    <xf numFmtId="15" fontId="0" fillId="0" borderId="0" xfId="0" quotePrefix="1" applyNumberFormat="1" applyFill="1" applyAlignment="1">
      <alignment horizontal="left"/>
    </xf>
    <xf numFmtId="14" fontId="0" fillId="0" borderId="0" xfId="0" applyNumberFormat="1" applyFill="1"/>
    <xf numFmtId="10" fontId="0" fillId="0" borderId="0" xfId="2" applyNumberFormat="1" applyFont="1" applyFill="1" applyAlignment="1">
      <alignment horizontal="right"/>
    </xf>
    <xf numFmtId="166" fontId="0" fillId="0" borderId="0" xfId="2" applyNumberFormat="1" applyFont="1" applyFill="1"/>
    <xf numFmtId="10" fontId="0" fillId="0" borderId="0" xfId="0" applyNumberFormat="1" applyFill="1"/>
    <xf numFmtId="0" fontId="0" fillId="0" borderId="0" xfId="0" quotePrefix="1" applyFill="1" applyAlignment="1">
      <alignment horizontal="center"/>
    </xf>
    <xf numFmtId="15" fontId="0" fillId="0" borderId="0" xfId="0" applyNumberFormat="1" applyFill="1"/>
    <xf numFmtId="168" fontId="0" fillId="0" borderId="0" xfId="0" applyNumberFormat="1" applyFill="1"/>
    <xf numFmtId="169" fontId="2" fillId="0" borderId="0" xfId="2" applyNumberFormat="1" applyFont="1" applyFill="1"/>
    <xf numFmtId="0" fontId="2" fillId="0" borderId="0" xfId="0" applyFont="1" applyFill="1"/>
    <xf numFmtId="14" fontId="0" fillId="0" borderId="0" xfId="0" quotePrefix="1" applyNumberFormat="1" applyFill="1" applyAlignment="1">
      <alignment horizontal="center"/>
    </xf>
    <xf numFmtId="168" fontId="61" fillId="0" borderId="0" xfId="1" applyNumberFormat="1" applyFont="1" applyFill="1"/>
    <xf numFmtId="0" fontId="2" fillId="0" borderId="0" xfId="0" quotePrefix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8" fontId="4" fillId="0" borderId="0" xfId="0" applyNumberFormat="1" applyFont="1"/>
    <xf numFmtId="15" fontId="6" fillId="0" borderId="0" xfId="0" applyNumberFormat="1" applyFont="1"/>
    <xf numFmtId="168" fontId="6" fillId="0" borderId="0" xfId="0" applyNumberFormat="1" applyFont="1"/>
    <xf numFmtId="10" fontId="6" fillId="9" borderId="0" xfId="0" applyNumberFormat="1" applyFont="1" applyFill="1" applyBorder="1"/>
    <xf numFmtId="10" fontId="2" fillId="2" borderId="19" xfId="2" applyNumberFormat="1" applyFont="1" applyFill="1" applyBorder="1" applyAlignment="1">
      <alignment horizontal="right"/>
    </xf>
    <xf numFmtId="10" fontId="6" fillId="2" borderId="0" xfId="2" applyNumberFormat="1" applyFont="1" applyFill="1" applyBorder="1"/>
    <xf numFmtId="168" fontId="3" fillId="0" borderId="0" xfId="0" applyNumberFormat="1" applyFont="1"/>
    <xf numFmtId="10" fontId="6" fillId="2" borderId="0" xfId="0" applyNumberFormat="1" applyFont="1" applyFill="1" applyBorder="1"/>
    <xf numFmtId="0" fontId="3" fillId="0" borderId="0" xfId="0" applyFont="1"/>
    <xf numFmtId="15" fontId="0" fillId="0" borderId="0" xfId="0" quotePrefix="1" applyNumberFormat="1" applyFill="1"/>
    <xf numFmtId="166" fontId="2" fillId="0" borderId="0" xfId="2" applyNumberFormat="1" applyFont="1" applyFill="1" applyAlignment="1">
      <alignment horizontal="right"/>
    </xf>
    <xf numFmtId="0" fontId="0" fillId="0" borderId="0" xfId="0" quotePrefix="1" applyFill="1"/>
    <xf numFmtId="14" fontId="0" fillId="0" borderId="0" xfId="0" applyNumberFormat="1" applyFill="1" applyAlignment="1">
      <alignment horizontal="right"/>
    </xf>
    <xf numFmtId="166" fontId="2" fillId="0" borderId="0" xfId="2" applyNumberFormat="1" applyFont="1" applyFill="1"/>
    <xf numFmtId="0" fontId="0" fillId="20" borderId="0" xfId="0" applyFill="1"/>
    <xf numFmtId="0" fontId="0" fillId="0" borderId="0" xfId="0" applyFill="1" applyAlignment="1">
      <alignment horizontal="right"/>
    </xf>
    <xf numFmtId="10" fontId="3" fillId="9" borderId="0" xfId="2" applyNumberFormat="1" applyFont="1" applyFill="1" applyBorder="1"/>
    <xf numFmtId="10" fontId="3" fillId="2" borderId="0" xfId="2" applyNumberFormat="1" applyFont="1" applyFill="1" applyBorder="1"/>
    <xf numFmtId="168" fontId="3" fillId="0" borderId="0" xfId="0" applyNumberFormat="1" applyFont="1" applyBorder="1"/>
    <xf numFmtId="168" fontId="0" fillId="0" borderId="0" xfId="0" applyNumberFormat="1" applyBorder="1"/>
    <xf numFmtId="10" fontId="6" fillId="9" borderId="0" xfId="2" applyNumberFormat="1" applyFont="1" applyFill="1" applyBorder="1"/>
    <xf numFmtId="10" fontId="0" fillId="9" borderId="0" xfId="0" applyNumberFormat="1" applyFill="1" applyBorder="1"/>
    <xf numFmtId="10" fontId="0" fillId="9" borderId="20" xfId="0" applyNumberFormat="1" applyFill="1" applyBorder="1"/>
    <xf numFmtId="10" fontId="0" fillId="2" borderId="0" xfId="0" applyNumberFormat="1" applyFill="1" applyBorder="1"/>
    <xf numFmtId="10" fontId="0" fillId="2" borderId="20" xfId="0" applyNumberFormat="1" applyFill="1" applyBorder="1"/>
    <xf numFmtId="169" fontId="6" fillId="0" borderId="0" xfId="0" applyNumberFormat="1" applyFont="1"/>
    <xf numFmtId="169" fontId="6" fillId="9" borderId="19" xfId="2" applyNumberFormat="1" applyFont="1" applyFill="1" applyBorder="1" applyAlignment="1">
      <alignment horizontal="right"/>
    </xf>
    <xf numFmtId="0" fontId="6" fillId="9" borderId="0" xfId="0" applyFont="1" applyFill="1" applyBorder="1"/>
    <xf numFmtId="0" fontId="6" fillId="9" borderId="20" xfId="0" applyFont="1" applyFill="1" applyBorder="1"/>
    <xf numFmtId="169" fontId="6" fillId="2" borderId="19" xfId="2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20" xfId="0" applyFont="1" applyFill="1" applyBorder="1"/>
    <xf numFmtId="168" fontId="0" fillId="9" borderId="0" xfId="0" applyNumberFormat="1" applyFill="1" applyBorder="1"/>
    <xf numFmtId="168" fontId="0" fillId="9" borderId="20" xfId="0" applyNumberFormat="1" applyFill="1" applyBorder="1"/>
    <xf numFmtId="168" fontId="0" fillId="2" borderId="0" xfId="0" applyNumberFormat="1" applyFill="1" applyBorder="1"/>
    <xf numFmtId="168" fontId="0" fillId="2" borderId="20" xfId="0" applyNumberFormat="1" applyFill="1" applyBorder="1"/>
    <xf numFmtId="168" fontId="0" fillId="0" borderId="0" xfId="0" applyNumberFormat="1" applyFill="1" applyBorder="1"/>
    <xf numFmtId="0" fontId="25" fillId="9" borderId="0" xfId="0" applyFont="1" applyFill="1" applyBorder="1"/>
    <xf numFmtId="0" fontId="25" fillId="2" borderId="0" xfId="0" applyFont="1" applyFill="1" applyBorder="1"/>
    <xf numFmtId="168" fontId="61" fillId="0" borderId="0" xfId="0" applyNumberFormat="1" applyFont="1"/>
    <xf numFmtId="169" fontId="0" fillId="9" borderId="19" xfId="0" applyNumberFormat="1" applyFill="1" applyBorder="1"/>
    <xf numFmtId="10" fontId="6" fillId="2" borderId="19" xfId="2" applyNumberFormat="1" applyFont="1" applyFill="1" applyBorder="1"/>
    <xf numFmtId="10" fontId="6" fillId="2" borderId="20" xfId="2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0" fontId="6" fillId="9" borderId="20" xfId="0" applyNumberFormat="1" applyFont="1" applyFill="1" applyBorder="1"/>
    <xf numFmtId="10" fontId="6" fillId="21" borderId="0" xfId="2" applyNumberFormat="1" applyFont="1" applyFill="1" applyBorder="1"/>
    <xf numFmtId="0" fontId="25" fillId="0" borderId="0" xfId="0" applyFont="1" applyBorder="1"/>
    <xf numFmtId="168" fontId="25" fillId="0" borderId="0" xfId="0" applyNumberFormat="1" applyFont="1"/>
    <xf numFmtId="0" fontId="25" fillId="0" borderId="0" xfId="0" applyFont="1"/>
    <xf numFmtId="0" fontId="24" fillId="0" borderId="0" xfId="0" applyFont="1" applyBorder="1"/>
    <xf numFmtId="0" fontId="6" fillId="9" borderId="0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62" fillId="0" borderId="0" xfId="0" applyFont="1"/>
    <xf numFmtId="0" fontId="0" fillId="9" borderId="21" xfId="0" applyFill="1" applyBorder="1"/>
    <xf numFmtId="0" fontId="0" fillId="9" borderId="22" xfId="0" applyFill="1" applyBorder="1"/>
    <xf numFmtId="168" fontId="0" fillId="9" borderId="22" xfId="0" applyNumberFormat="1" applyFill="1" applyBorder="1" applyAlignment="1">
      <alignment horizontal="center"/>
    </xf>
    <xf numFmtId="168" fontId="0" fillId="9" borderId="24" xfId="0" applyNumberFormat="1" applyFill="1" applyBorder="1"/>
    <xf numFmtId="0" fontId="0" fillId="2" borderId="21" xfId="0" applyFill="1" applyBorder="1"/>
    <xf numFmtId="0" fontId="0" fillId="2" borderId="22" xfId="0" applyFill="1" applyBorder="1"/>
    <xf numFmtId="168" fontId="2" fillId="2" borderId="22" xfId="1" applyNumberFormat="1" applyFont="1" applyFill="1" applyBorder="1"/>
    <xf numFmtId="168" fontId="2" fillId="2" borderId="24" xfId="1" applyNumberFormat="1" applyFont="1" applyFill="1" applyBorder="1"/>
    <xf numFmtId="38" fontId="0" fillId="0" borderId="0" xfId="0" applyNumberFormat="1"/>
    <xf numFmtId="0" fontId="4" fillId="0" borderId="0" xfId="16" applyFont="1" applyAlignment="1">
      <alignment horizontal="center"/>
    </xf>
    <xf numFmtId="43" fontId="2" fillId="0" borderId="0" xfId="3" applyNumberFormat="1" applyFont="1"/>
    <xf numFmtId="174" fontId="37" fillId="0" borderId="0" xfId="19" applyNumberFormat="1" applyFont="1" applyBorder="1"/>
    <xf numFmtId="39" fontId="15" fillId="0" borderId="0" xfId="16" applyNumberFormat="1" applyFont="1" applyBorder="1"/>
    <xf numFmtId="0" fontId="6" fillId="0" borderId="0" xfId="87" applyFont="1" applyFill="1" applyBorder="1" applyAlignment="1">
      <alignment horizontal="center"/>
    </xf>
    <xf numFmtId="164" fontId="19" fillId="3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8" fillId="0" borderId="7" xfId="0" applyFont="1" applyFill="1" applyBorder="1" applyAlignment="1">
      <alignment horizontal="center"/>
    </xf>
    <xf numFmtId="0" fontId="21" fillId="0" borderId="7" xfId="0" applyFont="1" applyBorder="1" applyAlignment="1"/>
    <xf numFmtId="0" fontId="0" fillId="0" borderId="7" xfId="0" applyBorder="1" applyAlignment="1"/>
    <xf numFmtId="0" fontId="3" fillId="0" borderId="0" xfId="0" applyFont="1" applyFill="1" applyAlignment="1">
      <alignment wrapText="1"/>
    </xf>
    <xf numFmtId="0" fontId="6" fillId="6" borderId="0" xfId="3" quotePrefix="1" applyFont="1" applyFill="1" applyAlignment="1">
      <alignment horizontal="center"/>
    </xf>
    <xf numFmtId="0" fontId="6" fillId="6" borderId="0" xfId="3" applyFont="1" applyFill="1" applyAlignment="1">
      <alignment horizontal="center"/>
    </xf>
    <xf numFmtId="172" fontId="6" fillId="6" borderId="0" xfId="3" quotePrefix="1" applyNumberFormat="1" applyFont="1" applyFill="1" applyAlignment="1">
      <alignment horizontal="center"/>
    </xf>
    <xf numFmtId="171" fontId="6" fillId="6" borderId="0" xfId="4" applyNumberFormat="1" applyFont="1" applyFill="1" applyAlignment="1">
      <alignment horizontal="center"/>
    </xf>
    <xf numFmtId="43" fontId="4" fillId="0" borderId="0" xfId="17" applyFont="1" applyAlignment="1">
      <alignment horizontal="center"/>
    </xf>
    <xf numFmtId="0" fontId="4" fillId="0" borderId="0" xfId="16" applyFont="1" applyAlignment="1">
      <alignment horizontal="center"/>
    </xf>
    <xf numFmtId="0" fontId="4" fillId="0" borderId="0" xfId="16" applyNumberFormat="1" applyFont="1" applyAlignment="1">
      <alignment horizontal="center"/>
    </xf>
    <xf numFmtId="182" fontId="6" fillId="0" borderId="0" xfId="16" applyNumberFormat="1" applyFont="1" applyAlignment="1">
      <alignment horizontal="center"/>
    </xf>
    <xf numFmtId="182" fontId="6" fillId="0" borderId="0" xfId="19" applyFont="1" applyAlignment="1">
      <alignment horizontal="center"/>
    </xf>
    <xf numFmtId="4" fontId="6" fillId="0" borderId="0" xfId="87" applyNumberFormat="1" applyFont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9" fillId="9" borderId="0" xfId="0" applyFont="1" applyFill="1" applyBorder="1" applyAlignment="1">
      <alignment horizontal="center"/>
    </xf>
    <xf numFmtId="0" fontId="59" fillId="2" borderId="0" xfId="0" applyFont="1" applyFill="1" applyBorder="1" applyAlignment="1">
      <alignment horizontal="center"/>
    </xf>
  </cellXfs>
  <cellStyles count="184">
    <cellStyle name="20% - Accent3 2" xfId="20"/>
    <cellStyle name="Calculation 2" xfId="21"/>
    <cellStyle name="ColumnAttributeAbovePrompt" xfId="31"/>
    <cellStyle name="ColumnAttributePrompt" xfId="32"/>
    <cellStyle name="ColumnAttributeValue" xfId="33"/>
    <cellStyle name="ColumnHeadingPrompt" xfId="34"/>
    <cellStyle name="ColumnHeadingValue" xfId="35"/>
    <cellStyle name="Comma" xfId="1" builtinId="3"/>
    <cellStyle name="Comma 2" xfId="17"/>
    <cellStyle name="Comma 2 2" xfId="22"/>
    <cellStyle name="Comma 2 2 2" xfId="30"/>
    <cellStyle name="Comma 2 3" xfId="36"/>
    <cellStyle name="Comma 2 4" xfId="37"/>
    <cellStyle name="Comma 3" xfId="18"/>
    <cellStyle name="Comma 3 10" xfId="38"/>
    <cellStyle name="Comma 3 11" xfId="39"/>
    <cellStyle name="Comma 3 2" xfId="40"/>
    <cellStyle name="Comma 3 2 2" xfId="41"/>
    <cellStyle name="Comma 3 2 2 2" xfId="42"/>
    <cellStyle name="Comma 3 2 3" xfId="43"/>
    <cellStyle name="Comma 3 2 3 2" xfId="44"/>
    <cellStyle name="Comma 3 2 4" xfId="45"/>
    <cellStyle name="Comma 3 3" xfId="46"/>
    <cellStyle name="Comma 3 3 2" xfId="47"/>
    <cellStyle name="Comma 3 4" xfId="48"/>
    <cellStyle name="Comma 3 4 2" xfId="49"/>
    <cellStyle name="Comma 3 5" xfId="50"/>
    <cellStyle name="Comma 3 6" xfId="51"/>
    <cellStyle name="Comma 3 7" xfId="52"/>
    <cellStyle name="Comma 3 8" xfId="53"/>
    <cellStyle name="Comma 3 9" xfId="54"/>
    <cellStyle name="Comma 4" xfId="55"/>
    <cellStyle name="Comma 4 2" xfId="56"/>
    <cellStyle name="Comma 4 3" xfId="57"/>
    <cellStyle name="Comma 5" xfId="58"/>
    <cellStyle name="Comma 5 2" xfId="59"/>
    <cellStyle name="Comma 6" xfId="60"/>
    <cellStyle name="Comma 7" xfId="61"/>
    <cellStyle name="Comma 8" xfId="62"/>
    <cellStyle name="Comma 9" xfId="63"/>
    <cellStyle name="Comma0" xfId="5"/>
    <cellStyle name="Currency 10" xfId="64"/>
    <cellStyle name="Currency 2" xfId="4"/>
    <cellStyle name="Currency 2 2" xfId="6"/>
    <cellStyle name="Currency 2 3" xfId="65"/>
    <cellStyle name="Currency 2 4" xfId="66"/>
    <cellStyle name="Currency 3" xfId="29"/>
    <cellStyle name="Currency 3 2" xfId="67"/>
    <cellStyle name="Currency 4" xfId="68"/>
    <cellStyle name="Currency 4 2" xfId="69"/>
    <cellStyle name="Currency 5" xfId="70"/>
    <cellStyle name="Currency 6" xfId="71"/>
    <cellStyle name="Currency 7" xfId="72"/>
    <cellStyle name="Currency 8" xfId="73"/>
    <cellStyle name="Currency 9" xfId="74"/>
    <cellStyle name="Currency0" xfId="7"/>
    <cellStyle name="Date" xfId="8"/>
    <cellStyle name="F2" xfId="75"/>
    <cellStyle name="F3" xfId="76"/>
    <cellStyle name="F4" xfId="77"/>
    <cellStyle name="F5" xfId="78"/>
    <cellStyle name="F6" xfId="79"/>
    <cellStyle name="F7" xfId="80"/>
    <cellStyle name="F8" xfId="81"/>
    <cellStyle name="Fixed" xfId="9"/>
    <cellStyle name="Hyperlink 2" xfId="82"/>
    <cellStyle name="Input 2" xfId="23"/>
    <cellStyle name="LineItemPrompt" xfId="83"/>
    <cellStyle name="LineItemValue" xfId="84"/>
    <cellStyle name="Normal" xfId="0" builtinId="0"/>
    <cellStyle name="Normal 10" xfId="85"/>
    <cellStyle name="Normal 11" xfId="86"/>
    <cellStyle name="Normal 12" xfId="87"/>
    <cellStyle name="Normal 19" xfId="88"/>
    <cellStyle name="Normal 2" xfId="3"/>
    <cellStyle name="Normal 2 2" xfId="24"/>
    <cellStyle name="Normal 2 2 2" xfId="25"/>
    <cellStyle name="Normal 2 2 2 2" xfId="89"/>
    <cellStyle name="Normal 2 2 3" xfId="90"/>
    <cellStyle name="Normal 2 2 3 2" xfId="91"/>
    <cellStyle name="Normal 2 2 4" xfId="92"/>
    <cellStyle name="Normal 2 2 5" xfId="93"/>
    <cellStyle name="Normal 2 3" xfId="28"/>
    <cellStyle name="Normal 2 3 2" xfId="94"/>
    <cellStyle name="Normal 2 4" xfId="95"/>
    <cellStyle name="Normal 2 4 2" xfId="96"/>
    <cellStyle name="Normal 2 5" xfId="97"/>
    <cellStyle name="Normal 2 5 2" xfId="98"/>
    <cellStyle name="Normal 2 6" xfId="99"/>
    <cellStyle name="Normal 2 7" xfId="100"/>
    <cellStyle name="Normal 2 8" xfId="101"/>
    <cellStyle name="Normal 2 9" xfId="102"/>
    <cellStyle name="Normal 3" xfId="10"/>
    <cellStyle name="Normal 3 2" xfId="26"/>
    <cellStyle name="Normal 4" xfId="11"/>
    <cellStyle name="Normal 4 2" xfId="103"/>
    <cellStyle name="Normal 4 2 2" xfId="104"/>
    <cellStyle name="Normal 4 2 2 2" xfId="105"/>
    <cellStyle name="Normal 4 2 3" xfId="106"/>
    <cellStyle name="Normal 4 2 3 2" xfId="107"/>
    <cellStyle name="Normal 4 2 4" xfId="108"/>
    <cellStyle name="Normal 4 3" xfId="109"/>
    <cellStyle name="Normal 4 3 2" xfId="110"/>
    <cellStyle name="Normal 4 4" xfId="111"/>
    <cellStyle name="Normal 4 4 2" xfId="112"/>
    <cellStyle name="Normal 4 5" xfId="113"/>
    <cellStyle name="Normal 4 6" xfId="114"/>
    <cellStyle name="Normal 5" xfId="12"/>
    <cellStyle name="Normal 5 2" xfId="13"/>
    <cellStyle name="Normal 6" xfId="14"/>
    <cellStyle name="Normal 6 2" xfId="115"/>
    <cellStyle name="Normal 6 2 2" xfId="116"/>
    <cellStyle name="Normal 6 3" xfId="117"/>
    <cellStyle name="Normal 6 3 2" xfId="118"/>
    <cellStyle name="Normal 6 4" xfId="119"/>
    <cellStyle name="Normal 6 5" xfId="120"/>
    <cellStyle name="Normal 6 6" xfId="121"/>
    <cellStyle name="Normal 6 7" xfId="122"/>
    <cellStyle name="Normal 6 8" xfId="123"/>
    <cellStyle name="Normal 6 9" xfId="124"/>
    <cellStyle name="Normal 7" xfId="125"/>
    <cellStyle name="Normal 8" xfId="126"/>
    <cellStyle name="Normal 9" xfId="127"/>
    <cellStyle name="Normal_Input" xfId="16"/>
    <cellStyle name="Normal_Input 2" xfId="19"/>
    <cellStyle name="OUTPUT AMOUNTS" xfId="128"/>
    <cellStyle name="OUTPUT COLUMN HEADINGS" xfId="129"/>
    <cellStyle name="OUTPUT LINE ITEMS" xfId="130"/>
    <cellStyle name="OUTPUT REPORT HEADING" xfId="131"/>
    <cellStyle name="OUTPUT REPORT TITLE" xfId="132"/>
    <cellStyle name="Percen - Style1" xfId="133"/>
    <cellStyle name="Percent" xfId="2" builtinId="5"/>
    <cellStyle name="Percent 10" xfId="134"/>
    <cellStyle name="Percent 2" xfId="15"/>
    <cellStyle name="Percent 2 2" xfId="27"/>
    <cellStyle name="Percent 2 2 2" xfId="135"/>
    <cellStyle name="Percent 2 2 2 2" xfId="136"/>
    <cellStyle name="Percent 2 2 3" xfId="137"/>
    <cellStyle name="Percent 2 2 3 2" xfId="138"/>
    <cellStyle name="Percent 2 2 4" xfId="139"/>
    <cellStyle name="Percent 2 3" xfId="140"/>
    <cellStyle name="Percent 2 3 2" xfId="141"/>
    <cellStyle name="Percent 2 4" xfId="142"/>
    <cellStyle name="Percent 2 4 2" xfId="143"/>
    <cellStyle name="Percent 2 5" xfId="144"/>
    <cellStyle name="Percent 2 5 2" xfId="145"/>
    <cellStyle name="Percent 2 6" xfId="146"/>
    <cellStyle name="Percent 2 7" xfId="147"/>
    <cellStyle name="Percent 3" xfId="148"/>
    <cellStyle name="Percent 3 2" xfId="149"/>
    <cellStyle name="Percent 4" xfId="150"/>
    <cellStyle name="Percent 4 2" xfId="151"/>
    <cellStyle name="Percent 4 2 2" xfId="152"/>
    <cellStyle name="Percent 4 2 2 2" xfId="153"/>
    <cellStyle name="Percent 4 2 3" xfId="154"/>
    <cellStyle name="Percent 4 2 3 2" xfId="155"/>
    <cellStyle name="Percent 4 2 4" xfId="156"/>
    <cellStyle name="Percent 4 3" xfId="157"/>
    <cellStyle name="Percent 4 3 2" xfId="158"/>
    <cellStyle name="Percent 4 4" xfId="159"/>
    <cellStyle name="Percent 4 4 2" xfId="160"/>
    <cellStyle name="Percent 4 5" xfId="161"/>
    <cellStyle name="Percent 5" xfId="162"/>
    <cellStyle name="Percent 6" xfId="163"/>
    <cellStyle name="Percent 7" xfId="164"/>
    <cellStyle name="Percent 8" xfId="165"/>
    <cellStyle name="Percent 9" xfId="166"/>
    <cellStyle name="PSChar" xfId="167"/>
    <cellStyle name="PSDec" xfId="168"/>
    <cellStyle name="ReportTitlePrompt" xfId="169"/>
    <cellStyle name="ReportTitleValue" xfId="170"/>
    <cellStyle name="RowAcctAbovePrompt" xfId="171"/>
    <cellStyle name="RowAcctSOBAbovePrompt" xfId="172"/>
    <cellStyle name="RowAcctSOBValue" xfId="173"/>
    <cellStyle name="RowAcctValue" xfId="174"/>
    <cellStyle name="RowAttrAbovePrompt" xfId="175"/>
    <cellStyle name="RowAttrValue" xfId="176"/>
    <cellStyle name="RowColSetAbovePrompt" xfId="177"/>
    <cellStyle name="RowColSetLeftPrompt" xfId="178"/>
    <cellStyle name="RowColSetValue" xfId="179"/>
    <cellStyle name="RowLeftPrompt" xfId="180"/>
    <cellStyle name="SampleUsingFormatMask" xfId="181"/>
    <cellStyle name="SampleWithNoFormatMask" xfId="182"/>
    <cellStyle name="UploadThisRowValue" xfId="183"/>
  </cellStyles>
  <dxfs count="0"/>
  <tableStyles count="0" defaultTableStyle="TableStyleMedium9" defaultPivotStyle="PivotStyleLight16"/>
  <colors>
    <mruColors>
      <color rgb="FFCCFFCC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342900</xdr:colOff>
          <xdr:row>60</xdr:row>
          <xdr:rowOff>95250</xdr:rowOff>
        </xdr:to>
        <xdr:sp macro="" textlink="">
          <xdr:nvSpPr>
            <xdr:cNvPr id="1251331" name="Object 3" hidden="1">
              <a:extLst>
                <a:ext uri="{63B3BB69-23CF-44E3-9099-C40C66FF867C}">
                  <a14:compatExt spid="_x0000_s125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ure%20Fishing\MODEL%20TO%20BANKS\Pure%20Fishing%20Base%20Case%202003%20Monthly%20Model%20031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veraged%20Finance\Diversified%20Industries\Manufacturing%20and%20Ind.%20Tech\P&amp;L%20Coal\P&amp;L%20Coal%202002%20Deal\Credit\Natural%20Gas%20and%20GDP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_grad\Energy\RV%20Secondary%20Energy%202005%20Jan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BT%20JOURNAL%20ENTRIES\2014\01-%20Jan%202014\KU\J113-0110-0913%20AMORT%20DEBT%20DISCOUN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BT%20JOURNAL%20ENTRIES\2013\11-%20Nov%202013\KU\J043-0110-0913%20AMORT%20EXP%20AND%20LOSS%20ON%20DEBT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BT%20JOURNAL%20ENTRIES\2014\01-%20Jan%202014\KU\J114-0110-0913%20REVOLVING%20CREDIT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BT%20JOURNAL%20ENTRIES\2014\01-%20Jan%202014\KU\J043-0110-0114%20AMORT%20EXP%20AND%20LOSS%20ON%20DEB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Model"/>
      <sheetName val="Bank Case - Blair"/>
      <sheetName val="Bank Case Buildup"/>
      <sheetName val="Net Sales"/>
      <sheetName val="Gross Profit"/>
      <sheetName val="expenses"/>
      <sheetName val="monthly - base case"/>
      <sheetName val="Standalone Base C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GDP"/>
      <sheetName val="Real GDP (2)"/>
      <sheetName val="Natural gas"/>
      <sheetName val="Consumption vs. GDP"/>
    </sheetNames>
    <sheetDataSet>
      <sheetData sheetId="0" refreshError="1"/>
      <sheetData sheetId="1" refreshError="1"/>
      <sheetData sheetId="2">
        <row r="3">
          <cell r="A3" t="e">
            <v>#NAME?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 Sheet"/>
      <sheetName val="Tenor Adjustments"/>
      <sheetName val="Secondary"/>
      <sheetName val="Secondary ENB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113-0110"/>
      <sheetName val="Input"/>
      <sheetName val="KU 250M"/>
      <sheetName val="KU 500M"/>
      <sheetName val="KU 750M"/>
      <sheetName val="orig file with debt disc ex"/>
      <sheetName val="Sheet2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/>
      <sheetData sheetId="5">
        <row r="32">
          <cell r="D32">
            <v>14583.333333333334</v>
          </cell>
        </row>
      </sheetData>
      <sheetData sheetId="6">
        <row r="32">
          <cell r="D32">
            <v>15750</v>
          </cell>
        </row>
      </sheetData>
      <sheetData sheetId="7">
        <row r="32">
          <cell r="D32">
            <v>22604.166666666668</v>
          </cell>
        </row>
      </sheetData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043-0110"/>
      <sheetName val="Debt Exp Input"/>
      <sheetName val="Expense Amortization Tables"/>
      <sheetName val="Loss Input"/>
      <sheetName val="Loss Amortization Tables"/>
      <sheetName val="186004-2013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>
        <row r="111">
          <cell r="CI111">
            <v>14759584.181219324</v>
          </cell>
        </row>
      </sheetData>
      <sheetData sheetId="6"/>
      <sheetData sheetId="7">
        <row r="96">
          <cell r="BM96">
            <v>10720114.096411936</v>
          </cell>
        </row>
      </sheetData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114-0110"/>
      <sheetName val="Input"/>
      <sheetName val="Amort. Table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/>
      <sheetData sheetId="5">
        <row r="59">
          <cell r="G59">
            <v>56387.14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043-0110"/>
      <sheetName val="Debt Exp Input"/>
      <sheetName val="Expense Amortization Tables"/>
      <sheetName val="Loss Input"/>
      <sheetName val="Loss Amortization Tables"/>
      <sheetName val="186004-2013"/>
      <sheetName val="186004-2014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4">
    <tabColor rgb="FFFF0000"/>
    <pageSetUpPr fitToPage="1"/>
  </sheetPr>
  <dimension ref="A1:V84"/>
  <sheetViews>
    <sheetView tabSelected="1" topLeftCell="A37" zoomScale="80" zoomScaleNormal="80" zoomScaleSheetLayoutView="95" workbookViewId="0">
      <selection activeCell="F56" sqref="F56"/>
    </sheetView>
  </sheetViews>
  <sheetFormatPr defaultColWidth="9.7109375" defaultRowHeight="15" x14ac:dyDescent="0.2"/>
  <cols>
    <col min="1" max="1" width="46.7109375" style="1" customWidth="1"/>
    <col min="2" max="2" width="12.7109375" style="1" customWidth="1"/>
    <col min="3" max="3" width="9.85546875" style="1" bestFit="1" customWidth="1"/>
    <col min="4" max="4" width="11.85546875" style="1" bestFit="1" customWidth="1"/>
    <col min="5" max="5" width="5.42578125" style="1" customWidth="1"/>
    <col min="6" max="6" width="18.85546875" style="1" bestFit="1" customWidth="1"/>
    <col min="7" max="7" width="6.28515625" style="1" bestFit="1" customWidth="1"/>
    <col min="8" max="8" width="19" style="1" customWidth="1"/>
    <col min="9" max="9" width="6.28515625" style="1" bestFit="1" customWidth="1"/>
    <col min="10" max="10" width="4.42578125" style="1" bestFit="1" customWidth="1"/>
    <col min="11" max="11" width="17" style="1" bestFit="1" customWidth="1"/>
    <col min="12" max="12" width="6.28515625" style="1" bestFit="1" customWidth="1"/>
    <col min="13" max="13" width="6.28515625" style="1" customWidth="1"/>
    <col min="14" max="14" width="18.5703125" style="1" bestFit="1" customWidth="1"/>
    <col min="15" max="15" width="6.28515625" style="1" bestFit="1" customWidth="1"/>
    <col min="16" max="16" width="15.85546875" style="1" customWidth="1"/>
    <col min="17" max="17" width="2.28515625" style="1" customWidth="1"/>
    <col min="18" max="18" width="15.7109375" style="1" customWidth="1"/>
    <col min="19" max="19" width="1.7109375" style="1" customWidth="1"/>
    <col min="20" max="20" width="2.7109375" style="1" customWidth="1"/>
    <col min="21" max="21" width="12.42578125" style="61" bestFit="1" customWidth="1"/>
    <col min="22" max="22" width="0.7109375" style="1" customWidth="1"/>
    <col min="23" max="23" width="10.28515625" style="1" customWidth="1"/>
    <col min="24" max="16384" width="9.7109375" style="1"/>
  </cols>
  <sheetData>
    <row r="1" spans="1:22" ht="15.75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1"/>
      <c r="V1" s="3"/>
    </row>
    <row r="2" spans="1:22" ht="15.75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1"/>
      <c r="V2" s="3"/>
    </row>
    <row r="3" spans="1:22" ht="15.75" x14ac:dyDescent="0.25">
      <c r="A3" s="495">
        <v>41578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</row>
    <row r="4" spans="1:22" ht="15.75" x14ac:dyDescent="0.25">
      <c r="A4" s="89"/>
      <c r="B4" s="3"/>
      <c r="C4" s="3"/>
      <c r="D4" s="3"/>
      <c r="E4" s="3"/>
      <c r="F4" s="86"/>
      <c r="G4" s="86"/>
      <c r="H4" s="118"/>
      <c r="I4" s="86"/>
      <c r="J4" s="86"/>
      <c r="K4" s="86"/>
      <c r="L4" s="3"/>
      <c r="M4" s="3"/>
      <c r="N4" s="3"/>
      <c r="O4" s="3"/>
      <c r="P4" s="3"/>
      <c r="Q4" s="3"/>
      <c r="R4" s="3"/>
      <c r="S4" s="3"/>
      <c r="T4" s="3"/>
      <c r="U4" s="51"/>
      <c r="V4" s="3"/>
    </row>
    <row r="5" spans="1:22" ht="15.75" x14ac:dyDescent="0.25">
      <c r="A5" s="498" t="s">
        <v>68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500"/>
      <c r="S5" s="500"/>
      <c r="T5" s="500"/>
      <c r="U5" s="51"/>
      <c r="V5" s="3"/>
    </row>
    <row r="6" spans="1:22" ht="15.75" x14ac:dyDescent="0.25">
      <c r="A6" s="90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52"/>
      <c r="V6" s="7"/>
    </row>
    <row r="7" spans="1:22" ht="15.75" x14ac:dyDescent="0.25">
      <c r="A7" s="9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53"/>
      <c r="V7" s="14"/>
    </row>
    <row r="8" spans="1:22" x14ac:dyDescent="0.2">
      <c r="A8" s="8"/>
      <c r="B8" s="9"/>
      <c r="C8" s="9"/>
      <c r="D8" s="9"/>
      <c r="E8" s="9"/>
      <c r="F8" s="9"/>
      <c r="G8" s="9"/>
      <c r="H8" s="11" t="s">
        <v>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9"/>
      <c r="T8" s="9"/>
      <c r="U8" s="54"/>
      <c r="V8" s="14"/>
    </row>
    <row r="9" spans="1:22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13" t="s">
        <v>4</v>
      </c>
      <c r="L9" s="9"/>
      <c r="M9" s="9"/>
      <c r="N9" s="13" t="s">
        <v>5</v>
      </c>
      <c r="O9" s="13"/>
      <c r="P9" s="13" t="s">
        <v>41</v>
      </c>
      <c r="Q9" s="9"/>
      <c r="R9" s="9"/>
      <c r="S9" s="9"/>
      <c r="T9" s="9"/>
      <c r="U9" s="54" t="s">
        <v>6</v>
      </c>
      <c r="V9" s="10"/>
    </row>
    <row r="10" spans="1:22" ht="30" x14ac:dyDescent="0.2">
      <c r="A10" s="8"/>
      <c r="B10" s="15" t="s">
        <v>7</v>
      </c>
      <c r="C10" s="13"/>
      <c r="D10" s="15" t="s">
        <v>8</v>
      </c>
      <c r="E10" s="13"/>
      <c r="F10" s="15" t="s">
        <v>9</v>
      </c>
      <c r="G10" s="13"/>
      <c r="H10" s="15" t="s">
        <v>17</v>
      </c>
      <c r="I10" s="9"/>
      <c r="J10" s="9"/>
      <c r="K10" s="80" t="s">
        <v>55</v>
      </c>
      <c r="L10" s="9"/>
      <c r="M10" s="9"/>
      <c r="N10" s="15" t="s">
        <v>40</v>
      </c>
      <c r="O10" s="15"/>
      <c r="P10" s="15" t="s">
        <v>42</v>
      </c>
      <c r="Q10" s="9"/>
      <c r="R10" s="15" t="s">
        <v>11</v>
      </c>
      <c r="S10" s="9"/>
      <c r="T10" s="9"/>
      <c r="U10" s="55" t="s">
        <v>12</v>
      </c>
      <c r="V10" s="10"/>
    </row>
    <row r="11" spans="1:22" x14ac:dyDescent="0.2">
      <c r="A11" s="8" t="s">
        <v>51</v>
      </c>
      <c r="B11" s="15"/>
      <c r="C11" s="13"/>
      <c r="D11" s="15"/>
      <c r="E11" s="13"/>
      <c r="F11" s="15"/>
      <c r="G11" s="13"/>
      <c r="H11" s="15"/>
      <c r="I11" s="9"/>
      <c r="J11" s="9"/>
      <c r="K11" s="15"/>
      <c r="L11" s="9"/>
      <c r="M11" s="9"/>
      <c r="N11" s="15"/>
      <c r="O11" s="15"/>
      <c r="P11" s="15"/>
      <c r="Q11" s="9"/>
      <c r="R11" s="15"/>
      <c r="S11" s="9"/>
      <c r="T11" s="9"/>
      <c r="U11" s="55"/>
      <c r="V11" s="10"/>
    </row>
    <row r="12" spans="1:22" ht="15.75" x14ac:dyDescent="0.25">
      <c r="A12" s="28" t="s">
        <v>29</v>
      </c>
      <c r="B12" s="43">
        <v>45047</v>
      </c>
      <c r="C12" s="82" t="s">
        <v>85</v>
      </c>
      <c r="D12" s="100">
        <f>'$12.9M'!K191/100</f>
        <v>9.0000000000000247E-4</v>
      </c>
      <c r="E12" s="9" t="s">
        <v>13</v>
      </c>
      <c r="F12" s="64">
        <v>12900000</v>
      </c>
      <c r="G12" s="65"/>
      <c r="H12" s="64">
        <f t="shared" ref="H12:H22" si="0">ROUND(D12*F12,0)</f>
        <v>11610</v>
      </c>
      <c r="I12" s="82" t="s">
        <v>86</v>
      </c>
      <c r="J12" s="112"/>
      <c r="K12" s="66">
        <v>0</v>
      </c>
      <c r="L12" s="82" t="s">
        <v>88</v>
      </c>
      <c r="M12" s="117"/>
      <c r="N12" s="76">
        <f>-ROUND('KU Loss on Reacq'!H13*12,0)</f>
        <v>46931</v>
      </c>
      <c r="O12" s="82"/>
      <c r="P12" s="67">
        <f>ROUND((13059041.1)*0.009,0)+ROUND((13059041.1/198309583.05)*75000000*0.0015,0)+(F12*0.001)</f>
        <v>137839</v>
      </c>
      <c r="Q12" s="88" t="s">
        <v>43</v>
      </c>
      <c r="R12" s="64">
        <f t="shared" ref="R12:R22" si="1">SUM(H12:P12)</f>
        <v>196380</v>
      </c>
      <c r="S12" s="9"/>
      <c r="T12" s="9"/>
      <c r="U12" s="56">
        <f t="shared" ref="U12:U22" si="2">ROUND((R12/F12),5)</f>
        <v>1.5219999999999999E-2</v>
      </c>
      <c r="V12" s="10"/>
    </row>
    <row r="13" spans="1:22" ht="15.75" x14ac:dyDescent="0.25">
      <c r="A13" s="28" t="s">
        <v>30</v>
      </c>
      <c r="B13" s="43">
        <v>11720</v>
      </c>
      <c r="C13" s="82" t="s">
        <v>83</v>
      </c>
      <c r="D13" s="100">
        <f>'$20.9M'!K190/100</f>
        <v>3.6141304347825924E-3</v>
      </c>
      <c r="E13" s="9" t="s">
        <v>13</v>
      </c>
      <c r="F13" s="76">
        <v>20930000</v>
      </c>
      <c r="G13" s="9"/>
      <c r="H13" s="76">
        <f t="shared" si="0"/>
        <v>75644</v>
      </c>
      <c r="I13" s="82" t="s">
        <v>86</v>
      </c>
      <c r="J13" s="112" t="s">
        <v>79</v>
      </c>
      <c r="K13" s="45">
        <f>-ROUND('KU Unamort Debt Exp'!I13*12,0)</f>
        <v>4104</v>
      </c>
      <c r="L13" s="82" t="s">
        <v>88</v>
      </c>
      <c r="M13" s="44"/>
      <c r="N13" s="76">
        <f>-ROUND('KU Loss on Reacq'!H14*12,0)</f>
        <v>36300</v>
      </c>
      <c r="O13" s="82"/>
      <c r="P13" s="45">
        <f>ROUND(F13*0.001,0)</f>
        <v>20930</v>
      </c>
      <c r="Q13" s="9" t="s">
        <v>44</v>
      </c>
      <c r="R13" s="76">
        <f t="shared" si="1"/>
        <v>136978</v>
      </c>
      <c r="S13" s="9"/>
      <c r="T13" s="9"/>
      <c r="U13" s="56">
        <f t="shared" si="2"/>
        <v>6.5399999999999998E-3</v>
      </c>
      <c r="V13" s="10"/>
    </row>
    <row r="14" spans="1:22" ht="15.75" x14ac:dyDescent="0.25">
      <c r="A14" s="8" t="s">
        <v>31</v>
      </c>
      <c r="B14" s="43">
        <v>11720</v>
      </c>
      <c r="C14" s="82" t="s">
        <v>84</v>
      </c>
      <c r="D14" s="100">
        <f>'$2.4M CC2002B'!K190/100</f>
        <v>3.6141304347825924E-3</v>
      </c>
      <c r="E14" s="9" t="s">
        <v>13</v>
      </c>
      <c r="F14" s="76">
        <v>2400000</v>
      </c>
      <c r="G14" s="9"/>
      <c r="H14" s="76">
        <f t="shared" si="0"/>
        <v>8674</v>
      </c>
      <c r="I14" s="82" t="s">
        <v>86</v>
      </c>
      <c r="J14" s="112" t="s">
        <v>79</v>
      </c>
      <c r="K14" s="45">
        <f>-ROUND('KU Unamort Debt Exp'!I14*12,0)</f>
        <v>2856</v>
      </c>
      <c r="L14" s="82" t="s">
        <v>88</v>
      </c>
      <c r="M14" s="44"/>
      <c r="N14" s="76">
        <f>-ROUND('KU Loss on Reacq'!H15*12,0)</f>
        <v>4164</v>
      </c>
      <c r="O14" s="82"/>
      <c r="P14" s="45">
        <f>ROUND(F14*0.001,0)</f>
        <v>2400</v>
      </c>
      <c r="Q14" s="9" t="s">
        <v>44</v>
      </c>
      <c r="R14" s="76">
        <f t="shared" si="1"/>
        <v>18094</v>
      </c>
      <c r="S14" s="9"/>
      <c r="T14" s="9"/>
      <c r="U14" s="56">
        <f t="shared" si="2"/>
        <v>7.5399999999999998E-3</v>
      </c>
      <c r="V14" s="10"/>
    </row>
    <row r="15" spans="1:22" ht="15.75" x14ac:dyDescent="0.25">
      <c r="A15" s="8" t="s">
        <v>32</v>
      </c>
      <c r="B15" s="43">
        <v>11720</v>
      </c>
      <c r="C15" s="82" t="s">
        <v>77</v>
      </c>
      <c r="D15" s="100">
        <f>'$2.4M Muhl'!K190/100</f>
        <v>3.6521739130434628E-3</v>
      </c>
      <c r="E15" s="9" t="s">
        <v>13</v>
      </c>
      <c r="F15" s="76">
        <v>2400000</v>
      </c>
      <c r="G15" s="9"/>
      <c r="H15" s="76">
        <f t="shared" si="0"/>
        <v>8765</v>
      </c>
      <c r="I15" s="82" t="s">
        <v>86</v>
      </c>
      <c r="J15" s="112" t="s">
        <v>79</v>
      </c>
      <c r="K15" s="45">
        <f>-ROUND('KU Unamort Debt Exp'!I16*12,0)</f>
        <v>1140</v>
      </c>
      <c r="L15" s="82" t="s">
        <v>88</v>
      </c>
      <c r="M15" s="44"/>
      <c r="N15" s="76">
        <f>-ROUND(('KU Loss on Reacq'!H17)*12,0)</f>
        <v>12900</v>
      </c>
      <c r="O15" s="82"/>
      <c r="P15" s="45">
        <f>ROUND(F15*0.001,0)</f>
        <v>2400</v>
      </c>
      <c r="Q15" s="9" t="s">
        <v>44</v>
      </c>
      <c r="R15" s="76">
        <f t="shared" si="1"/>
        <v>25205</v>
      </c>
      <c r="S15" s="9"/>
      <c r="T15" s="9"/>
      <c r="U15" s="56">
        <f t="shared" si="2"/>
        <v>1.0500000000000001E-2</v>
      </c>
      <c r="V15" s="10"/>
    </row>
    <row r="16" spans="1:22" ht="15.75" x14ac:dyDescent="0.25">
      <c r="A16" s="28" t="s">
        <v>33</v>
      </c>
      <c r="B16" s="43">
        <v>11720</v>
      </c>
      <c r="C16" s="82" t="s">
        <v>60</v>
      </c>
      <c r="D16" s="100">
        <f>'$7.4M'!K190/100</f>
        <v>3.5902173913043324E-3</v>
      </c>
      <c r="E16" s="9" t="s">
        <v>13</v>
      </c>
      <c r="F16" s="76">
        <v>7400000</v>
      </c>
      <c r="G16" s="9"/>
      <c r="H16" s="76">
        <f t="shared" si="0"/>
        <v>26568</v>
      </c>
      <c r="I16" s="82" t="s">
        <v>86</v>
      </c>
      <c r="J16" s="112" t="s">
        <v>79</v>
      </c>
      <c r="K16" s="45">
        <f>-ROUND('KU Unamort Debt Exp'!I15*12,0)</f>
        <v>3180</v>
      </c>
      <c r="L16" s="82" t="s">
        <v>88</v>
      </c>
      <c r="M16" s="44"/>
      <c r="N16" s="76">
        <f>-ROUND('KU Loss on Reacq'!H16*12,0)</f>
        <v>12744</v>
      </c>
      <c r="O16" s="82"/>
      <c r="P16" s="45">
        <f>ROUND(F16*0.001,0)</f>
        <v>7400</v>
      </c>
      <c r="Q16" s="9" t="s">
        <v>44</v>
      </c>
      <c r="R16" s="76">
        <f t="shared" si="1"/>
        <v>49892</v>
      </c>
      <c r="S16" s="9"/>
      <c r="T16" s="9"/>
      <c r="U16" s="56">
        <f t="shared" si="2"/>
        <v>6.7400000000000003E-3</v>
      </c>
      <c r="V16" s="10"/>
    </row>
    <row r="17" spans="1:22" ht="15.75" x14ac:dyDescent="0.25">
      <c r="A17" s="28" t="s">
        <v>34</v>
      </c>
      <c r="B17" s="43">
        <v>11963</v>
      </c>
      <c r="C17" s="82" t="s">
        <v>73</v>
      </c>
      <c r="D17" s="100">
        <f>'$96M'!K190/100</f>
        <v>1.787391304347829E-3</v>
      </c>
      <c r="E17" s="9" t="s">
        <v>13</v>
      </c>
      <c r="F17" s="76">
        <v>96000000</v>
      </c>
      <c r="G17" s="9"/>
      <c r="H17" s="76">
        <f t="shared" si="0"/>
        <v>171590</v>
      </c>
      <c r="I17" s="82" t="s">
        <v>86</v>
      </c>
      <c r="J17" s="112" t="s">
        <v>79</v>
      </c>
      <c r="K17" s="45">
        <f>-ROUND('KU Unamort Debt Exp'!I17*12,0)</f>
        <v>73658</v>
      </c>
      <c r="L17" s="82" t="s">
        <v>88</v>
      </c>
      <c r="M17" s="44"/>
      <c r="N17" s="76">
        <f>-ROUND('KU Loss on Reacq'!H18*12,0)</f>
        <v>186036</v>
      </c>
      <c r="O17" s="82"/>
      <c r="P17" s="45">
        <f>ROUND(F17*0.0014,0)+166138</f>
        <v>300538</v>
      </c>
      <c r="Q17" s="9" t="s">
        <v>45</v>
      </c>
      <c r="R17" s="76">
        <f t="shared" si="1"/>
        <v>731822</v>
      </c>
      <c r="S17" s="9"/>
      <c r="T17" s="9"/>
      <c r="U17" s="56">
        <f t="shared" si="2"/>
        <v>7.62E-3</v>
      </c>
      <c r="V17" s="10"/>
    </row>
    <row r="18" spans="1:22" ht="15.75" x14ac:dyDescent="0.25">
      <c r="A18" s="28" t="s">
        <v>35</v>
      </c>
      <c r="B18" s="43">
        <v>49218</v>
      </c>
      <c r="C18" s="82" t="s">
        <v>61</v>
      </c>
      <c r="D18" s="100">
        <f>'$50M'!K190/100</f>
        <v>9.619565217391324E-4</v>
      </c>
      <c r="E18" s="9" t="s">
        <v>13</v>
      </c>
      <c r="F18" s="76">
        <v>50000000</v>
      </c>
      <c r="G18" s="9"/>
      <c r="H18" s="76">
        <f t="shared" si="0"/>
        <v>48098</v>
      </c>
      <c r="I18" s="82" t="s">
        <v>86</v>
      </c>
      <c r="J18" s="112" t="s">
        <v>79</v>
      </c>
      <c r="K18" s="77">
        <v>0</v>
      </c>
      <c r="L18" s="82" t="s">
        <v>88</v>
      </c>
      <c r="M18" s="117"/>
      <c r="N18" s="76">
        <f>-ROUND('KU Loss on Reacq'!H19*12,0)</f>
        <v>105113</v>
      </c>
      <c r="O18" s="82"/>
      <c r="P18" s="45">
        <f>ROUND(50863013.7*0.009,0)+ROUND((50863013.7/198309583.05)*75000000*0.0015,0)+(F18*0.001)</f>
        <v>536621</v>
      </c>
      <c r="Q18" s="9" t="s">
        <v>43</v>
      </c>
      <c r="R18" s="76">
        <f t="shared" si="1"/>
        <v>689832</v>
      </c>
      <c r="S18" s="9"/>
      <c r="T18" s="9"/>
      <c r="U18" s="56">
        <f t="shared" si="2"/>
        <v>1.38E-2</v>
      </c>
      <c r="V18" s="10"/>
    </row>
    <row r="19" spans="1:22" ht="15.75" x14ac:dyDescent="0.25">
      <c r="A19" s="28" t="s">
        <v>36</v>
      </c>
      <c r="B19" s="43">
        <v>49218</v>
      </c>
      <c r="C19" s="82" t="s">
        <v>63</v>
      </c>
      <c r="D19" s="100">
        <f>'$54M'!K190/100</f>
        <v>9.9130434782608839E-4</v>
      </c>
      <c r="E19" s="9" t="s">
        <v>13</v>
      </c>
      <c r="F19" s="76">
        <v>54000000</v>
      </c>
      <c r="G19" s="9"/>
      <c r="H19" s="76">
        <f t="shared" si="0"/>
        <v>53530</v>
      </c>
      <c r="I19" s="82" t="s">
        <v>86</v>
      </c>
      <c r="J19" s="112" t="s">
        <v>79</v>
      </c>
      <c r="K19" s="45">
        <f>-ROUND('KU Unamort Debt Exp'!I21*12,0)</f>
        <v>48011</v>
      </c>
      <c r="L19" s="18"/>
      <c r="M19" s="44"/>
      <c r="N19" s="76">
        <v>0</v>
      </c>
      <c r="O19" s="82"/>
      <c r="P19" s="45">
        <f>ROUND(54998630.14*0.009,0)+ROUND((54998630.14/198309583.05)*75000000*0.0015,0)+(F19*0.001)</f>
        <v>580188</v>
      </c>
      <c r="Q19" s="9" t="s">
        <v>43</v>
      </c>
      <c r="R19" s="76">
        <f t="shared" si="1"/>
        <v>681729</v>
      </c>
      <c r="S19" s="9"/>
      <c r="T19" s="9"/>
      <c r="U19" s="56">
        <f t="shared" si="2"/>
        <v>1.2619999999999999E-2</v>
      </c>
      <c r="V19" s="10"/>
    </row>
    <row r="20" spans="1:22" ht="15.75" x14ac:dyDescent="0.25">
      <c r="A20" s="28" t="s">
        <v>37</v>
      </c>
      <c r="B20" s="43">
        <v>46054</v>
      </c>
      <c r="C20" s="82" t="s">
        <v>94</v>
      </c>
      <c r="D20" s="47">
        <v>5.7500000000000002E-2</v>
      </c>
      <c r="E20" s="9"/>
      <c r="F20" s="76">
        <v>17875000</v>
      </c>
      <c r="G20" s="9"/>
      <c r="H20" s="76">
        <f t="shared" si="0"/>
        <v>1027813</v>
      </c>
      <c r="I20" s="82" t="s">
        <v>86</v>
      </c>
      <c r="J20" s="112" t="s">
        <v>79</v>
      </c>
      <c r="K20" s="45">
        <f>-ROUND('KU Unamort Debt Exp'!I10*12,0)</f>
        <v>33342</v>
      </c>
      <c r="L20" s="18"/>
      <c r="M20" s="117"/>
      <c r="N20" s="77">
        <v>0</v>
      </c>
      <c r="O20" s="77"/>
      <c r="P20" s="45">
        <v>0</v>
      </c>
      <c r="Q20" s="9"/>
      <c r="R20" s="76">
        <f t="shared" si="1"/>
        <v>1061155</v>
      </c>
      <c r="S20" s="9"/>
      <c r="T20" s="9"/>
      <c r="U20" s="56">
        <f t="shared" si="2"/>
        <v>5.9369999999999999E-2</v>
      </c>
      <c r="V20" s="10"/>
    </row>
    <row r="21" spans="1:22" ht="15.75" x14ac:dyDescent="0.25">
      <c r="A21" s="28" t="s">
        <v>38</v>
      </c>
      <c r="B21" s="43">
        <v>50100</v>
      </c>
      <c r="C21" s="82" t="s">
        <v>94</v>
      </c>
      <c r="D21" s="47">
        <v>0.06</v>
      </c>
      <c r="E21" s="9"/>
      <c r="F21" s="76">
        <v>8927000</v>
      </c>
      <c r="G21" s="9"/>
      <c r="H21" s="76">
        <f t="shared" si="0"/>
        <v>535620</v>
      </c>
      <c r="I21" s="82" t="s">
        <v>86</v>
      </c>
      <c r="J21" s="112" t="s">
        <v>79</v>
      </c>
      <c r="K21" s="45">
        <f>-ROUND('KU Unamort Debt Exp'!I11*12,0)</f>
        <v>16072</v>
      </c>
      <c r="L21" s="18"/>
      <c r="M21" s="117"/>
      <c r="N21" s="77">
        <v>0</v>
      </c>
      <c r="O21" s="77"/>
      <c r="P21" s="45">
        <v>0</v>
      </c>
      <c r="Q21" s="9"/>
      <c r="R21" s="76">
        <f t="shared" si="1"/>
        <v>551692</v>
      </c>
      <c r="S21" s="9"/>
      <c r="T21" s="9"/>
      <c r="U21" s="56">
        <f t="shared" si="2"/>
        <v>6.1800000000000001E-2</v>
      </c>
      <c r="V21" s="10"/>
    </row>
    <row r="22" spans="1:22" ht="15.75" x14ac:dyDescent="0.25">
      <c r="A22" s="28" t="s">
        <v>39</v>
      </c>
      <c r="B22" s="43">
        <v>11720</v>
      </c>
      <c r="C22" s="82" t="s">
        <v>64</v>
      </c>
      <c r="D22" s="100">
        <f>'$77.9M'!K190/100</f>
        <v>9.8804347826087131E-4</v>
      </c>
      <c r="E22" s="9" t="s">
        <v>13</v>
      </c>
      <c r="F22" s="76">
        <v>77947405</v>
      </c>
      <c r="G22" s="9"/>
      <c r="H22" s="76">
        <f t="shared" si="0"/>
        <v>77015</v>
      </c>
      <c r="I22" s="13"/>
      <c r="J22" s="112" t="s">
        <v>79</v>
      </c>
      <c r="K22" s="45">
        <f>-ROUND('KU Unamort Debt Exp'!I12*12,0)</f>
        <v>34503</v>
      </c>
      <c r="L22" s="18"/>
      <c r="M22" s="44"/>
      <c r="N22" s="77">
        <v>0</v>
      </c>
      <c r="O22" s="82"/>
      <c r="P22" s="45">
        <f>ROUND(79388898.11*0.009,0)+ROUND((79388898.11/198309583.05)*75000000*0.0015,0)+(F22*0.001)</f>
        <v>837484.40500000003</v>
      </c>
      <c r="Q22" s="9" t="s">
        <v>43</v>
      </c>
      <c r="R22" s="76">
        <f t="shared" si="1"/>
        <v>949002.40500000003</v>
      </c>
      <c r="S22" s="9"/>
      <c r="T22" s="9"/>
      <c r="U22" s="56">
        <f t="shared" si="2"/>
        <v>1.217E-2</v>
      </c>
      <c r="V22" s="10"/>
    </row>
    <row r="23" spans="1:22" ht="15.75" x14ac:dyDescent="0.25">
      <c r="A23" s="28" t="s">
        <v>14</v>
      </c>
      <c r="B23" s="43"/>
      <c r="C23" s="82"/>
      <c r="D23" s="47"/>
      <c r="E23" s="9"/>
      <c r="F23" s="77"/>
      <c r="G23" s="9"/>
      <c r="H23" s="77">
        <v>0</v>
      </c>
      <c r="I23" s="24"/>
      <c r="J23" s="13"/>
      <c r="K23" s="77">
        <v>0</v>
      </c>
      <c r="L23" s="82" t="s">
        <v>88</v>
      </c>
      <c r="M23" s="116"/>
      <c r="N23" s="76">
        <f>-ROUND('KU Loss on Reacq'!H9*12+'KU Loss on Reacq'!H10*12+'KU Loss on Reacq'!H20*12+'KU Loss on Reacq'!H22*12+'KU Loss on Reacq'!H23*12+'KU Loss on Reacq'!H24*12+'KU Loss on Reacq'!H25*12+'KU Loss on Reacq'!H21*12,0)</f>
        <v>201063</v>
      </c>
      <c r="O23" s="116">
        <v>1</v>
      </c>
      <c r="P23" s="45"/>
      <c r="Q23" s="9"/>
      <c r="R23" s="76">
        <f>+H23+K23+N23+P23</f>
        <v>201063</v>
      </c>
      <c r="S23" s="9"/>
      <c r="T23" s="9"/>
      <c r="U23" s="56"/>
      <c r="V23" s="10"/>
    </row>
    <row r="24" spans="1:22" x14ac:dyDescent="0.2">
      <c r="A24" s="8"/>
      <c r="C24" s="83"/>
      <c r="D24" s="61"/>
      <c r="I24" s="13"/>
      <c r="J24" s="24"/>
      <c r="V24" s="10"/>
    </row>
    <row r="25" spans="1:22" x14ac:dyDescent="0.2">
      <c r="A25" s="28" t="s">
        <v>52</v>
      </c>
      <c r="B25" s="43"/>
      <c r="C25" s="82"/>
      <c r="D25" s="47"/>
      <c r="E25" s="9"/>
      <c r="F25" s="76"/>
      <c r="G25" s="9"/>
      <c r="H25" s="76"/>
      <c r="I25" s="82" t="s">
        <v>86</v>
      </c>
      <c r="J25" s="13"/>
      <c r="K25" s="45"/>
      <c r="L25" s="18"/>
      <c r="M25" s="18"/>
      <c r="N25" s="77"/>
      <c r="O25" s="77"/>
      <c r="P25" s="45"/>
      <c r="Q25" s="9"/>
      <c r="R25" s="76"/>
      <c r="S25" s="9"/>
      <c r="T25" s="9"/>
      <c r="U25" s="56"/>
      <c r="V25" s="10"/>
    </row>
    <row r="26" spans="1:22" ht="15.75" x14ac:dyDescent="0.25">
      <c r="A26" s="28" t="s">
        <v>49</v>
      </c>
      <c r="B26" s="43">
        <v>42309</v>
      </c>
      <c r="C26" s="82" t="s">
        <v>95</v>
      </c>
      <c r="D26" s="109">
        <v>1.6250000000000001E-2</v>
      </c>
      <c r="E26" s="9"/>
      <c r="F26" s="76">
        <v>250000000</v>
      </c>
      <c r="G26" s="9"/>
      <c r="H26" s="76">
        <f t="shared" ref="H26:H30" si="3">ROUND(D26*F26,0)</f>
        <v>4062500</v>
      </c>
      <c r="I26" s="82" t="s">
        <v>87</v>
      </c>
      <c r="J26" s="112" t="s">
        <v>79</v>
      </c>
      <c r="K26" s="45">
        <f>-'KU Unamort Debt Exp'!I18*12</f>
        <v>461126.16000000003</v>
      </c>
      <c r="L26" s="18" t="s">
        <v>56</v>
      </c>
      <c r="M26" s="18"/>
      <c r="N26" s="77"/>
      <c r="O26" s="77"/>
      <c r="P26" s="45">
        <v>0</v>
      </c>
      <c r="Q26" s="9"/>
      <c r="R26" s="76">
        <f t="shared" ref="R26:R31" si="4">+H26+K26+N26+P26</f>
        <v>4523626.16</v>
      </c>
      <c r="S26" s="9"/>
      <c r="T26" s="9"/>
      <c r="U26" s="56">
        <f t="shared" ref="U26:U31" si="5">ROUND((R26/F26),5)</f>
        <v>1.8089999999999998E-2</v>
      </c>
      <c r="V26" s="10"/>
    </row>
    <row r="27" spans="1:22" ht="15.75" x14ac:dyDescent="0.25">
      <c r="A27" s="8" t="s">
        <v>66</v>
      </c>
      <c r="B27" s="43">
        <v>42309</v>
      </c>
      <c r="C27" s="82" t="s">
        <v>95</v>
      </c>
      <c r="D27" s="109">
        <v>1.6250000000000001E-2</v>
      </c>
      <c r="E27" s="82"/>
      <c r="F27" s="102">
        <f>-'KU Debt Disc. FMBs'!J21</f>
        <v>-393750</v>
      </c>
      <c r="G27" s="82" t="s">
        <v>87</v>
      </c>
      <c r="H27" s="76"/>
      <c r="I27" s="82" t="s">
        <v>86</v>
      </c>
      <c r="J27" s="112" t="s">
        <v>80</v>
      </c>
      <c r="K27" s="45">
        <f>-'KU Debt Disc. FMBs'!H8*12</f>
        <v>175000</v>
      </c>
      <c r="L27" s="18" t="s">
        <v>56</v>
      </c>
      <c r="M27" s="18"/>
      <c r="N27" s="77"/>
      <c r="O27" s="77"/>
      <c r="P27" s="45"/>
      <c r="Q27" s="9"/>
      <c r="R27" s="76">
        <f t="shared" si="4"/>
        <v>175000</v>
      </c>
      <c r="S27" s="9"/>
      <c r="T27" s="9"/>
      <c r="U27" s="56">
        <f t="shared" si="5"/>
        <v>-0.44444</v>
      </c>
      <c r="V27" s="10"/>
    </row>
    <row r="28" spans="1:22" ht="15.75" x14ac:dyDescent="0.25">
      <c r="A28" s="28" t="s">
        <v>48</v>
      </c>
      <c r="B28" s="43">
        <v>44136</v>
      </c>
      <c r="C28" s="82" t="s">
        <v>95</v>
      </c>
      <c r="D28" s="109">
        <v>3.2500000000000001E-2</v>
      </c>
      <c r="E28" s="9"/>
      <c r="F28" s="76">
        <v>500000000</v>
      </c>
      <c r="G28" s="9"/>
      <c r="H28" s="76">
        <f t="shared" si="3"/>
        <v>16250000</v>
      </c>
      <c r="I28" s="82" t="s">
        <v>87</v>
      </c>
      <c r="J28" s="112" t="s">
        <v>79</v>
      </c>
      <c r="K28" s="45">
        <f>-'KU Unamort Debt Exp'!I19*12</f>
        <v>418359.96</v>
      </c>
      <c r="L28" s="18" t="s">
        <v>56</v>
      </c>
      <c r="M28" s="18"/>
      <c r="N28" s="77"/>
      <c r="O28" s="77"/>
      <c r="P28" s="45">
        <v>0</v>
      </c>
      <c r="Q28" s="9"/>
      <c r="R28" s="76">
        <f t="shared" si="4"/>
        <v>16668359.960000001</v>
      </c>
      <c r="S28" s="9"/>
      <c r="T28" s="9"/>
      <c r="U28" s="56">
        <f t="shared" si="5"/>
        <v>3.3340000000000002E-2</v>
      </c>
      <c r="V28" s="10"/>
    </row>
    <row r="29" spans="1:22" ht="15.75" x14ac:dyDescent="0.25">
      <c r="A29" s="8" t="s">
        <v>66</v>
      </c>
      <c r="B29" s="43">
        <v>42309</v>
      </c>
      <c r="C29" s="82" t="s">
        <v>95</v>
      </c>
      <c r="D29" s="109">
        <v>3.2500000000000001E-2</v>
      </c>
      <c r="E29" s="82"/>
      <c r="F29" s="102">
        <f>-'KU Debt Disc. FMBs'!J30</f>
        <v>-1370250</v>
      </c>
      <c r="G29" s="82" t="s">
        <v>87</v>
      </c>
      <c r="H29" s="76"/>
      <c r="I29" s="82" t="s">
        <v>86</v>
      </c>
      <c r="J29" s="112" t="s">
        <v>80</v>
      </c>
      <c r="K29" s="45">
        <f>-'KU Debt Disc. FMBs'!H9*12</f>
        <v>189000</v>
      </c>
      <c r="L29" s="18" t="s">
        <v>56</v>
      </c>
      <c r="M29" s="18"/>
      <c r="N29" s="77"/>
      <c r="O29" s="77"/>
      <c r="P29" s="45"/>
      <c r="Q29" s="9"/>
      <c r="R29" s="76">
        <f t="shared" si="4"/>
        <v>189000</v>
      </c>
      <c r="S29" s="9"/>
      <c r="T29" s="9"/>
      <c r="U29" s="56">
        <f t="shared" si="5"/>
        <v>-0.13793</v>
      </c>
      <c r="V29" s="10"/>
    </row>
    <row r="30" spans="1:22" ht="15.75" x14ac:dyDescent="0.25">
      <c r="A30" s="28" t="s">
        <v>50</v>
      </c>
      <c r="B30" s="43">
        <v>51441</v>
      </c>
      <c r="C30" s="82" t="s">
        <v>95</v>
      </c>
      <c r="D30" s="109">
        <v>5.1249999999999997E-2</v>
      </c>
      <c r="E30" s="9"/>
      <c r="F30" s="76">
        <v>750000000</v>
      </c>
      <c r="G30" s="9"/>
      <c r="H30" s="76">
        <f t="shared" si="3"/>
        <v>38437500</v>
      </c>
      <c r="I30" s="82" t="s">
        <v>87</v>
      </c>
      <c r="J30" s="112" t="s">
        <v>79</v>
      </c>
      <c r="K30" s="45">
        <f>-'KU Unamort Debt Exp'!I20*12</f>
        <v>249641.03999999998</v>
      </c>
      <c r="L30" s="18" t="s">
        <v>56</v>
      </c>
      <c r="M30" s="18"/>
      <c r="N30" s="77"/>
      <c r="O30" s="77"/>
      <c r="P30" s="45">
        <v>0</v>
      </c>
      <c r="Q30" s="9"/>
      <c r="R30" s="76">
        <f t="shared" si="4"/>
        <v>38687141.039999999</v>
      </c>
      <c r="S30" s="9"/>
      <c r="T30" s="9"/>
      <c r="U30" s="56">
        <f t="shared" si="5"/>
        <v>5.1580000000000001E-2</v>
      </c>
      <c r="V30" s="10"/>
    </row>
    <row r="31" spans="1:22" ht="15.75" x14ac:dyDescent="0.25">
      <c r="A31" s="8" t="s">
        <v>66</v>
      </c>
      <c r="B31" s="43">
        <v>51441</v>
      </c>
      <c r="C31" s="82" t="s">
        <v>95</v>
      </c>
      <c r="D31" s="109">
        <v>5.1249999999999997E-2</v>
      </c>
      <c r="E31" s="82"/>
      <c r="F31" s="102">
        <f>-'KU Debt Disc. FMBs'!J39</f>
        <v>-7391562.5</v>
      </c>
      <c r="G31" s="82" t="s">
        <v>87</v>
      </c>
      <c r="H31" s="76"/>
      <c r="I31" s="82"/>
      <c r="J31" s="112" t="s">
        <v>80</v>
      </c>
      <c r="K31" s="45">
        <f>-'KU Debt Disc. FMBs'!H10*12</f>
        <v>271250</v>
      </c>
      <c r="L31" s="18" t="s">
        <v>56</v>
      </c>
      <c r="M31" s="18"/>
      <c r="N31" s="77"/>
      <c r="O31" s="77"/>
      <c r="P31" s="45"/>
      <c r="Q31" s="9"/>
      <c r="R31" s="76">
        <f t="shared" si="4"/>
        <v>271250</v>
      </c>
      <c r="S31" s="9"/>
      <c r="T31" s="9"/>
      <c r="U31" s="56">
        <f t="shared" si="5"/>
        <v>-3.6700000000000003E-2</v>
      </c>
      <c r="V31" s="10"/>
    </row>
    <row r="32" spans="1:22" x14ac:dyDescent="0.2">
      <c r="A32" s="8"/>
      <c r="B32" s="43"/>
      <c r="C32" s="82"/>
      <c r="D32" s="47"/>
      <c r="E32" s="9"/>
      <c r="F32" s="98"/>
      <c r="G32" s="82"/>
      <c r="H32" s="76"/>
      <c r="I32" s="82" t="s">
        <v>86</v>
      </c>
      <c r="J32" s="82"/>
      <c r="K32" s="45"/>
      <c r="L32" s="18"/>
      <c r="M32" s="18"/>
      <c r="N32" s="77"/>
      <c r="O32" s="77"/>
      <c r="P32" s="45"/>
      <c r="Q32" s="9"/>
      <c r="R32" s="76"/>
      <c r="S32" s="9"/>
      <c r="T32" s="9"/>
      <c r="U32" s="56"/>
      <c r="V32" s="10"/>
    </row>
    <row r="33" spans="1:22" ht="17.25" customHeight="1" x14ac:dyDescent="0.25">
      <c r="A33" s="31" t="s">
        <v>74</v>
      </c>
      <c r="B33" s="36">
        <v>42090</v>
      </c>
      <c r="C33" s="82"/>
      <c r="D33" s="58"/>
      <c r="E33" s="9"/>
      <c r="F33" s="78"/>
      <c r="G33" s="9"/>
      <c r="H33" s="78"/>
      <c r="I33" s="82" t="s">
        <v>71</v>
      </c>
      <c r="J33" s="112" t="s">
        <v>79</v>
      </c>
      <c r="K33" s="63">
        <f>-'KU Unamort Debt Exp'!I22*12</f>
        <v>2291.64</v>
      </c>
      <c r="L33" s="35"/>
      <c r="M33" s="35"/>
      <c r="N33" s="63"/>
      <c r="O33" s="63"/>
      <c r="P33" s="63"/>
      <c r="Q33" s="29"/>
      <c r="R33" s="63">
        <f>+K33+N33+P33</f>
        <v>2291.64</v>
      </c>
      <c r="S33" s="33"/>
      <c r="T33" s="105"/>
      <c r="U33" s="1"/>
      <c r="V33" s="10"/>
    </row>
    <row r="34" spans="1:22" ht="15.75" x14ac:dyDescent="0.25">
      <c r="A34" s="28" t="s">
        <v>57</v>
      </c>
      <c r="B34" s="43">
        <v>42662</v>
      </c>
      <c r="C34" s="9"/>
      <c r="D34" s="41"/>
      <c r="E34" s="9"/>
      <c r="F34" s="76"/>
      <c r="G34" s="9"/>
      <c r="H34" s="76"/>
      <c r="I34" s="82" t="s">
        <v>71</v>
      </c>
      <c r="J34" s="112" t="s">
        <v>81</v>
      </c>
      <c r="K34" s="113">
        <f>'KU Rev Credit Debt Exp'!M20</f>
        <v>675576.42391304334</v>
      </c>
      <c r="L34" s="116" t="s">
        <v>91</v>
      </c>
      <c r="M34" s="116"/>
      <c r="N34" s="77"/>
      <c r="O34" s="82"/>
      <c r="P34" s="45">
        <f>400000000*0.00125</f>
        <v>500000</v>
      </c>
      <c r="Q34" s="9" t="s">
        <v>46</v>
      </c>
      <c r="R34" s="76">
        <f>+H34+K34+N34+P34</f>
        <v>1175576.4239130435</v>
      </c>
      <c r="S34" s="9"/>
      <c r="T34" s="9"/>
      <c r="U34" s="56"/>
      <c r="V34" s="10"/>
    </row>
    <row r="35" spans="1:22" ht="15.75" x14ac:dyDescent="0.25">
      <c r="A35" s="28" t="s">
        <v>65</v>
      </c>
      <c r="B35" s="43">
        <v>41758</v>
      </c>
      <c r="C35" s="9"/>
      <c r="D35" s="41"/>
      <c r="E35" s="9"/>
      <c r="F35" s="76"/>
      <c r="G35" s="9"/>
      <c r="H35" s="76"/>
      <c r="I35" s="82" t="s">
        <v>62</v>
      </c>
      <c r="J35" s="112" t="s">
        <v>81</v>
      </c>
      <c r="K35" s="113">
        <f>'KU Rev Credit Debt Exp'!M29</f>
        <v>147779.05349999998</v>
      </c>
      <c r="L35" s="9"/>
      <c r="M35" s="9"/>
      <c r="N35" s="77"/>
      <c r="O35" s="77"/>
      <c r="P35" s="45"/>
      <c r="Q35" s="9"/>
      <c r="R35" s="76">
        <f>+H35+K35+N35+P35</f>
        <v>147779.05349999998</v>
      </c>
      <c r="S35" s="9"/>
      <c r="T35" s="9"/>
      <c r="U35" s="56"/>
      <c r="V35" s="10"/>
    </row>
    <row r="36" spans="1:22" ht="15.75" thickBot="1" x14ac:dyDescent="0.25">
      <c r="A36" s="28"/>
      <c r="B36" s="43"/>
      <c r="C36" s="9"/>
      <c r="D36" s="41"/>
      <c r="E36" s="9"/>
      <c r="F36" s="76"/>
      <c r="G36" s="9"/>
      <c r="H36" s="76"/>
      <c r="I36" s="9"/>
      <c r="J36" s="9"/>
      <c r="K36" s="45"/>
      <c r="L36" s="18"/>
      <c r="M36" s="18"/>
      <c r="N36" s="77"/>
      <c r="O36" s="77"/>
      <c r="P36" s="45"/>
      <c r="Q36" s="9"/>
      <c r="R36" s="76"/>
      <c r="S36" s="9"/>
      <c r="T36" s="9"/>
      <c r="U36" s="56"/>
      <c r="V36" s="10"/>
    </row>
    <row r="37" spans="1:22" ht="16.5" thickBot="1" x14ac:dyDescent="0.3">
      <c r="A37" s="87" t="s">
        <v>24</v>
      </c>
      <c r="B37" s="9"/>
      <c r="C37" s="9"/>
      <c r="D37" s="46"/>
      <c r="E37" s="9"/>
      <c r="F37" s="68">
        <f>SUM(F12:F36)</f>
        <v>1841623842.5</v>
      </c>
      <c r="G37" s="65"/>
      <c r="H37" s="68">
        <f>SUM(H12:H36)</f>
        <v>60794927</v>
      </c>
      <c r="I37" s="65"/>
      <c r="J37" s="65"/>
      <c r="K37" s="68">
        <f>SUM(K12:K36)</f>
        <v>2806890.2774130432</v>
      </c>
      <c r="L37" s="64"/>
      <c r="M37" s="64"/>
      <c r="N37" s="68">
        <f>SUM(N12:N36)</f>
        <v>605251</v>
      </c>
      <c r="O37" s="68"/>
      <c r="P37" s="68">
        <f>SUM(P12:P36)</f>
        <v>2925800.4050000003</v>
      </c>
      <c r="Q37" s="92"/>
      <c r="R37" s="68">
        <f>SUM(R12:R36)</f>
        <v>67132868.682413042</v>
      </c>
      <c r="S37" s="9"/>
      <c r="T37" s="9"/>
      <c r="U37" s="93">
        <f>ROUND((R37/F43),5)</f>
        <v>3.6450000000000003E-2</v>
      </c>
      <c r="V37" s="10"/>
    </row>
    <row r="38" spans="1:22" ht="15.75" x14ac:dyDescent="0.25">
      <c r="A38" s="28"/>
      <c r="B38" s="9"/>
      <c r="C38" s="9"/>
      <c r="D38" s="46"/>
      <c r="E38" s="9"/>
      <c r="F38" s="44"/>
      <c r="G38" s="9"/>
      <c r="H38" s="44"/>
      <c r="I38" s="9"/>
      <c r="J38" s="9"/>
      <c r="K38" s="44"/>
      <c r="L38" s="18"/>
      <c r="M38" s="18"/>
      <c r="N38" s="18"/>
      <c r="O38" s="18"/>
      <c r="P38" s="18"/>
      <c r="Q38" s="94"/>
      <c r="R38" s="18"/>
      <c r="S38" s="9"/>
      <c r="T38" s="9"/>
      <c r="U38" s="57"/>
      <c r="V38" s="10"/>
    </row>
    <row r="39" spans="1:22" ht="15.75" x14ac:dyDescent="0.25">
      <c r="A39" s="8" t="s">
        <v>53</v>
      </c>
      <c r="B39" s="9"/>
      <c r="C39" s="115"/>
      <c r="D39" s="46"/>
      <c r="E39" s="9"/>
      <c r="F39" s="69">
        <v>0</v>
      </c>
      <c r="G39" s="65"/>
      <c r="H39" s="64">
        <v>0</v>
      </c>
      <c r="I39" s="65"/>
      <c r="J39" s="65"/>
      <c r="K39" s="69">
        <v>0</v>
      </c>
      <c r="L39" s="69"/>
      <c r="M39" s="69"/>
      <c r="N39" s="69">
        <v>0</v>
      </c>
      <c r="O39" s="69"/>
      <c r="P39" s="69">
        <v>0</v>
      </c>
      <c r="Q39" s="65"/>
      <c r="R39" s="64">
        <v>0</v>
      </c>
      <c r="S39" s="9"/>
      <c r="T39" s="9"/>
      <c r="U39" s="50"/>
      <c r="V39" s="10"/>
    </row>
    <row r="40" spans="1:22" ht="15.75" thickBot="1" x14ac:dyDescent="0.25">
      <c r="A40" s="8"/>
      <c r="B40" s="43"/>
      <c r="C40" s="9"/>
      <c r="D40" s="47"/>
      <c r="E40" s="9"/>
      <c r="F40" s="79"/>
      <c r="G40" s="78"/>
      <c r="H40" s="76"/>
      <c r="I40" s="78"/>
      <c r="J40" s="78"/>
      <c r="K40" s="79"/>
      <c r="L40" s="79"/>
      <c r="M40" s="79"/>
      <c r="N40" s="79"/>
      <c r="O40" s="79"/>
      <c r="P40" s="79"/>
      <c r="Q40" s="78"/>
      <c r="R40" s="76"/>
      <c r="S40" s="9"/>
      <c r="T40" s="9"/>
      <c r="U40" s="56"/>
      <c r="V40" s="10"/>
    </row>
    <row r="41" spans="1:22" ht="16.5" thickBot="1" x14ac:dyDescent="0.3">
      <c r="A41" s="87" t="s">
        <v>25</v>
      </c>
      <c r="B41" s="9"/>
      <c r="C41" s="9"/>
      <c r="D41" s="46"/>
      <c r="E41" s="9"/>
      <c r="F41" s="70">
        <f>SUM(F39:F40)</f>
        <v>0</v>
      </c>
      <c r="G41" s="65"/>
      <c r="H41" s="70">
        <f>SUM(H39:H40)</f>
        <v>0</v>
      </c>
      <c r="I41" s="65"/>
      <c r="J41" s="65"/>
      <c r="K41" s="70">
        <f>SUM(K39:K40)</f>
        <v>0</v>
      </c>
      <c r="L41" s="64"/>
      <c r="M41" s="64"/>
      <c r="N41" s="70">
        <f>SUM(N39:N40)</f>
        <v>0</v>
      </c>
      <c r="O41" s="70"/>
      <c r="P41" s="70">
        <f>SUM(P39:P40)</f>
        <v>0</v>
      </c>
      <c r="Q41" s="64"/>
      <c r="R41" s="70">
        <f>SUM(R39:R40)</f>
        <v>0</v>
      </c>
      <c r="S41" s="9"/>
      <c r="T41" s="9"/>
      <c r="U41" s="93">
        <f>ROUND(+R41/F43,5)</f>
        <v>0</v>
      </c>
      <c r="V41" s="10"/>
    </row>
    <row r="42" spans="1:22" ht="15.75" thickBot="1" x14ac:dyDescent="0.25">
      <c r="A42" s="8"/>
      <c r="B42" s="9"/>
      <c r="C42" s="9"/>
      <c r="D42" s="46"/>
      <c r="E42" s="9"/>
      <c r="F42" s="18"/>
      <c r="G42" s="9"/>
      <c r="H42" s="18"/>
      <c r="I42" s="9"/>
      <c r="J42" s="9"/>
      <c r="K42" s="44"/>
      <c r="L42" s="18"/>
      <c r="M42" s="18"/>
      <c r="N42" s="18"/>
      <c r="O42" s="18"/>
      <c r="P42" s="18"/>
      <c r="Q42" s="18"/>
      <c r="R42" s="18"/>
      <c r="S42" s="9"/>
      <c r="T42" s="9"/>
      <c r="U42" s="54"/>
      <c r="V42" s="10"/>
    </row>
    <row r="43" spans="1:22" ht="16.5" thickBot="1" x14ac:dyDescent="0.3">
      <c r="A43" s="8"/>
      <c r="B43" s="9"/>
      <c r="C43" s="9"/>
      <c r="D43" s="48" t="s">
        <v>11</v>
      </c>
      <c r="E43" s="9"/>
      <c r="F43" s="71">
        <f>F37+F41</f>
        <v>1841623842.5</v>
      </c>
      <c r="G43" s="65"/>
      <c r="H43" s="71">
        <f>H37+H41</f>
        <v>60794927</v>
      </c>
      <c r="I43" s="65"/>
      <c r="J43" s="65"/>
      <c r="K43" s="71">
        <f>K37+K41</f>
        <v>2806890.2774130432</v>
      </c>
      <c r="L43" s="64"/>
      <c r="M43" s="64"/>
      <c r="N43" s="71">
        <f>N37+N41</f>
        <v>605251</v>
      </c>
      <c r="O43" s="71"/>
      <c r="P43" s="71">
        <f>P37+P41</f>
        <v>2925800.4050000003</v>
      </c>
      <c r="Q43" s="64"/>
      <c r="R43" s="71">
        <f>R37+R41</f>
        <v>67132868.682413042</v>
      </c>
      <c r="S43" s="9"/>
      <c r="T43" s="9"/>
      <c r="U43" s="93">
        <f>ROUND(R43/F43,5)</f>
        <v>3.6450000000000003E-2</v>
      </c>
      <c r="V43" s="10"/>
    </row>
    <row r="44" spans="1:22" ht="16.5" thickTop="1" x14ac:dyDescent="0.25">
      <c r="A44" s="20"/>
      <c r="B44" s="21"/>
      <c r="C44" s="21"/>
      <c r="D44" s="49"/>
      <c r="E44" s="21"/>
      <c r="F44" s="26"/>
      <c r="G44" s="21"/>
      <c r="H44" s="26"/>
      <c r="I44" s="21"/>
      <c r="J44" s="21"/>
      <c r="K44" s="26"/>
      <c r="L44" s="26"/>
      <c r="M44" s="18"/>
      <c r="N44" s="82"/>
      <c r="O44" s="82"/>
      <c r="P44" s="26"/>
      <c r="Q44" s="26"/>
      <c r="R44" s="26"/>
      <c r="S44" s="21"/>
      <c r="T44" s="21"/>
      <c r="U44" s="95"/>
      <c r="V44" s="22"/>
    </row>
    <row r="45" spans="1:22" ht="15.75" x14ac:dyDescent="0.25">
      <c r="D45" s="4"/>
      <c r="F45" s="5"/>
      <c r="H45" s="5"/>
      <c r="K45" s="5"/>
      <c r="L45" s="112" t="s">
        <v>79</v>
      </c>
      <c r="M45" s="112"/>
      <c r="N45" s="5">
        <f>SUMIF($J$13:$J$35,"{a}",$K$13:$K$35)</f>
        <v>1348284.8</v>
      </c>
      <c r="O45" s="114" t="s">
        <v>86</v>
      </c>
      <c r="P45" s="114"/>
      <c r="Q45" s="5"/>
      <c r="R45" s="5"/>
      <c r="U45" s="96"/>
    </row>
    <row r="46" spans="1:22" ht="15.75" x14ac:dyDescent="0.25">
      <c r="D46" s="4"/>
      <c r="F46" s="39"/>
      <c r="H46" s="5"/>
      <c r="K46" s="5"/>
      <c r="L46" s="112" t="s">
        <v>80</v>
      </c>
      <c r="M46" s="112"/>
      <c r="N46" s="5">
        <f>SUMIF($J$13:$J$35,"{b}",$K$13:$K$35)</f>
        <v>635250</v>
      </c>
      <c r="O46" s="114" t="s">
        <v>87</v>
      </c>
      <c r="P46" s="114"/>
      <c r="Q46" s="5"/>
      <c r="R46" s="5"/>
      <c r="U46" s="96"/>
    </row>
    <row r="47" spans="1:22" ht="15.75" x14ac:dyDescent="0.25">
      <c r="D47" s="4"/>
      <c r="F47" s="39"/>
      <c r="H47" s="5"/>
      <c r="K47" s="5"/>
      <c r="L47" s="112" t="s">
        <v>81</v>
      </c>
      <c r="M47" s="112"/>
      <c r="N47" s="5">
        <f>SUMIF($J$13:$J$35,"{c}",$K$13:$K$35)</f>
        <v>823355.47741304338</v>
      </c>
      <c r="O47" s="114" t="s">
        <v>71</v>
      </c>
      <c r="P47" s="114"/>
      <c r="Q47" s="5"/>
      <c r="R47" s="5"/>
      <c r="U47" s="96"/>
    </row>
    <row r="48" spans="1:22" ht="15.75" x14ac:dyDescent="0.25">
      <c r="A48" s="90" t="s">
        <v>59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52"/>
      <c r="V48" s="7"/>
    </row>
    <row r="49" spans="1:22" x14ac:dyDescent="0.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58"/>
      <c r="V49" s="10"/>
    </row>
    <row r="50" spans="1:22" x14ac:dyDescent="0.2">
      <c r="A50" s="8"/>
      <c r="B50" s="9"/>
      <c r="C50" s="9"/>
      <c r="D50" s="9"/>
      <c r="E50" s="9"/>
      <c r="F50" s="9"/>
      <c r="G50" s="9"/>
      <c r="H50" s="11" t="s">
        <v>3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9"/>
      <c r="T50" s="9"/>
      <c r="U50" s="58"/>
      <c r="V50" s="10"/>
    </row>
    <row r="51" spans="1:22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13"/>
      <c r="L51" s="9"/>
      <c r="M51" s="9"/>
      <c r="N51" s="13"/>
      <c r="O51" s="13"/>
      <c r="P51" s="13"/>
      <c r="Q51" s="9"/>
      <c r="R51" s="9"/>
      <c r="S51" s="9"/>
      <c r="U51" s="54" t="s">
        <v>6</v>
      </c>
      <c r="V51" s="14"/>
    </row>
    <row r="52" spans="1:22" x14ac:dyDescent="0.2">
      <c r="A52" s="8"/>
      <c r="B52" s="9"/>
      <c r="C52" s="16"/>
      <c r="D52" s="15" t="s">
        <v>8</v>
      </c>
      <c r="E52" s="16"/>
      <c r="F52" s="15" t="s">
        <v>9</v>
      </c>
      <c r="G52" s="15"/>
      <c r="H52" s="15" t="s">
        <v>17</v>
      </c>
      <c r="I52" s="13"/>
      <c r="J52" s="13"/>
      <c r="K52" s="15" t="s">
        <v>15</v>
      </c>
      <c r="L52" s="13"/>
      <c r="M52" s="13"/>
      <c r="N52" s="15" t="s">
        <v>18</v>
      </c>
      <c r="O52" s="15"/>
      <c r="P52" s="15" t="s">
        <v>10</v>
      </c>
      <c r="Q52" s="13"/>
      <c r="R52" s="15" t="s">
        <v>11</v>
      </c>
      <c r="S52" s="9"/>
      <c r="U52" s="55" t="s">
        <v>16</v>
      </c>
      <c r="V52" s="17"/>
    </row>
    <row r="53" spans="1:22" x14ac:dyDescent="0.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59"/>
      <c r="V53" s="10"/>
    </row>
    <row r="54" spans="1:22" ht="16.5" x14ac:dyDescent="0.25">
      <c r="A54" s="8" t="s">
        <v>19</v>
      </c>
      <c r="B54" s="9"/>
      <c r="C54" s="82" t="s">
        <v>89</v>
      </c>
      <c r="D54" s="106">
        <f>'KU Money POOL'!G191</f>
        <v>3.0000000000000001E-3</v>
      </c>
      <c r="E54" s="9" t="s">
        <v>13</v>
      </c>
      <c r="F54" s="326">
        <f>'KU Money POOL'!N191</f>
        <v>0</v>
      </c>
      <c r="G54" s="65"/>
      <c r="H54" s="64">
        <f>ROUND(F54*D54,0)</f>
        <v>0</v>
      </c>
      <c r="I54" s="65"/>
      <c r="J54" s="65"/>
      <c r="K54" s="69">
        <v>0</v>
      </c>
      <c r="L54" s="69"/>
      <c r="M54" s="69"/>
      <c r="N54" s="69">
        <v>0</v>
      </c>
      <c r="O54" s="69"/>
      <c r="P54" s="69">
        <v>0</v>
      </c>
      <c r="Q54" s="65"/>
      <c r="R54" s="64">
        <f>SUM(H54:P54)</f>
        <v>0</v>
      </c>
      <c r="S54" s="9"/>
      <c r="T54" s="9"/>
      <c r="U54" s="105">
        <f>IF(F54=0,0,(ROUND((R54/F54),5)))</f>
        <v>0</v>
      </c>
      <c r="V54" s="10"/>
    </row>
    <row r="55" spans="1:22" ht="16.5" x14ac:dyDescent="0.25">
      <c r="A55" s="8" t="s">
        <v>58</v>
      </c>
      <c r="B55" s="43"/>
      <c r="C55" s="9"/>
      <c r="D55" s="47"/>
      <c r="E55" s="9"/>
      <c r="F55" s="76">
        <v>0</v>
      </c>
      <c r="G55" s="9"/>
      <c r="H55" s="76">
        <f>ROUND(D55*F55,0)</f>
        <v>0</v>
      </c>
      <c r="I55" s="9"/>
      <c r="J55" s="9"/>
      <c r="K55" s="79">
        <v>0</v>
      </c>
      <c r="L55" s="79"/>
      <c r="M55" s="79"/>
      <c r="N55" s="79">
        <v>0</v>
      </c>
      <c r="O55" s="79"/>
      <c r="P55" s="79">
        <v>0</v>
      </c>
      <c r="Q55" s="78"/>
      <c r="R55" s="76">
        <f>SUM(H55,K55,N55)</f>
        <v>0</v>
      </c>
      <c r="S55" s="9"/>
      <c r="T55" s="9"/>
      <c r="U55" s="105">
        <f>IF(F55=0,0,(ROUND((R55/F55),5)))</f>
        <v>0</v>
      </c>
      <c r="V55" s="10"/>
    </row>
    <row r="56" spans="1:22" ht="16.5" x14ac:dyDescent="0.25">
      <c r="A56" s="31" t="s">
        <v>75</v>
      </c>
      <c r="B56" s="32" t="s">
        <v>76</v>
      </c>
      <c r="C56" s="84" t="s">
        <v>70</v>
      </c>
      <c r="D56" s="107">
        <v>3.228E-3</v>
      </c>
      <c r="E56" s="33"/>
      <c r="F56" s="101">
        <v>136218208.88999999</v>
      </c>
      <c r="G56" s="38"/>
      <c r="H56" s="34">
        <f>D56*F56</f>
        <v>439712.37829691992</v>
      </c>
      <c r="I56" s="33"/>
      <c r="J56" s="33"/>
      <c r="K56" s="104">
        <v>0</v>
      </c>
      <c r="L56" s="33"/>
      <c r="M56" s="33"/>
      <c r="N56" s="104">
        <v>0</v>
      </c>
      <c r="O56" s="104"/>
      <c r="P56" s="104">
        <v>0</v>
      </c>
      <c r="Q56" s="33"/>
      <c r="R56" s="34">
        <f>SUM(H56:P56)</f>
        <v>439712.37829691992</v>
      </c>
      <c r="S56" s="33"/>
      <c r="U56" s="105">
        <f>IF(F56=0,0,(ROUND((R56/F56),5)))</f>
        <v>3.2299999999999998E-3</v>
      </c>
      <c r="V56" s="10"/>
    </row>
    <row r="57" spans="1:22" ht="16.5" x14ac:dyDescent="0.25">
      <c r="A57" s="31"/>
      <c r="B57" s="32"/>
      <c r="C57" s="84"/>
      <c r="D57" s="108"/>
      <c r="E57" s="33"/>
      <c r="F57" s="63"/>
      <c r="G57" s="38"/>
      <c r="H57" s="63"/>
      <c r="I57" s="33"/>
      <c r="J57" s="33"/>
      <c r="K57" s="81"/>
      <c r="L57" s="33"/>
      <c r="M57" s="33"/>
      <c r="N57" s="81"/>
      <c r="O57" s="81"/>
      <c r="P57" s="81"/>
      <c r="Q57" s="33"/>
      <c r="R57" s="63"/>
      <c r="S57" s="33"/>
      <c r="U57" s="105"/>
      <c r="V57" s="10"/>
    </row>
    <row r="58" spans="1:22" ht="15.75" thickBot="1" x14ac:dyDescent="0.25">
      <c r="A58" s="8"/>
      <c r="B58" s="43"/>
      <c r="C58" s="9"/>
      <c r="D58" s="47"/>
      <c r="E58" s="9"/>
      <c r="F58" s="18"/>
      <c r="G58" s="9"/>
      <c r="H58" s="18"/>
      <c r="I58" s="9"/>
      <c r="J58" s="9"/>
      <c r="K58" s="45"/>
      <c r="L58" s="18"/>
      <c r="M58" s="18"/>
      <c r="N58" s="18"/>
      <c r="O58" s="18"/>
      <c r="P58" s="18"/>
      <c r="Q58" s="18"/>
      <c r="R58" s="18"/>
      <c r="S58" s="9"/>
      <c r="T58" s="9"/>
      <c r="U58" s="59"/>
      <c r="V58" s="10"/>
    </row>
    <row r="59" spans="1:22" ht="17.25" thickBot="1" x14ac:dyDescent="0.3">
      <c r="A59" s="8"/>
      <c r="B59" s="9"/>
      <c r="C59" s="9"/>
      <c r="D59" s="9" t="s">
        <v>11</v>
      </c>
      <c r="E59" s="9"/>
      <c r="F59" s="72">
        <f>SUM(F54:F56)</f>
        <v>136218208.88999999</v>
      </c>
      <c r="G59" s="65"/>
      <c r="H59" s="72">
        <f>SUM(H54:H56)</f>
        <v>439712.37829691992</v>
      </c>
      <c r="I59" s="65"/>
      <c r="J59" s="65"/>
      <c r="K59" s="72">
        <f>SUM(K54:K56)</f>
        <v>0</v>
      </c>
      <c r="L59" s="73"/>
      <c r="M59" s="73"/>
      <c r="N59" s="72">
        <f>SUM(N54:N56)</f>
        <v>0</v>
      </c>
      <c r="O59" s="72"/>
      <c r="P59" s="72">
        <f>SUM(P54:P56)</f>
        <v>0</v>
      </c>
      <c r="Q59" s="65"/>
      <c r="R59" s="72">
        <f>SUM(R54:R56)</f>
        <v>439712.37829691992</v>
      </c>
      <c r="S59" s="9"/>
      <c r="T59" s="9"/>
      <c r="U59" s="62">
        <f>IF(F59=0,0,(ROUND(R59/F59,5)))</f>
        <v>3.2299999999999998E-3</v>
      </c>
      <c r="V59" s="10"/>
    </row>
    <row r="60" spans="1:22" ht="15.75" thickTop="1" x14ac:dyDescent="0.2">
      <c r="A60" s="20"/>
      <c r="B60" s="21"/>
      <c r="C60" s="21"/>
      <c r="D60" s="21"/>
      <c r="E60" s="21"/>
      <c r="F60" s="21"/>
      <c r="G60" s="21"/>
      <c r="H60" s="19"/>
      <c r="I60" s="21"/>
      <c r="J60" s="21"/>
      <c r="K60" s="21"/>
      <c r="L60" s="21"/>
      <c r="M60" s="21"/>
      <c r="N60" s="19"/>
      <c r="O60" s="19"/>
      <c r="P60" s="19"/>
      <c r="Q60" s="21"/>
      <c r="R60" s="21"/>
      <c r="S60" s="21"/>
      <c r="T60" s="21"/>
      <c r="U60" s="60"/>
      <c r="V60" s="22"/>
    </row>
    <row r="61" spans="1:22" ht="15.75" thickBot="1" x14ac:dyDescent="0.25">
      <c r="D61" s="23"/>
      <c r="F61" s="5"/>
      <c r="H61" s="5"/>
      <c r="R61" s="5"/>
    </row>
    <row r="62" spans="1:22" ht="16.5" thickBot="1" x14ac:dyDescent="0.3">
      <c r="A62" s="1" t="s">
        <v>26</v>
      </c>
      <c r="D62" s="23"/>
      <c r="F62" s="74">
        <f>F43+F59</f>
        <v>1977842051.3899999</v>
      </c>
      <c r="G62" s="75"/>
      <c r="H62" s="74">
        <f>H43+H59</f>
        <v>61234639.378296919</v>
      </c>
      <c r="I62" s="75"/>
      <c r="J62" s="75"/>
      <c r="K62" s="74">
        <f>K43+K59</f>
        <v>2806890.2774130432</v>
      </c>
      <c r="L62" s="75"/>
      <c r="M62" s="75"/>
      <c r="N62" s="74">
        <f>N43+N59</f>
        <v>605251</v>
      </c>
      <c r="O62" s="74"/>
      <c r="P62" s="74">
        <f>P43+P59</f>
        <v>2925800.4050000003</v>
      </c>
      <c r="Q62" s="75"/>
      <c r="R62" s="74">
        <f>R43+R59</f>
        <v>67572581.060709968</v>
      </c>
      <c r="U62" s="97">
        <f>ROUND(R62/(F43+F59),5)</f>
        <v>3.4160000000000003E-2</v>
      </c>
    </row>
    <row r="63" spans="1:22" ht="15" customHeight="1" thickTop="1" x14ac:dyDescent="0.25">
      <c r="D63" s="23"/>
      <c r="F63" s="5"/>
      <c r="H63" s="5"/>
      <c r="R63" s="5"/>
      <c r="U63" s="103" t="s">
        <v>72</v>
      </c>
    </row>
    <row r="64" spans="1:22" ht="23.25" x14ac:dyDescent="0.35">
      <c r="A64" s="37" t="s">
        <v>69</v>
      </c>
      <c r="D64" s="23"/>
      <c r="F64" s="5"/>
      <c r="H64" s="5"/>
      <c r="R64" s="85" t="s">
        <v>96</v>
      </c>
      <c r="U64" s="99">
        <v>3.4079999999999999E-2</v>
      </c>
    </row>
    <row r="65" spans="1:18" x14ac:dyDescent="0.2">
      <c r="A65" s="1" t="s">
        <v>67</v>
      </c>
      <c r="D65" s="23"/>
      <c r="F65" s="5"/>
      <c r="H65" s="5"/>
      <c r="N65" s="110"/>
      <c r="O65" s="110"/>
      <c r="P65" s="110"/>
      <c r="R65" s="5"/>
    </row>
    <row r="66" spans="1:18" x14ac:dyDescent="0.2">
      <c r="F66" s="110"/>
      <c r="H66" s="110"/>
      <c r="N66" s="111"/>
      <c r="O66" s="111"/>
    </row>
    <row r="67" spans="1:18" ht="30.75" customHeight="1" x14ac:dyDescent="0.2">
      <c r="A67" s="496" t="s">
        <v>90</v>
      </c>
      <c r="B67" s="497"/>
      <c r="C67" s="497"/>
      <c r="D67" s="497"/>
      <c r="E67" s="497"/>
      <c r="F67" s="497"/>
      <c r="G67" s="497"/>
      <c r="H67" s="497"/>
    </row>
    <row r="68" spans="1:18" x14ac:dyDescent="0.2">
      <c r="A68" s="501" t="s">
        <v>92</v>
      </c>
      <c r="B68" s="497"/>
      <c r="C68" s="497"/>
      <c r="D68" s="497"/>
      <c r="E68" s="497"/>
      <c r="F68" s="497"/>
      <c r="G68" s="497"/>
      <c r="H68" s="497"/>
    </row>
    <row r="69" spans="1:18" x14ac:dyDescent="0.2">
      <c r="A69" s="496" t="s">
        <v>93</v>
      </c>
      <c r="B69" s="497"/>
      <c r="C69" s="497"/>
      <c r="D69" s="497"/>
      <c r="E69" s="497"/>
      <c r="F69" s="497"/>
      <c r="G69" s="497"/>
      <c r="H69" s="497"/>
    </row>
    <row r="71" spans="1:18" x14ac:dyDescent="0.2">
      <c r="A71" s="1" t="s">
        <v>54</v>
      </c>
    </row>
    <row r="72" spans="1:18" x14ac:dyDescent="0.2">
      <c r="A72" s="1" t="s">
        <v>47</v>
      </c>
    </row>
    <row r="73" spans="1:18" x14ac:dyDescent="0.2">
      <c r="A73" s="1" t="s">
        <v>82</v>
      </c>
    </row>
    <row r="74" spans="1:18" x14ac:dyDescent="0.2">
      <c r="A74" s="1" t="s">
        <v>78</v>
      </c>
    </row>
    <row r="84" spans="8:8" x14ac:dyDescent="0.2">
      <c r="H84" s="30"/>
    </row>
  </sheetData>
  <mergeCells count="5">
    <mergeCell ref="A3:V3"/>
    <mergeCell ref="A69:H69"/>
    <mergeCell ref="A5:T5"/>
    <mergeCell ref="A67:H67"/>
    <mergeCell ref="A68:H68"/>
  </mergeCells>
  <pageMargins left="0.5" right="0" top="0.75" bottom="0.75" header="0.5" footer="0.5"/>
  <pageSetup scale="4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pageSetUpPr fitToPage="1"/>
  </sheetPr>
  <dimension ref="A1:N190"/>
  <sheetViews>
    <sheetView zoomScaleNormal="100" workbookViewId="0">
      <pane ySplit="5" topLeftCell="A166" activePane="bottomLeft" state="frozen"/>
      <selection sqref="A1:XFD1048576"/>
      <selection pane="bottomLeft" activeCell="A7" sqref="A7:XFD159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31" customWidth="1"/>
    <col min="10" max="10" width="11.7109375" style="132" customWidth="1"/>
    <col min="11" max="11" width="11.5703125" style="119" customWidth="1"/>
    <col min="12" max="16384" width="9.140625" style="120"/>
  </cols>
  <sheetData>
    <row r="1" spans="1:14" ht="12.75" x14ac:dyDescent="0.2">
      <c r="A1" s="502" t="s">
        <v>111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77947405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237103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39" x14ac:dyDescent="0.25">
      <c r="B5" s="122"/>
      <c r="D5" s="123"/>
      <c r="H5" s="124" t="s">
        <v>99</v>
      </c>
      <c r="I5" s="125" t="s">
        <v>100</v>
      </c>
      <c r="J5" s="126" t="s">
        <v>101</v>
      </c>
      <c r="K5" s="127" t="s">
        <v>372</v>
      </c>
      <c r="L5" s="128"/>
      <c r="M5" s="128"/>
      <c r="N5" s="128"/>
    </row>
    <row r="6" spans="1:14" x14ac:dyDescent="0.25">
      <c r="B6" s="122"/>
      <c r="D6" s="123"/>
      <c r="H6" s="124"/>
      <c r="I6" s="125"/>
      <c r="J6" s="126"/>
      <c r="K6" s="129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0.23</v>
      </c>
      <c r="F7" s="130">
        <f t="shared" ref="F7:F16" si="0">ROUND(D7/100*$A$3/365,6)</f>
        <v>491.17542900000001</v>
      </c>
    </row>
    <row r="8" spans="1:14" hidden="1" x14ac:dyDescent="0.25">
      <c r="B8" s="122">
        <f t="shared" ref="B8:B66" si="1">B7+1</f>
        <v>41396</v>
      </c>
      <c r="D8" s="136">
        <v>0.2</v>
      </c>
      <c r="F8" s="130">
        <f t="shared" si="0"/>
        <v>427.10906799999998</v>
      </c>
    </row>
    <row r="9" spans="1:14" hidden="1" x14ac:dyDescent="0.25">
      <c r="B9" s="122">
        <f t="shared" si="1"/>
        <v>41397</v>
      </c>
      <c r="D9" s="136">
        <v>0.2</v>
      </c>
      <c r="F9" s="130">
        <f t="shared" si="0"/>
        <v>427.10906799999998</v>
      </c>
    </row>
    <row r="10" spans="1:14" hidden="1" x14ac:dyDescent="0.25">
      <c r="B10" s="122">
        <f t="shared" si="1"/>
        <v>41398</v>
      </c>
      <c r="D10" s="136">
        <v>0.2</v>
      </c>
      <c r="F10" s="130">
        <f t="shared" si="0"/>
        <v>427.10906799999998</v>
      </c>
    </row>
    <row r="11" spans="1:14" hidden="1" x14ac:dyDescent="0.25">
      <c r="B11" s="122">
        <f t="shared" si="1"/>
        <v>41399</v>
      </c>
      <c r="D11" s="136">
        <v>0.2</v>
      </c>
      <c r="F11" s="130">
        <f t="shared" si="0"/>
        <v>427.10906799999998</v>
      </c>
    </row>
    <row r="12" spans="1:14" hidden="1" x14ac:dyDescent="0.25">
      <c r="B12" s="122">
        <f t="shared" si="1"/>
        <v>41400</v>
      </c>
      <c r="D12" s="136">
        <v>0.2</v>
      </c>
      <c r="F12" s="130">
        <f t="shared" si="0"/>
        <v>427.10906799999998</v>
      </c>
    </row>
    <row r="13" spans="1:14" hidden="1" x14ac:dyDescent="0.25">
      <c r="B13" s="122">
        <f t="shared" si="1"/>
        <v>41401</v>
      </c>
      <c r="D13" s="136">
        <v>0.2</v>
      </c>
      <c r="F13" s="130">
        <f t="shared" si="0"/>
        <v>427.10906799999998</v>
      </c>
    </row>
    <row r="14" spans="1:14" hidden="1" x14ac:dyDescent="0.25">
      <c r="B14" s="122">
        <f t="shared" si="1"/>
        <v>41402</v>
      </c>
      <c r="D14" s="136">
        <v>0.2</v>
      </c>
      <c r="F14" s="130">
        <f t="shared" si="0"/>
        <v>427.10906799999998</v>
      </c>
    </row>
    <row r="15" spans="1:14" hidden="1" x14ac:dyDescent="0.25">
      <c r="B15" s="122">
        <f t="shared" si="1"/>
        <v>41403</v>
      </c>
      <c r="D15" s="136">
        <v>0.18</v>
      </c>
      <c r="F15" s="130">
        <f t="shared" si="0"/>
        <v>384.39816200000001</v>
      </c>
    </row>
    <row r="16" spans="1:14" hidden="1" x14ac:dyDescent="0.25">
      <c r="B16" s="122">
        <f t="shared" si="1"/>
        <v>41404</v>
      </c>
      <c r="D16" s="136">
        <v>0.18</v>
      </c>
      <c r="F16" s="130">
        <f t="shared" si="0"/>
        <v>384.39816200000001</v>
      </c>
    </row>
    <row r="17" spans="2:6" hidden="1" x14ac:dyDescent="0.25">
      <c r="B17" s="122">
        <f t="shared" si="1"/>
        <v>41405</v>
      </c>
      <c r="D17" s="136">
        <v>0.18</v>
      </c>
      <c r="F17" s="130">
        <f t="shared" ref="F17:F80" si="2">ROUND(D17/100*$A$3/365,6)</f>
        <v>384.39816200000001</v>
      </c>
    </row>
    <row r="18" spans="2:6" hidden="1" x14ac:dyDescent="0.25">
      <c r="B18" s="122">
        <f t="shared" si="1"/>
        <v>41406</v>
      </c>
      <c r="D18" s="136">
        <v>0.18</v>
      </c>
      <c r="F18" s="130">
        <f t="shared" si="2"/>
        <v>384.39816200000001</v>
      </c>
    </row>
    <row r="19" spans="2:6" hidden="1" x14ac:dyDescent="0.25">
      <c r="B19" s="122">
        <f t="shared" si="1"/>
        <v>41407</v>
      </c>
      <c r="D19" s="136">
        <v>0.18</v>
      </c>
      <c r="F19" s="130">
        <f t="shared" si="2"/>
        <v>384.39816200000001</v>
      </c>
    </row>
    <row r="20" spans="2:6" hidden="1" x14ac:dyDescent="0.25">
      <c r="B20" s="122">
        <f t="shared" si="1"/>
        <v>41408</v>
      </c>
      <c r="D20" s="136">
        <v>0.18</v>
      </c>
      <c r="F20" s="130">
        <f t="shared" si="2"/>
        <v>384.39816200000001</v>
      </c>
    </row>
    <row r="21" spans="2:6" hidden="1" x14ac:dyDescent="0.25">
      <c r="B21" s="122">
        <f t="shared" si="1"/>
        <v>41409</v>
      </c>
      <c r="D21" s="136">
        <v>0.18</v>
      </c>
      <c r="F21" s="130">
        <f t="shared" si="2"/>
        <v>384.39816200000001</v>
      </c>
    </row>
    <row r="22" spans="2:6" hidden="1" x14ac:dyDescent="0.25">
      <c r="B22" s="122">
        <f t="shared" si="1"/>
        <v>41410</v>
      </c>
      <c r="D22" s="136">
        <v>0.19</v>
      </c>
      <c r="F22" s="130">
        <f t="shared" si="2"/>
        <v>405.75361500000002</v>
      </c>
    </row>
    <row r="23" spans="2:6" hidden="1" x14ac:dyDescent="0.25">
      <c r="B23" s="122">
        <f t="shared" si="1"/>
        <v>41411</v>
      </c>
      <c r="D23" s="136">
        <v>0.19</v>
      </c>
      <c r="F23" s="130">
        <f t="shared" si="2"/>
        <v>405.75361500000002</v>
      </c>
    </row>
    <row r="24" spans="2:6" hidden="1" x14ac:dyDescent="0.25">
      <c r="B24" s="122">
        <f t="shared" si="1"/>
        <v>41412</v>
      </c>
      <c r="D24" s="136">
        <v>0.19</v>
      </c>
      <c r="F24" s="130">
        <f t="shared" si="2"/>
        <v>405.75361500000002</v>
      </c>
    </row>
    <row r="25" spans="2:6" hidden="1" x14ac:dyDescent="0.25">
      <c r="B25" s="122">
        <f t="shared" si="1"/>
        <v>41413</v>
      </c>
      <c r="D25" s="136">
        <v>0.19</v>
      </c>
      <c r="F25" s="130">
        <f t="shared" si="2"/>
        <v>405.75361500000002</v>
      </c>
    </row>
    <row r="26" spans="2:6" hidden="1" x14ac:dyDescent="0.25">
      <c r="B26" s="122">
        <f t="shared" si="1"/>
        <v>41414</v>
      </c>
      <c r="D26" s="136">
        <v>0.19</v>
      </c>
      <c r="F26" s="130">
        <f t="shared" si="2"/>
        <v>405.75361500000002</v>
      </c>
    </row>
    <row r="27" spans="2:6" hidden="1" x14ac:dyDescent="0.25">
      <c r="B27" s="122">
        <f t="shared" si="1"/>
        <v>41415</v>
      </c>
      <c r="D27" s="136">
        <v>0.19</v>
      </c>
      <c r="F27" s="130">
        <f t="shared" si="2"/>
        <v>405.75361500000002</v>
      </c>
    </row>
    <row r="28" spans="2:6" hidden="1" x14ac:dyDescent="0.25">
      <c r="B28" s="122">
        <f t="shared" si="1"/>
        <v>41416</v>
      </c>
      <c r="D28" s="136">
        <v>0.19</v>
      </c>
      <c r="F28" s="130">
        <f t="shared" si="2"/>
        <v>405.75361500000002</v>
      </c>
    </row>
    <row r="29" spans="2:6" hidden="1" x14ac:dyDescent="0.25">
      <c r="B29" s="122">
        <f t="shared" si="1"/>
        <v>41417</v>
      </c>
      <c r="D29" s="136">
        <v>0.16</v>
      </c>
      <c r="F29" s="130">
        <f t="shared" si="2"/>
        <v>341.68725499999999</v>
      </c>
    </row>
    <row r="30" spans="2:6" hidden="1" x14ac:dyDescent="0.25">
      <c r="B30" s="122">
        <f t="shared" si="1"/>
        <v>41418</v>
      </c>
      <c r="D30" s="136">
        <v>0.16</v>
      </c>
      <c r="F30" s="130">
        <f t="shared" si="2"/>
        <v>341.68725499999999</v>
      </c>
    </row>
    <row r="31" spans="2:6" hidden="1" x14ac:dyDescent="0.25">
      <c r="B31" s="122">
        <f t="shared" si="1"/>
        <v>41419</v>
      </c>
      <c r="D31" s="136">
        <v>0.16</v>
      </c>
      <c r="F31" s="130">
        <f t="shared" si="2"/>
        <v>341.68725499999999</v>
      </c>
    </row>
    <row r="32" spans="2:6" hidden="1" x14ac:dyDescent="0.25">
      <c r="B32" s="122">
        <f t="shared" si="1"/>
        <v>41420</v>
      </c>
      <c r="D32" s="136">
        <v>0.16</v>
      </c>
      <c r="F32" s="130">
        <f t="shared" si="2"/>
        <v>341.68725499999999</v>
      </c>
    </row>
    <row r="33" spans="1:11" hidden="1" x14ac:dyDescent="0.25">
      <c r="B33" s="122">
        <f t="shared" si="1"/>
        <v>41421</v>
      </c>
      <c r="D33" s="136">
        <v>0.16</v>
      </c>
      <c r="F33" s="130">
        <f t="shared" si="2"/>
        <v>341.68725499999999</v>
      </c>
    </row>
    <row r="34" spans="1:11" hidden="1" x14ac:dyDescent="0.25">
      <c r="B34" s="122">
        <f t="shared" si="1"/>
        <v>41422</v>
      </c>
      <c r="D34" s="136">
        <v>0.16</v>
      </c>
      <c r="F34" s="130">
        <f t="shared" si="2"/>
        <v>341.68725499999999</v>
      </c>
    </row>
    <row r="35" spans="1:11" hidden="1" x14ac:dyDescent="0.25">
      <c r="B35" s="122">
        <f t="shared" si="1"/>
        <v>41423</v>
      </c>
      <c r="D35" s="136">
        <v>0.16</v>
      </c>
      <c r="F35" s="130">
        <f t="shared" si="2"/>
        <v>341.68725499999999</v>
      </c>
    </row>
    <row r="36" spans="1:11" hidden="1" x14ac:dyDescent="0.25">
      <c r="B36" s="122">
        <f t="shared" si="1"/>
        <v>41424</v>
      </c>
      <c r="D36" s="136">
        <v>0.13</v>
      </c>
      <c r="F36" s="130">
        <f t="shared" si="2"/>
        <v>277.62089500000002</v>
      </c>
    </row>
    <row r="37" spans="1:11" hidden="1" x14ac:dyDescent="0.25">
      <c r="B37" s="122">
        <f t="shared" si="1"/>
        <v>41425</v>
      </c>
      <c r="D37" s="136">
        <v>0.13</v>
      </c>
      <c r="F37" s="130">
        <f t="shared" si="2"/>
        <v>277.62089500000002</v>
      </c>
      <c r="H37" s="133">
        <f>SUM(F7:F37)</f>
        <v>11959.053919000004</v>
      </c>
      <c r="I37" s="134">
        <f>AVERAGE(D7:D37)</f>
        <v>0.18064516129032263</v>
      </c>
      <c r="J37" s="135">
        <f>AVERAGE(D7:D37)</f>
        <v>0.18064516129032263</v>
      </c>
      <c r="K37" s="138">
        <f>AVERAGE(D7:D37)</f>
        <v>0.18064516129032263</v>
      </c>
    </row>
    <row r="38" spans="1:11" hidden="1" x14ac:dyDescent="0.25">
      <c r="A38" s="121">
        <v>41426</v>
      </c>
      <c r="B38" s="122">
        <f t="shared" si="1"/>
        <v>41426</v>
      </c>
      <c r="D38" s="136">
        <v>0.13</v>
      </c>
      <c r="F38" s="130">
        <f t="shared" si="2"/>
        <v>277.62089500000002</v>
      </c>
    </row>
    <row r="39" spans="1:11" hidden="1" x14ac:dyDescent="0.25">
      <c r="B39" s="122">
        <f t="shared" si="1"/>
        <v>41427</v>
      </c>
      <c r="D39" s="136">
        <v>0.13</v>
      </c>
      <c r="F39" s="130">
        <f t="shared" si="2"/>
        <v>277.62089500000002</v>
      </c>
    </row>
    <row r="40" spans="1:11" hidden="1" x14ac:dyDescent="0.25">
      <c r="B40" s="122">
        <f t="shared" si="1"/>
        <v>41428</v>
      </c>
      <c r="D40" s="136">
        <v>0.13</v>
      </c>
      <c r="F40" s="130">
        <f t="shared" si="2"/>
        <v>277.62089500000002</v>
      </c>
    </row>
    <row r="41" spans="1:11" hidden="1" x14ac:dyDescent="0.25">
      <c r="B41" s="122">
        <f t="shared" si="1"/>
        <v>41429</v>
      </c>
      <c r="D41" s="136">
        <v>0.13</v>
      </c>
      <c r="F41" s="130">
        <f t="shared" si="2"/>
        <v>277.62089500000002</v>
      </c>
    </row>
    <row r="42" spans="1:11" hidden="1" x14ac:dyDescent="0.25">
      <c r="B42" s="122">
        <f t="shared" si="1"/>
        <v>41430</v>
      </c>
      <c r="D42" s="136">
        <v>0.13</v>
      </c>
      <c r="F42" s="130">
        <f t="shared" si="2"/>
        <v>277.62089500000002</v>
      </c>
    </row>
    <row r="43" spans="1:11" hidden="1" x14ac:dyDescent="0.25">
      <c r="B43" s="122">
        <f t="shared" si="1"/>
        <v>41431</v>
      </c>
      <c r="D43" s="136">
        <v>0.11</v>
      </c>
      <c r="F43" s="130">
        <f t="shared" si="2"/>
        <v>234.909988</v>
      </c>
    </row>
    <row r="44" spans="1:11" hidden="1" x14ac:dyDescent="0.25">
      <c r="B44" s="122">
        <f t="shared" si="1"/>
        <v>41432</v>
      </c>
      <c r="D44" s="136">
        <v>0.11</v>
      </c>
      <c r="F44" s="130">
        <f t="shared" si="2"/>
        <v>234.909988</v>
      </c>
    </row>
    <row r="45" spans="1:11" hidden="1" x14ac:dyDescent="0.25">
      <c r="B45" s="122">
        <f t="shared" si="1"/>
        <v>41433</v>
      </c>
      <c r="D45" s="136">
        <v>0.11</v>
      </c>
      <c r="F45" s="130">
        <f t="shared" si="2"/>
        <v>234.909988</v>
      </c>
    </row>
    <row r="46" spans="1:11" hidden="1" x14ac:dyDescent="0.25">
      <c r="B46" s="122">
        <f t="shared" si="1"/>
        <v>41434</v>
      </c>
      <c r="D46" s="136">
        <v>0.11</v>
      </c>
      <c r="F46" s="130">
        <f t="shared" si="2"/>
        <v>234.909988</v>
      </c>
    </row>
    <row r="47" spans="1:11" hidden="1" x14ac:dyDescent="0.25">
      <c r="B47" s="122">
        <f t="shared" si="1"/>
        <v>41435</v>
      </c>
      <c r="D47" s="136">
        <v>0.11</v>
      </c>
      <c r="F47" s="130">
        <f t="shared" si="2"/>
        <v>234.909988</v>
      </c>
    </row>
    <row r="48" spans="1:11" hidden="1" x14ac:dyDescent="0.25">
      <c r="B48" s="122">
        <f t="shared" si="1"/>
        <v>41436</v>
      </c>
      <c r="D48" s="136">
        <v>0.11</v>
      </c>
      <c r="F48" s="130">
        <f t="shared" si="2"/>
        <v>234.909988</v>
      </c>
    </row>
    <row r="49" spans="2:6" hidden="1" x14ac:dyDescent="0.25">
      <c r="B49" s="122">
        <f t="shared" si="1"/>
        <v>41437</v>
      </c>
      <c r="D49" s="136">
        <v>0.11</v>
      </c>
      <c r="F49" s="130">
        <f t="shared" si="2"/>
        <v>234.909988</v>
      </c>
    </row>
    <row r="50" spans="2:6" hidden="1" x14ac:dyDescent="0.25">
      <c r="B50" s="122">
        <f t="shared" si="1"/>
        <v>41438</v>
      </c>
      <c r="D50" s="136">
        <v>0.1</v>
      </c>
      <c r="F50" s="130">
        <f t="shared" si="2"/>
        <v>213.55453399999999</v>
      </c>
    </row>
    <row r="51" spans="2:6" hidden="1" x14ac:dyDescent="0.25">
      <c r="B51" s="122">
        <f t="shared" si="1"/>
        <v>41439</v>
      </c>
      <c r="D51" s="136">
        <v>0.1</v>
      </c>
      <c r="F51" s="130">
        <f t="shared" si="2"/>
        <v>213.55453399999999</v>
      </c>
    </row>
    <row r="52" spans="2:6" hidden="1" x14ac:dyDescent="0.25">
      <c r="B52" s="122">
        <f t="shared" si="1"/>
        <v>41440</v>
      </c>
      <c r="D52" s="136">
        <v>0.1</v>
      </c>
      <c r="F52" s="130">
        <f t="shared" si="2"/>
        <v>213.55453399999999</v>
      </c>
    </row>
    <row r="53" spans="2:6" hidden="1" x14ac:dyDescent="0.25">
      <c r="B53" s="122">
        <f t="shared" si="1"/>
        <v>41441</v>
      </c>
      <c r="D53" s="136">
        <v>0.1</v>
      </c>
      <c r="F53" s="130">
        <f t="shared" si="2"/>
        <v>213.55453399999999</v>
      </c>
    </row>
    <row r="54" spans="2:6" hidden="1" x14ac:dyDescent="0.25">
      <c r="B54" s="122">
        <f t="shared" si="1"/>
        <v>41442</v>
      </c>
      <c r="D54" s="136">
        <v>0.1</v>
      </c>
      <c r="F54" s="130">
        <f t="shared" si="2"/>
        <v>213.55453399999999</v>
      </c>
    </row>
    <row r="55" spans="2:6" hidden="1" x14ac:dyDescent="0.25">
      <c r="B55" s="122">
        <f t="shared" si="1"/>
        <v>41443</v>
      </c>
      <c r="D55" s="136">
        <v>0.1</v>
      </c>
      <c r="F55" s="130">
        <f t="shared" si="2"/>
        <v>213.55453399999999</v>
      </c>
    </row>
    <row r="56" spans="2:6" hidden="1" x14ac:dyDescent="0.25">
      <c r="B56" s="122">
        <f t="shared" si="1"/>
        <v>41444</v>
      </c>
      <c r="D56" s="136">
        <v>0.1</v>
      </c>
      <c r="F56" s="130">
        <f t="shared" si="2"/>
        <v>213.55453399999999</v>
      </c>
    </row>
    <row r="57" spans="2:6" hidden="1" x14ac:dyDescent="0.25">
      <c r="B57" s="122">
        <f t="shared" si="1"/>
        <v>41445</v>
      </c>
      <c r="D57" s="136">
        <v>0.09</v>
      </c>
      <c r="F57" s="130">
        <f t="shared" si="2"/>
        <v>192.19908100000001</v>
      </c>
    </row>
    <row r="58" spans="2:6" hidden="1" x14ac:dyDescent="0.25">
      <c r="B58" s="122">
        <f t="shared" si="1"/>
        <v>41446</v>
      </c>
      <c r="D58" s="136">
        <v>0.09</v>
      </c>
      <c r="F58" s="130">
        <f t="shared" si="2"/>
        <v>192.19908100000001</v>
      </c>
    </row>
    <row r="59" spans="2:6" hidden="1" x14ac:dyDescent="0.25">
      <c r="B59" s="122">
        <f t="shared" si="1"/>
        <v>41447</v>
      </c>
      <c r="D59" s="136">
        <v>0.09</v>
      </c>
      <c r="F59" s="130">
        <f t="shared" si="2"/>
        <v>192.19908100000001</v>
      </c>
    </row>
    <row r="60" spans="2:6" hidden="1" x14ac:dyDescent="0.25">
      <c r="B60" s="122">
        <f t="shared" si="1"/>
        <v>41448</v>
      </c>
      <c r="D60" s="136">
        <v>0.09</v>
      </c>
      <c r="F60" s="130">
        <f t="shared" si="2"/>
        <v>192.19908100000001</v>
      </c>
    </row>
    <row r="61" spans="2:6" hidden="1" x14ac:dyDescent="0.25">
      <c r="B61" s="122">
        <f t="shared" si="1"/>
        <v>41449</v>
      </c>
      <c r="D61" s="136">
        <v>0.09</v>
      </c>
      <c r="F61" s="130">
        <f t="shared" si="2"/>
        <v>192.19908100000001</v>
      </c>
    </row>
    <row r="62" spans="2:6" hidden="1" x14ac:dyDescent="0.25">
      <c r="B62" s="122">
        <f t="shared" si="1"/>
        <v>41450</v>
      </c>
      <c r="D62" s="136">
        <v>0.09</v>
      </c>
      <c r="F62" s="130">
        <f t="shared" si="2"/>
        <v>192.19908100000001</v>
      </c>
    </row>
    <row r="63" spans="2:6" hidden="1" x14ac:dyDescent="0.25">
      <c r="B63" s="122">
        <f t="shared" si="1"/>
        <v>41451</v>
      </c>
      <c r="D63" s="136">
        <v>0.09</v>
      </c>
      <c r="F63" s="130">
        <f t="shared" si="2"/>
        <v>192.19908100000001</v>
      </c>
    </row>
    <row r="64" spans="2:6" hidden="1" x14ac:dyDescent="0.25">
      <c r="B64" s="122">
        <f t="shared" si="1"/>
        <v>41452</v>
      </c>
      <c r="D64" s="136">
        <v>7.0000000000000007E-2</v>
      </c>
      <c r="F64" s="130">
        <f t="shared" si="2"/>
        <v>149.48817399999999</v>
      </c>
    </row>
    <row r="65" spans="1:11" hidden="1" x14ac:dyDescent="0.25">
      <c r="B65" s="122">
        <f t="shared" si="1"/>
        <v>41453</v>
      </c>
      <c r="D65" s="136">
        <v>7.0000000000000007E-2</v>
      </c>
      <c r="F65" s="130">
        <f t="shared" si="2"/>
        <v>149.48817399999999</v>
      </c>
    </row>
    <row r="66" spans="1:11" hidden="1" x14ac:dyDescent="0.25">
      <c r="B66" s="122">
        <f t="shared" si="1"/>
        <v>41454</v>
      </c>
      <c r="D66" s="136">
        <v>7.0000000000000007E-2</v>
      </c>
      <c r="F66" s="130">
        <f t="shared" si="2"/>
        <v>149.48817399999999</v>
      </c>
    </row>
    <row r="67" spans="1:11" hidden="1" x14ac:dyDescent="0.25">
      <c r="B67" s="122">
        <f t="shared" ref="B67:B130" si="3">B66+1</f>
        <v>41455</v>
      </c>
      <c r="D67" s="136">
        <v>7.0000000000000007E-2</v>
      </c>
      <c r="F67" s="130">
        <f t="shared" si="2"/>
        <v>149.48817399999999</v>
      </c>
      <c r="H67" s="133">
        <f>SUM(F38:F67)</f>
        <v>6470.7023919999974</v>
      </c>
      <c r="I67" s="134">
        <f>AVERAGE(D38:D67)</f>
        <v>0.10099999999999998</v>
      </c>
      <c r="J67" s="135">
        <f>AVERAGE(D7:D67)</f>
        <v>0.14147540983606557</v>
      </c>
      <c r="K67" s="138">
        <f>AVERAGE(D7:D67)</f>
        <v>0.14147540983606557</v>
      </c>
    </row>
    <row r="68" spans="1:11" hidden="1" x14ac:dyDescent="0.25">
      <c r="A68" s="121">
        <v>41456</v>
      </c>
      <c r="B68" s="122">
        <f t="shared" si="3"/>
        <v>41456</v>
      </c>
      <c r="D68" s="136">
        <v>7.0000000000000007E-2</v>
      </c>
      <c r="F68" s="130">
        <f t="shared" si="2"/>
        <v>149.48817399999999</v>
      </c>
    </row>
    <row r="69" spans="1:11" hidden="1" x14ac:dyDescent="0.25">
      <c r="B69" s="122">
        <f t="shared" si="3"/>
        <v>41457</v>
      </c>
      <c r="D69" s="136">
        <v>7.0000000000000007E-2</v>
      </c>
      <c r="F69" s="130">
        <f t="shared" si="2"/>
        <v>149.48817399999999</v>
      </c>
    </row>
    <row r="70" spans="1:11" hidden="1" x14ac:dyDescent="0.25">
      <c r="B70" s="122">
        <f t="shared" si="3"/>
        <v>41458</v>
      </c>
      <c r="D70" s="136">
        <v>7.0000000000000007E-2</v>
      </c>
      <c r="F70" s="130">
        <f t="shared" si="2"/>
        <v>149.48817399999999</v>
      </c>
    </row>
    <row r="71" spans="1:11" hidden="1" x14ac:dyDescent="0.25">
      <c r="B71" s="122">
        <f t="shared" si="3"/>
        <v>41459</v>
      </c>
      <c r="D71" s="136">
        <v>0.06</v>
      </c>
      <c r="F71" s="130">
        <f t="shared" si="2"/>
        <v>128.132721</v>
      </c>
    </row>
    <row r="72" spans="1:11" hidden="1" x14ac:dyDescent="0.25">
      <c r="B72" s="122">
        <f t="shared" si="3"/>
        <v>41460</v>
      </c>
      <c r="D72" s="136">
        <v>0.06</v>
      </c>
      <c r="F72" s="130">
        <f t="shared" si="2"/>
        <v>128.132721</v>
      </c>
    </row>
    <row r="73" spans="1:11" hidden="1" x14ac:dyDescent="0.25">
      <c r="B73" s="122">
        <f t="shared" si="3"/>
        <v>41461</v>
      </c>
      <c r="D73" s="136">
        <v>0.06</v>
      </c>
      <c r="F73" s="130">
        <f t="shared" si="2"/>
        <v>128.132721</v>
      </c>
    </row>
    <row r="74" spans="1:11" hidden="1" x14ac:dyDescent="0.25">
      <c r="B74" s="122">
        <f t="shared" si="3"/>
        <v>41462</v>
      </c>
      <c r="D74" s="136">
        <v>0.06</v>
      </c>
      <c r="F74" s="130">
        <f t="shared" si="2"/>
        <v>128.132721</v>
      </c>
    </row>
    <row r="75" spans="1:11" hidden="1" x14ac:dyDescent="0.25">
      <c r="B75" s="122">
        <f t="shared" si="3"/>
        <v>41463</v>
      </c>
      <c r="D75" s="136">
        <v>0.06</v>
      </c>
      <c r="F75" s="130">
        <f t="shared" si="2"/>
        <v>128.132721</v>
      </c>
    </row>
    <row r="76" spans="1:11" hidden="1" x14ac:dyDescent="0.25">
      <c r="B76" s="122">
        <f t="shared" si="3"/>
        <v>41464</v>
      </c>
      <c r="D76" s="136">
        <v>0.06</v>
      </c>
      <c r="F76" s="130">
        <f t="shared" si="2"/>
        <v>128.132721</v>
      </c>
    </row>
    <row r="77" spans="1:11" hidden="1" x14ac:dyDescent="0.25">
      <c r="B77" s="122">
        <f t="shared" si="3"/>
        <v>41465</v>
      </c>
      <c r="D77" s="136">
        <v>0.06</v>
      </c>
      <c r="F77" s="130">
        <f t="shared" si="2"/>
        <v>128.132721</v>
      </c>
    </row>
    <row r="78" spans="1:11" hidden="1" x14ac:dyDescent="0.25">
      <c r="B78" s="122">
        <f t="shared" si="3"/>
        <v>41466</v>
      </c>
      <c r="D78" s="136">
        <v>7.0000000000000007E-2</v>
      </c>
      <c r="F78" s="130">
        <f t="shared" si="2"/>
        <v>149.48817399999999</v>
      </c>
    </row>
    <row r="79" spans="1:11" hidden="1" x14ac:dyDescent="0.25">
      <c r="B79" s="122">
        <f t="shared" si="3"/>
        <v>41467</v>
      </c>
      <c r="D79" s="136">
        <v>7.0000000000000007E-2</v>
      </c>
      <c r="F79" s="130">
        <f t="shared" si="2"/>
        <v>149.48817399999999</v>
      </c>
    </row>
    <row r="80" spans="1:11" hidden="1" x14ac:dyDescent="0.25">
      <c r="B80" s="122">
        <f t="shared" si="3"/>
        <v>41468</v>
      </c>
      <c r="D80" s="136">
        <v>7.0000000000000007E-2</v>
      </c>
      <c r="F80" s="130">
        <f t="shared" si="2"/>
        <v>149.48817399999999</v>
      </c>
    </row>
    <row r="81" spans="2:6" hidden="1" x14ac:dyDescent="0.25">
      <c r="B81" s="122">
        <f t="shared" si="3"/>
        <v>41469</v>
      </c>
      <c r="D81" s="136">
        <v>7.0000000000000007E-2</v>
      </c>
      <c r="F81" s="130">
        <f t="shared" ref="F81:F144" si="4">ROUND(D81/100*$A$3/365,6)</f>
        <v>149.48817399999999</v>
      </c>
    </row>
    <row r="82" spans="2:6" hidden="1" x14ac:dyDescent="0.25">
      <c r="B82" s="122">
        <f t="shared" si="3"/>
        <v>41470</v>
      </c>
      <c r="D82" s="136">
        <v>7.0000000000000007E-2</v>
      </c>
      <c r="F82" s="130">
        <f t="shared" si="4"/>
        <v>149.48817399999999</v>
      </c>
    </row>
    <row r="83" spans="2:6" hidden="1" x14ac:dyDescent="0.25">
      <c r="B83" s="122">
        <f t="shared" si="3"/>
        <v>41471</v>
      </c>
      <c r="D83" s="136">
        <v>7.0000000000000007E-2</v>
      </c>
      <c r="F83" s="130">
        <f t="shared" si="4"/>
        <v>149.48817399999999</v>
      </c>
    </row>
    <row r="84" spans="2:6" hidden="1" x14ac:dyDescent="0.25">
      <c r="B84" s="122">
        <f t="shared" si="3"/>
        <v>41472</v>
      </c>
      <c r="D84" s="136">
        <v>7.0000000000000007E-2</v>
      </c>
      <c r="F84" s="130">
        <f t="shared" si="4"/>
        <v>149.48817399999999</v>
      </c>
    </row>
    <row r="85" spans="2:6" hidden="1" x14ac:dyDescent="0.25">
      <c r="B85" s="122">
        <f t="shared" si="3"/>
        <v>41473</v>
      </c>
      <c r="D85" s="136">
        <v>7.0000000000000007E-2</v>
      </c>
      <c r="F85" s="130">
        <f t="shared" si="4"/>
        <v>149.48817399999999</v>
      </c>
    </row>
    <row r="86" spans="2:6" hidden="1" x14ac:dyDescent="0.25">
      <c r="B86" s="122">
        <f t="shared" si="3"/>
        <v>41474</v>
      </c>
      <c r="D86" s="136">
        <v>7.0000000000000007E-2</v>
      </c>
      <c r="F86" s="130">
        <f t="shared" si="4"/>
        <v>149.48817399999999</v>
      </c>
    </row>
    <row r="87" spans="2:6" hidden="1" x14ac:dyDescent="0.25">
      <c r="B87" s="122">
        <f t="shared" si="3"/>
        <v>41475</v>
      </c>
      <c r="D87" s="136">
        <v>7.0000000000000007E-2</v>
      </c>
      <c r="F87" s="130">
        <f t="shared" si="4"/>
        <v>149.48817399999999</v>
      </c>
    </row>
    <row r="88" spans="2:6" hidden="1" x14ac:dyDescent="0.25">
      <c r="B88" s="122">
        <f t="shared" si="3"/>
        <v>41476</v>
      </c>
      <c r="D88" s="136">
        <v>7.0000000000000007E-2</v>
      </c>
      <c r="F88" s="130">
        <f t="shared" si="4"/>
        <v>149.48817399999999</v>
      </c>
    </row>
    <row r="89" spans="2:6" hidden="1" x14ac:dyDescent="0.25">
      <c r="B89" s="122">
        <f t="shared" si="3"/>
        <v>41477</v>
      </c>
      <c r="D89" s="136">
        <v>7.0000000000000007E-2</v>
      </c>
      <c r="F89" s="130">
        <f t="shared" si="4"/>
        <v>149.48817399999999</v>
      </c>
    </row>
    <row r="90" spans="2:6" hidden="1" x14ac:dyDescent="0.25">
      <c r="B90" s="122">
        <f t="shared" si="3"/>
        <v>41478</v>
      </c>
      <c r="D90" s="136">
        <v>7.0000000000000007E-2</v>
      </c>
      <c r="F90" s="130">
        <f t="shared" si="4"/>
        <v>149.48817399999999</v>
      </c>
    </row>
    <row r="91" spans="2:6" hidden="1" x14ac:dyDescent="0.25">
      <c r="B91" s="122">
        <f t="shared" si="3"/>
        <v>41479</v>
      </c>
      <c r="D91" s="136">
        <v>7.0000000000000007E-2</v>
      </c>
      <c r="F91" s="130">
        <f t="shared" si="4"/>
        <v>149.48817399999999</v>
      </c>
    </row>
    <row r="92" spans="2:6" hidden="1" x14ac:dyDescent="0.25">
      <c r="B92" s="122">
        <f t="shared" si="3"/>
        <v>41480</v>
      </c>
      <c r="D92" s="136">
        <v>7.0000000000000007E-2</v>
      </c>
      <c r="F92" s="130">
        <f t="shared" si="4"/>
        <v>149.48817399999999</v>
      </c>
    </row>
    <row r="93" spans="2:6" hidden="1" x14ac:dyDescent="0.25">
      <c r="B93" s="122">
        <f t="shared" si="3"/>
        <v>41481</v>
      </c>
      <c r="D93" s="136">
        <v>7.0000000000000007E-2</v>
      </c>
      <c r="F93" s="130">
        <f t="shared" si="4"/>
        <v>149.48817399999999</v>
      </c>
    </row>
    <row r="94" spans="2:6" hidden="1" x14ac:dyDescent="0.25">
      <c r="B94" s="122">
        <f t="shared" si="3"/>
        <v>41482</v>
      </c>
      <c r="D94" s="136">
        <v>7.0000000000000007E-2</v>
      </c>
      <c r="F94" s="130">
        <f t="shared" si="4"/>
        <v>149.48817399999999</v>
      </c>
    </row>
    <row r="95" spans="2:6" hidden="1" x14ac:dyDescent="0.25">
      <c r="B95" s="122">
        <f t="shared" si="3"/>
        <v>41483</v>
      </c>
      <c r="D95" s="136">
        <v>7.0000000000000007E-2</v>
      </c>
      <c r="F95" s="130">
        <f t="shared" si="4"/>
        <v>149.48817399999999</v>
      </c>
    </row>
    <row r="96" spans="2:6" hidden="1" x14ac:dyDescent="0.25">
      <c r="B96" s="122">
        <f t="shared" si="3"/>
        <v>41484</v>
      </c>
      <c r="D96" s="136">
        <v>7.0000000000000007E-2</v>
      </c>
      <c r="F96" s="130">
        <f t="shared" si="4"/>
        <v>149.48817399999999</v>
      </c>
    </row>
    <row r="97" spans="1:11" hidden="1" x14ac:dyDescent="0.25">
      <c r="B97" s="122">
        <f t="shared" si="3"/>
        <v>41485</v>
      </c>
      <c r="D97" s="136">
        <v>7.0000000000000007E-2</v>
      </c>
      <c r="F97" s="130">
        <f t="shared" si="4"/>
        <v>149.48817399999999</v>
      </c>
    </row>
    <row r="98" spans="1:11" hidden="1" x14ac:dyDescent="0.25">
      <c r="B98" s="122">
        <f t="shared" si="3"/>
        <v>41486</v>
      </c>
      <c r="D98" s="136">
        <v>7.0000000000000007E-2</v>
      </c>
      <c r="F98" s="130">
        <f t="shared" si="4"/>
        <v>149.48817399999999</v>
      </c>
      <c r="H98" s="133">
        <f>SUM(F68:F98)</f>
        <v>4484.6452230000004</v>
      </c>
      <c r="I98" s="134">
        <f>AVERAGE(D68:D98)</f>
        <v>6.7741935483871002E-2</v>
      </c>
      <c r="J98" s="135">
        <f>AVERAGE(D7:D98)</f>
        <v>0.11663043478260882</v>
      </c>
      <c r="K98" s="138">
        <f>AVERAGE(D7:D98)</f>
        <v>0.11663043478260882</v>
      </c>
    </row>
    <row r="99" spans="1:11" hidden="1" x14ac:dyDescent="0.25">
      <c r="A99" s="121">
        <v>41487</v>
      </c>
      <c r="B99" s="122">
        <f t="shared" si="3"/>
        <v>41487</v>
      </c>
      <c r="D99" s="136">
        <v>0.06</v>
      </c>
      <c r="F99" s="130">
        <f t="shared" si="4"/>
        <v>128.132721</v>
      </c>
    </row>
    <row r="100" spans="1:11" hidden="1" x14ac:dyDescent="0.25">
      <c r="B100" s="122">
        <f t="shared" si="3"/>
        <v>41488</v>
      </c>
      <c r="D100" s="136">
        <v>0.06</v>
      </c>
      <c r="F100" s="130">
        <f t="shared" si="4"/>
        <v>128.132721</v>
      </c>
    </row>
    <row r="101" spans="1:11" hidden="1" x14ac:dyDescent="0.25">
      <c r="B101" s="122">
        <f t="shared" si="3"/>
        <v>41489</v>
      </c>
      <c r="D101" s="136">
        <v>0.06</v>
      </c>
      <c r="F101" s="130">
        <f t="shared" si="4"/>
        <v>128.132721</v>
      </c>
    </row>
    <row r="102" spans="1:11" hidden="1" x14ac:dyDescent="0.25">
      <c r="B102" s="122">
        <f t="shared" si="3"/>
        <v>41490</v>
      </c>
      <c r="D102" s="136">
        <v>0.06</v>
      </c>
      <c r="F102" s="130">
        <f t="shared" si="4"/>
        <v>128.132721</v>
      </c>
    </row>
    <row r="103" spans="1:11" hidden="1" x14ac:dyDescent="0.25">
      <c r="B103" s="122">
        <f t="shared" si="3"/>
        <v>41491</v>
      </c>
      <c r="D103" s="136">
        <v>0.06</v>
      </c>
      <c r="F103" s="130">
        <f t="shared" si="4"/>
        <v>128.132721</v>
      </c>
    </row>
    <row r="104" spans="1:11" hidden="1" x14ac:dyDescent="0.25">
      <c r="B104" s="122">
        <f t="shared" si="3"/>
        <v>41492</v>
      </c>
      <c r="D104" s="136">
        <v>0.06</v>
      </c>
      <c r="F104" s="130">
        <f t="shared" si="4"/>
        <v>128.132721</v>
      </c>
    </row>
    <row r="105" spans="1:11" hidden="1" x14ac:dyDescent="0.25">
      <c r="B105" s="122">
        <f t="shared" si="3"/>
        <v>41493</v>
      </c>
      <c r="D105" s="136">
        <v>0.06</v>
      </c>
      <c r="F105" s="130">
        <f t="shared" si="4"/>
        <v>128.132721</v>
      </c>
    </row>
    <row r="106" spans="1:11" hidden="1" x14ac:dyDescent="0.25">
      <c r="B106" s="122">
        <f t="shared" si="3"/>
        <v>41494</v>
      </c>
      <c r="D106" s="136">
        <v>0.06</v>
      </c>
      <c r="F106" s="130">
        <f t="shared" si="4"/>
        <v>128.132721</v>
      </c>
    </row>
    <row r="107" spans="1:11" hidden="1" x14ac:dyDescent="0.25">
      <c r="B107" s="122">
        <f t="shared" si="3"/>
        <v>41495</v>
      </c>
      <c r="D107" s="136">
        <v>0.06</v>
      </c>
      <c r="F107" s="130">
        <f t="shared" si="4"/>
        <v>128.132721</v>
      </c>
    </row>
    <row r="108" spans="1:11" hidden="1" x14ac:dyDescent="0.25">
      <c r="B108" s="122">
        <f t="shared" si="3"/>
        <v>41496</v>
      </c>
      <c r="D108" s="136">
        <v>0.06</v>
      </c>
      <c r="F108" s="130">
        <f t="shared" si="4"/>
        <v>128.132721</v>
      </c>
    </row>
    <row r="109" spans="1:11" hidden="1" x14ac:dyDescent="0.25">
      <c r="B109" s="122">
        <f t="shared" si="3"/>
        <v>41497</v>
      </c>
      <c r="D109" s="136">
        <v>0.06</v>
      </c>
      <c r="F109" s="130">
        <f t="shared" si="4"/>
        <v>128.132721</v>
      </c>
    </row>
    <row r="110" spans="1:11" hidden="1" x14ac:dyDescent="0.25">
      <c r="B110" s="122">
        <f t="shared" si="3"/>
        <v>41498</v>
      </c>
      <c r="D110" s="136">
        <v>0.06</v>
      </c>
      <c r="F110" s="130">
        <f t="shared" si="4"/>
        <v>128.132721</v>
      </c>
    </row>
    <row r="111" spans="1:11" hidden="1" x14ac:dyDescent="0.25">
      <c r="B111" s="122">
        <f t="shared" si="3"/>
        <v>41499</v>
      </c>
      <c r="D111" s="136">
        <v>0.06</v>
      </c>
      <c r="F111" s="130">
        <f t="shared" si="4"/>
        <v>128.132721</v>
      </c>
    </row>
    <row r="112" spans="1:11" hidden="1" x14ac:dyDescent="0.25">
      <c r="B112" s="122">
        <f t="shared" si="3"/>
        <v>41500</v>
      </c>
      <c r="D112" s="136">
        <v>0.06</v>
      </c>
      <c r="F112" s="130">
        <f t="shared" si="4"/>
        <v>128.132721</v>
      </c>
    </row>
    <row r="113" spans="2:6" hidden="1" x14ac:dyDescent="0.25">
      <c r="B113" s="122">
        <f t="shared" si="3"/>
        <v>41501</v>
      </c>
      <c r="D113" s="136">
        <v>0.08</v>
      </c>
      <c r="F113" s="130">
        <f t="shared" si="4"/>
        <v>170.843627</v>
      </c>
    </row>
    <row r="114" spans="2:6" hidden="1" x14ac:dyDescent="0.25">
      <c r="B114" s="122">
        <f t="shared" si="3"/>
        <v>41502</v>
      </c>
      <c r="D114" s="136">
        <v>0.08</v>
      </c>
      <c r="F114" s="130">
        <f t="shared" si="4"/>
        <v>170.843627</v>
      </c>
    </row>
    <row r="115" spans="2:6" hidden="1" x14ac:dyDescent="0.25">
      <c r="B115" s="122">
        <f t="shared" si="3"/>
        <v>41503</v>
      </c>
      <c r="D115" s="136">
        <v>0.08</v>
      </c>
      <c r="F115" s="130">
        <f t="shared" si="4"/>
        <v>170.843627</v>
      </c>
    </row>
    <row r="116" spans="2:6" hidden="1" x14ac:dyDescent="0.25">
      <c r="B116" s="122">
        <f t="shared" si="3"/>
        <v>41504</v>
      </c>
      <c r="D116" s="136">
        <v>0.08</v>
      </c>
      <c r="F116" s="130">
        <f t="shared" si="4"/>
        <v>170.843627</v>
      </c>
    </row>
    <row r="117" spans="2:6" hidden="1" x14ac:dyDescent="0.25">
      <c r="B117" s="122">
        <f t="shared" si="3"/>
        <v>41505</v>
      </c>
      <c r="D117" s="136">
        <v>0.08</v>
      </c>
      <c r="F117" s="130">
        <f t="shared" si="4"/>
        <v>170.843627</v>
      </c>
    </row>
    <row r="118" spans="2:6" hidden="1" x14ac:dyDescent="0.25">
      <c r="B118" s="122">
        <f t="shared" si="3"/>
        <v>41506</v>
      </c>
      <c r="D118" s="136">
        <v>0.08</v>
      </c>
      <c r="F118" s="130">
        <f t="shared" si="4"/>
        <v>170.843627</v>
      </c>
    </row>
    <row r="119" spans="2:6" hidden="1" x14ac:dyDescent="0.25">
      <c r="B119" s="122">
        <f t="shared" si="3"/>
        <v>41507</v>
      </c>
      <c r="D119" s="136">
        <v>0.08</v>
      </c>
      <c r="F119" s="130">
        <f t="shared" si="4"/>
        <v>170.843627</v>
      </c>
    </row>
    <row r="120" spans="2:6" hidden="1" x14ac:dyDescent="0.25">
      <c r="B120" s="122">
        <f t="shared" si="3"/>
        <v>41508</v>
      </c>
      <c r="D120" s="136">
        <v>0.08</v>
      </c>
      <c r="F120" s="130">
        <f t="shared" si="4"/>
        <v>170.843627</v>
      </c>
    </row>
    <row r="121" spans="2:6" hidden="1" x14ac:dyDescent="0.25">
      <c r="B121" s="122">
        <f t="shared" si="3"/>
        <v>41509</v>
      </c>
      <c r="D121" s="136">
        <v>0.08</v>
      </c>
      <c r="F121" s="130">
        <f t="shared" si="4"/>
        <v>170.843627</v>
      </c>
    </row>
    <row r="122" spans="2:6" hidden="1" x14ac:dyDescent="0.25">
      <c r="B122" s="122">
        <f t="shared" si="3"/>
        <v>41510</v>
      </c>
      <c r="D122" s="136">
        <v>0.08</v>
      </c>
      <c r="F122" s="130">
        <f t="shared" si="4"/>
        <v>170.843627</v>
      </c>
    </row>
    <row r="123" spans="2:6" hidden="1" x14ac:dyDescent="0.25">
      <c r="B123" s="122">
        <f t="shared" si="3"/>
        <v>41511</v>
      </c>
      <c r="D123" s="136">
        <v>0.08</v>
      </c>
      <c r="F123" s="130">
        <f t="shared" si="4"/>
        <v>170.843627</v>
      </c>
    </row>
    <row r="124" spans="2:6" hidden="1" x14ac:dyDescent="0.25">
      <c r="B124" s="122">
        <f t="shared" si="3"/>
        <v>41512</v>
      </c>
      <c r="D124" s="136">
        <v>0.08</v>
      </c>
      <c r="F124" s="130">
        <f t="shared" si="4"/>
        <v>170.843627</v>
      </c>
    </row>
    <row r="125" spans="2:6" hidden="1" x14ac:dyDescent="0.25">
      <c r="B125" s="122">
        <f t="shared" si="3"/>
        <v>41513</v>
      </c>
      <c r="D125" s="136">
        <v>0.08</v>
      </c>
      <c r="F125" s="130">
        <f t="shared" si="4"/>
        <v>170.843627</v>
      </c>
    </row>
    <row r="126" spans="2:6" hidden="1" x14ac:dyDescent="0.25">
      <c r="B126" s="122">
        <f t="shared" si="3"/>
        <v>41514</v>
      </c>
      <c r="D126" s="136">
        <v>0.08</v>
      </c>
      <c r="F126" s="130">
        <f t="shared" si="4"/>
        <v>170.843627</v>
      </c>
    </row>
    <row r="127" spans="2:6" hidden="1" x14ac:dyDescent="0.25">
      <c r="B127" s="122">
        <f t="shared" si="3"/>
        <v>41515</v>
      </c>
      <c r="D127" s="136">
        <v>7.0000000000000007E-2</v>
      </c>
      <c r="F127" s="130">
        <f t="shared" si="4"/>
        <v>149.48817399999999</v>
      </c>
    </row>
    <row r="128" spans="2:6" hidden="1" x14ac:dyDescent="0.25">
      <c r="B128" s="122">
        <f t="shared" si="3"/>
        <v>41516</v>
      </c>
      <c r="D128" s="136">
        <v>7.0000000000000007E-2</v>
      </c>
      <c r="F128" s="130">
        <f t="shared" si="4"/>
        <v>149.48817399999999</v>
      </c>
    </row>
    <row r="129" spans="1:11" hidden="1" x14ac:dyDescent="0.25">
      <c r="B129" s="122">
        <f t="shared" si="3"/>
        <v>41517</v>
      </c>
      <c r="D129" s="136">
        <v>7.0000000000000007E-2</v>
      </c>
      <c r="F129" s="130">
        <f t="shared" si="4"/>
        <v>149.48817399999999</v>
      </c>
      <c r="H129" s="133">
        <f>SUM(F99:F129)</f>
        <v>4634.1333940000022</v>
      </c>
      <c r="I129" s="134">
        <f>AVERAGE(D99:D129)</f>
        <v>7.0000000000000021E-2</v>
      </c>
      <c r="J129" s="135">
        <f>AVERAGE(D7:D129)</f>
        <v>0.10487804878048797</v>
      </c>
      <c r="K129" s="138">
        <f>AVERAGE(D7:D129)</f>
        <v>0.10487804878048797</v>
      </c>
    </row>
    <row r="130" spans="1:11" hidden="1" x14ac:dyDescent="0.25">
      <c r="A130" s="121">
        <v>41518</v>
      </c>
      <c r="B130" s="122">
        <f t="shared" si="3"/>
        <v>41518</v>
      </c>
      <c r="D130" s="136">
        <v>7.0000000000000007E-2</v>
      </c>
      <c r="F130" s="130">
        <f t="shared" si="4"/>
        <v>149.48817399999999</v>
      </c>
    </row>
    <row r="131" spans="1:11" hidden="1" x14ac:dyDescent="0.25">
      <c r="B131" s="122">
        <f t="shared" ref="B131:B190" si="5">B130+1</f>
        <v>41519</v>
      </c>
      <c r="D131" s="136">
        <v>7.0000000000000007E-2</v>
      </c>
      <c r="F131" s="130">
        <f t="shared" si="4"/>
        <v>149.48817399999999</v>
      </c>
    </row>
    <row r="132" spans="1:11" hidden="1" x14ac:dyDescent="0.25">
      <c r="B132" s="122">
        <f t="shared" si="5"/>
        <v>41520</v>
      </c>
      <c r="D132" s="136">
        <v>7.0000000000000007E-2</v>
      </c>
      <c r="F132" s="130">
        <f t="shared" si="4"/>
        <v>149.48817399999999</v>
      </c>
    </row>
    <row r="133" spans="1:11" hidden="1" x14ac:dyDescent="0.25">
      <c r="B133" s="122">
        <f t="shared" si="5"/>
        <v>41521</v>
      </c>
      <c r="D133" s="136">
        <v>7.0000000000000007E-2</v>
      </c>
      <c r="F133" s="130">
        <f t="shared" si="4"/>
        <v>149.48817399999999</v>
      </c>
    </row>
    <row r="134" spans="1:11" hidden="1" x14ac:dyDescent="0.25">
      <c r="B134" s="122">
        <f t="shared" si="5"/>
        <v>41522</v>
      </c>
      <c r="D134" s="136">
        <v>7.0000000000000007E-2</v>
      </c>
      <c r="F134" s="130">
        <f t="shared" si="4"/>
        <v>149.48817399999999</v>
      </c>
    </row>
    <row r="135" spans="1:11" hidden="1" x14ac:dyDescent="0.25">
      <c r="B135" s="122">
        <f t="shared" si="5"/>
        <v>41523</v>
      </c>
      <c r="D135" s="136">
        <v>7.0000000000000007E-2</v>
      </c>
      <c r="F135" s="130">
        <f t="shared" si="4"/>
        <v>149.48817399999999</v>
      </c>
    </row>
    <row r="136" spans="1:11" hidden="1" x14ac:dyDescent="0.25">
      <c r="B136" s="122">
        <f t="shared" si="5"/>
        <v>41524</v>
      </c>
      <c r="D136" s="136">
        <v>7.0000000000000007E-2</v>
      </c>
      <c r="F136" s="130">
        <f t="shared" si="4"/>
        <v>149.48817399999999</v>
      </c>
    </row>
    <row r="137" spans="1:11" hidden="1" x14ac:dyDescent="0.25">
      <c r="B137" s="122">
        <f t="shared" si="5"/>
        <v>41525</v>
      </c>
      <c r="D137" s="136">
        <v>7.0000000000000007E-2</v>
      </c>
      <c r="F137" s="130">
        <f t="shared" si="4"/>
        <v>149.48817399999999</v>
      </c>
    </row>
    <row r="138" spans="1:11" hidden="1" x14ac:dyDescent="0.25">
      <c r="B138" s="122">
        <f t="shared" si="5"/>
        <v>41526</v>
      </c>
      <c r="D138" s="136">
        <v>7.0000000000000007E-2</v>
      </c>
      <c r="F138" s="130">
        <f t="shared" si="4"/>
        <v>149.48817399999999</v>
      </c>
    </row>
    <row r="139" spans="1:11" hidden="1" x14ac:dyDescent="0.25">
      <c r="B139" s="122">
        <f t="shared" si="5"/>
        <v>41527</v>
      </c>
      <c r="D139" s="136">
        <v>7.0000000000000007E-2</v>
      </c>
      <c r="F139" s="130">
        <f t="shared" si="4"/>
        <v>149.48817399999999</v>
      </c>
    </row>
    <row r="140" spans="1:11" hidden="1" x14ac:dyDescent="0.25">
      <c r="B140" s="122">
        <f t="shared" si="5"/>
        <v>41528</v>
      </c>
      <c r="D140" s="136">
        <v>7.0000000000000007E-2</v>
      </c>
      <c r="F140" s="130">
        <f t="shared" si="4"/>
        <v>149.48817399999999</v>
      </c>
    </row>
    <row r="141" spans="1:11" hidden="1" x14ac:dyDescent="0.25">
      <c r="B141" s="122">
        <f t="shared" si="5"/>
        <v>41529</v>
      </c>
      <c r="D141" s="136">
        <v>7.0000000000000007E-2</v>
      </c>
      <c r="F141" s="130">
        <f t="shared" si="4"/>
        <v>149.48817399999999</v>
      </c>
    </row>
    <row r="142" spans="1:11" hidden="1" x14ac:dyDescent="0.25">
      <c r="B142" s="122">
        <f t="shared" si="5"/>
        <v>41530</v>
      </c>
      <c r="D142" s="136">
        <v>7.0000000000000007E-2</v>
      </c>
      <c r="F142" s="130">
        <f t="shared" si="4"/>
        <v>149.48817399999999</v>
      </c>
    </row>
    <row r="143" spans="1:11" hidden="1" x14ac:dyDescent="0.25">
      <c r="B143" s="122">
        <f t="shared" si="5"/>
        <v>41531</v>
      </c>
      <c r="D143" s="136">
        <v>7.0000000000000007E-2</v>
      </c>
      <c r="F143" s="130">
        <f t="shared" si="4"/>
        <v>149.48817399999999</v>
      </c>
    </row>
    <row r="144" spans="1:11" hidden="1" x14ac:dyDescent="0.25">
      <c r="B144" s="122">
        <f t="shared" si="5"/>
        <v>41532</v>
      </c>
      <c r="D144" s="136">
        <v>7.0000000000000007E-2</v>
      </c>
      <c r="F144" s="130">
        <f t="shared" si="4"/>
        <v>149.48817399999999</v>
      </c>
    </row>
    <row r="145" spans="1:11" hidden="1" x14ac:dyDescent="0.25">
      <c r="B145" s="122">
        <f t="shared" si="5"/>
        <v>41533</v>
      </c>
      <c r="D145" s="136">
        <v>7.0000000000000007E-2</v>
      </c>
      <c r="F145" s="130">
        <f t="shared" ref="F145:F190" si="6">ROUND(D145/100*$A$3/365,6)</f>
        <v>149.48817399999999</v>
      </c>
    </row>
    <row r="146" spans="1:11" hidden="1" x14ac:dyDescent="0.25">
      <c r="B146" s="122">
        <f t="shared" si="5"/>
        <v>41534</v>
      </c>
      <c r="D146" s="136">
        <v>7.0000000000000007E-2</v>
      </c>
      <c r="F146" s="130">
        <f>ROUND(D146/100*$A$3/365,4)</f>
        <v>149.48820000000001</v>
      </c>
    </row>
    <row r="147" spans="1:11" hidden="1" x14ac:dyDescent="0.25">
      <c r="B147" s="122">
        <f t="shared" si="5"/>
        <v>41535</v>
      </c>
      <c r="D147" s="136">
        <v>7.0000000000000007E-2</v>
      </c>
      <c r="F147" s="130">
        <f t="shared" si="6"/>
        <v>149.48817399999999</v>
      </c>
    </row>
    <row r="148" spans="1:11" hidden="1" x14ac:dyDescent="0.25">
      <c r="B148" s="122">
        <f t="shared" si="5"/>
        <v>41536</v>
      </c>
      <c r="D148" s="136">
        <v>0.08</v>
      </c>
      <c r="F148" s="130">
        <f t="shared" si="6"/>
        <v>170.843627</v>
      </c>
    </row>
    <row r="149" spans="1:11" hidden="1" x14ac:dyDescent="0.25">
      <c r="B149" s="122">
        <f t="shared" si="5"/>
        <v>41537</v>
      </c>
      <c r="D149" s="136">
        <v>0.08</v>
      </c>
      <c r="F149" s="130">
        <f t="shared" si="6"/>
        <v>170.843627</v>
      </c>
    </row>
    <row r="150" spans="1:11" hidden="1" x14ac:dyDescent="0.25">
      <c r="B150" s="122">
        <f t="shared" si="5"/>
        <v>41538</v>
      </c>
      <c r="D150" s="136">
        <v>0.08</v>
      </c>
      <c r="F150" s="130">
        <f>ROUND(D150/100*$A$3/365,5)</f>
        <v>170.84362999999999</v>
      </c>
    </row>
    <row r="151" spans="1:11" hidden="1" x14ac:dyDescent="0.25">
      <c r="B151" s="122">
        <f t="shared" si="5"/>
        <v>41539</v>
      </c>
      <c r="D151" s="136">
        <v>0.08</v>
      </c>
      <c r="F151" s="130">
        <f t="shared" si="6"/>
        <v>170.843627</v>
      </c>
    </row>
    <row r="152" spans="1:11" hidden="1" x14ac:dyDescent="0.25">
      <c r="B152" s="122">
        <f t="shared" si="5"/>
        <v>41540</v>
      </c>
      <c r="D152" s="136">
        <v>0.08</v>
      </c>
      <c r="F152" s="130">
        <f t="shared" si="6"/>
        <v>170.843627</v>
      </c>
    </row>
    <row r="153" spans="1:11" hidden="1" x14ac:dyDescent="0.25">
      <c r="B153" s="122">
        <f t="shared" si="5"/>
        <v>41541</v>
      </c>
      <c r="D153" s="136">
        <v>0.08</v>
      </c>
      <c r="F153" s="130">
        <f t="shared" si="6"/>
        <v>170.843627</v>
      </c>
    </row>
    <row r="154" spans="1:11" hidden="1" x14ac:dyDescent="0.25">
      <c r="B154" s="122">
        <f t="shared" si="5"/>
        <v>41542</v>
      </c>
      <c r="D154" s="136">
        <v>0.08</v>
      </c>
      <c r="F154" s="130">
        <f t="shared" si="6"/>
        <v>170.843627</v>
      </c>
    </row>
    <row r="155" spans="1:11" hidden="1" x14ac:dyDescent="0.25">
      <c r="B155" s="122">
        <f t="shared" si="5"/>
        <v>41543</v>
      </c>
      <c r="D155" s="136">
        <v>0.09</v>
      </c>
      <c r="F155" s="130">
        <f>ROUND(D155/100*$A$3/365,5)</f>
        <v>192.19908000000001</v>
      </c>
    </row>
    <row r="156" spans="1:11" hidden="1" x14ac:dyDescent="0.25">
      <c r="B156" s="122">
        <f t="shared" si="5"/>
        <v>41544</v>
      </c>
      <c r="D156" s="136">
        <v>0.09</v>
      </c>
      <c r="F156" s="130">
        <f t="shared" si="6"/>
        <v>192.19908100000001</v>
      </c>
    </row>
    <row r="157" spans="1:11" hidden="1" x14ac:dyDescent="0.25">
      <c r="B157" s="122">
        <f t="shared" si="5"/>
        <v>41545</v>
      </c>
      <c r="D157" s="136">
        <v>0.09</v>
      </c>
      <c r="F157" s="130">
        <f t="shared" si="6"/>
        <v>192.19908100000001</v>
      </c>
    </row>
    <row r="158" spans="1:11" hidden="1" x14ac:dyDescent="0.25">
      <c r="B158" s="122">
        <f t="shared" si="5"/>
        <v>41546</v>
      </c>
      <c r="D158" s="136">
        <v>0.09</v>
      </c>
      <c r="F158" s="130">
        <f t="shared" si="6"/>
        <v>192.19908100000001</v>
      </c>
    </row>
    <row r="159" spans="1:11" hidden="1" x14ac:dyDescent="0.25">
      <c r="B159" s="122">
        <f t="shared" si="5"/>
        <v>41547</v>
      </c>
      <c r="D159" s="136">
        <v>0.09</v>
      </c>
      <c r="F159" s="130">
        <f t="shared" si="6"/>
        <v>192.19908100000001</v>
      </c>
      <c r="H159" s="133">
        <f>SUM(F130:F159)</f>
        <v>4847.687954</v>
      </c>
      <c r="I159" s="134">
        <f>AVERAGE(D130:D159)</f>
        <v>7.5666666666666701E-2</v>
      </c>
      <c r="J159" s="135">
        <f>AVERAGE(D7:D159)</f>
        <v>9.9150326797385779E-2</v>
      </c>
      <c r="K159" s="138">
        <f>AVERAGE(D7:D159)</f>
        <v>9.9150326797385779E-2</v>
      </c>
    </row>
    <row r="160" spans="1:11" x14ac:dyDescent="0.25">
      <c r="A160" s="121">
        <v>41548</v>
      </c>
      <c r="B160" s="122">
        <f t="shared" si="5"/>
        <v>41548</v>
      </c>
      <c r="D160" s="136">
        <v>0.09</v>
      </c>
      <c r="F160" s="130">
        <f t="shared" si="6"/>
        <v>192.19908100000001</v>
      </c>
    </row>
    <row r="161" spans="2:6" x14ac:dyDescent="0.25">
      <c r="B161" s="122">
        <f t="shared" si="5"/>
        <v>41549</v>
      </c>
      <c r="D161" s="136">
        <v>0.09</v>
      </c>
      <c r="F161" s="130">
        <f t="shared" si="6"/>
        <v>192.19908100000001</v>
      </c>
    </row>
    <row r="162" spans="2:6" x14ac:dyDescent="0.25">
      <c r="B162" s="122">
        <f t="shared" si="5"/>
        <v>41550</v>
      </c>
      <c r="D162" s="136">
        <v>7.0000000000000007E-2</v>
      </c>
      <c r="F162" s="130">
        <f t="shared" si="6"/>
        <v>149.48817399999999</v>
      </c>
    </row>
    <row r="163" spans="2:6" x14ac:dyDescent="0.25">
      <c r="B163" s="122">
        <f t="shared" si="5"/>
        <v>41551</v>
      </c>
      <c r="D163" s="136">
        <v>7.0000000000000007E-2</v>
      </c>
      <c r="F163" s="130">
        <f t="shared" si="6"/>
        <v>149.48817399999999</v>
      </c>
    </row>
    <row r="164" spans="2:6" x14ac:dyDescent="0.25">
      <c r="B164" s="122">
        <f t="shared" si="5"/>
        <v>41552</v>
      </c>
      <c r="D164" s="136">
        <v>7.0000000000000007E-2</v>
      </c>
      <c r="F164" s="130">
        <f t="shared" si="6"/>
        <v>149.48817399999999</v>
      </c>
    </row>
    <row r="165" spans="2:6" x14ac:dyDescent="0.25">
      <c r="B165" s="122">
        <f t="shared" si="5"/>
        <v>41553</v>
      </c>
      <c r="D165" s="136">
        <v>7.0000000000000007E-2</v>
      </c>
      <c r="F165" s="130">
        <f t="shared" si="6"/>
        <v>149.48817399999999</v>
      </c>
    </row>
    <row r="166" spans="2:6" x14ac:dyDescent="0.25">
      <c r="B166" s="122">
        <f t="shared" si="5"/>
        <v>41554</v>
      </c>
      <c r="D166" s="136">
        <v>7.0000000000000007E-2</v>
      </c>
      <c r="F166" s="130">
        <f t="shared" si="6"/>
        <v>149.48817399999999</v>
      </c>
    </row>
    <row r="167" spans="2:6" x14ac:dyDescent="0.25">
      <c r="B167" s="122">
        <f t="shared" si="5"/>
        <v>41555</v>
      </c>
      <c r="D167" s="136">
        <v>7.0000000000000007E-2</v>
      </c>
      <c r="F167" s="130">
        <f t="shared" si="6"/>
        <v>149.48817399999999</v>
      </c>
    </row>
    <row r="168" spans="2:6" x14ac:dyDescent="0.25">
      <c r="B168" s="122">
        <f t="shared" si="5"/>
        <v>41556</v>
      </c>
      <c r="D168" s="136">
        <v>7.0000000000000007E-2</v>
      </c>
      <c r="F168" s="130">
        <f t="shared" si="6"/>
        <v>149.48817399999999</v>
      </c>
    </row>
    <row r="169" spans="2:6" x14ac:dyDescent="0.25">
      <c r="B169" s="122">
        <f t="shared" si="5"/>
        <v>41557</v>
      </c>
      <c r="D169" s="136">
        <v>0.09</v>
      </c>
      <c r="F169" s="130">
        <f t="shared" si="6"/>
        <v>192.19908100000001</v>
      </c>
    </row>
    <row r="170" spans="2:6" x14ac:dyDescent="0.25">
      <c r="B170" s="122">
        <f t="shared" si="5"/>
        <v>41558</v>
      </c>
      <c r="D170" s="136">
        <v>0.09</v>
      </c>
      <c r="F170" s="130">
        <f t="shared" si="6"/>
        <v>192.19908100000001</v>
      </c>
    </row>
    <row r="171" spans="2:6" x14ac:dyDescent="0.25">
      <c r="B171" s="122">
        <f t="shared" si="5"/>
        <v>41559</v>
      </c>
      <c r="D171" s="136">
        <v>0.09</v>
      </c>
      <c r="F171" s="130">
        <f t="shared" si="6"/>
        <v>192.19908100000001</v>
      </c>
    </row>
    <row r="172" spans="2:6" x14ac:dyDescent="0.25">
      <c r="B172" s="122">
        <f t="shared" si="5"/>
        <v>41560</v>
      </c>
      <c r="D172" s="136">
        <v>0.09</v>
      </c>
      <c r="F172" s="130">
        <f t="shared" si="6"/>
        <v>192.19908100000001</v>
      </c>
    </row>
    <row r="173" spans="2:6" x14ac:dyDescent="0.25">
      <c r="B173" s="122">
        <f t="shared" si="5"/>
        <v>41561</v>
      </c>
      <c r="D173" s="136">
        <v>0.09</v>
      </c>
      <c r="F173" s="130">
        <f t="shared" si="6"/>
        <v>192.19908100000001</v>
      </c>
    </row>
    <row r="174" spans="2:6" x14ac:dyDescent="0.25">
      <c r="B174" s="122">
        <f t="shared" si="5"/>
        <v>41562</v>
      </c>
      <c r="D174" s="136">
        <v>0.09</v>
      </c>
      <c r="F174" s="130">
        <f t="shared" si="6"/>
        <v>192.19908100000001</v>
      </c>
    </row>
    <row r="175" spans="2:6" x14ac:dyDescent="0.25">
      <c r="B175" s="122">
        <f t="shared" si="5"/>
        <v>41563</v>
      </c>
      <c r="D175" s="136">
        <v>0.09</v>
      </c>
      <c r="F175" s="130">
        <f t="shared" si="6"/>
        <v>192.19908100000001</v>
      </c>
    </row>
    <row r="176" spans="2:6" x14ac:dyDescent="0.25">
      <c r="B176" s="122">
        <f t="shared" si="5"/>
        <v>41564</v>
      </c>
      <c r="D176" s="136">
        <v>0.11</v>
      </c>
      <c r="F176" s="130">
        <f t="shared" si="6"/>
        <v>234.909988</v>
      </c>
    </row>
    <row r="177" spans="2:11" x14ac:dyDescent="0.25">
      <c r="B177" s="122">
        <f t="shared" si="5"/>
        <v>41565</v>
      </c>
      <c r="D177" s="136">
        <v>0.11</v>
      </c>
      <c r="F177" s="130">
        <f t="shared" si="6"/>
        <v>234.909988</v>
      </c>
    </row>
    <row r="178" spans="2:11" x14ac:dyDescent="0.25">
      <c r="B178" s="122">
        <f t="shared" si="5"/>
        <v>41566</v>
      </c>
      <c r="D178" s="136">
        <v>0.11</v>
      </c>
      <c r="F178" s="130">
        <f t="shared" si="6"/>
        <v>234.909988</v>
      </c>
    </row>
    <row r="179" spans="2:11" x14ac:dyDescent="0.25">
      <c r="B179" s="122">
        <f t="shared" si="5"/>
        <v>41567</v>
      </c>
      <c r="D179" s="136">
        <v>0.11</v>
      </c>
      <c r="F179" s="130">
        <f t="shared" si="6"/>
        <v>234.909988</v>
      </c>
    </row>
    <row r="180" spans="2:11" x14ac:dyDescent="0.25">
      <c r="B180" s="122">
        <f t="shared" si="5"/>
        <v>41568</v>
      </c>
      <c r="D180" s="136">
        <v>0.11</v>
      </c>
      <c r="F180" s="130">
        <f t="shared" si="6"/>
        <v>234.909988</v>
      </c>
    </row>
    <row r="181" spans="2:11" x14ac:dyDescent="0.25">
      <c r="B181" s="122">
        <f t="shared" si="5"/>
        <v>41569</v>
      </c>
      <c r="D181" s="136">
        <v>0.11</v>
      </c>
      <c r="F181" s="130">
        <f t="shared" si="6"/>
        <v>234.909988</v>
      </c>
    </row>
    <row r="182" spans="2:11" x14ac:dyDescent="0.25">
      <c r="B182" s="122">
        <f t="shared" si="5"/>
        <v>41570</v>
      </c>
      <c r="D182" s="136">
        <v>0.11</v>
      </c>
      <c r="F182" s="130">
        <f t="shared" si="6"/>
        <v>234.909988</v>
      </c>
    </row>
    <row r="183" spans="2:11" x14ac:dyDescent="0.25">
      <c r="B183" s="122">
        <f t="shared" si="5"/>
        <v>41571</v>
      </c>
      <c r="D183" s="136">
        <v>0.12</v>
      </c>
      <c r="F183" s="130">
        <f t="shared" si="6"/>
        <v>256.26544100000001</v>
      </c>
    </row>
    <row r="184" spans="2:11" x14ac:dyDescent="0.25">
      <c r="B184" s="122">
        <f t="shared" si="5"/>
        <v>41572</v>
      </c>
      <c r="D184" s="136">
        <v>0.12</v>
      </c>
      <c r="F184" s="130">
        <f t="shared" si="6"/>
        <v>256.26544100000001</v>
      </c>
    </row>
    <row r="185" spans="2:11" x14ac:dyDescent="0.25">
      <c r="B185" s="122">
        <f t="shared" si="5"/>
        <v>41573</v>
      </c>
      <c r="D185" s="136">
        <v>0.12</v>
      </c>
      <c r="F185" s="130">
        <f t="shared" si="6"/>
        <v>256.26544100000001</v>
      </c>
    </row>
    <row r="186" spans="2:11" x14ac:dyDescent="0.25">
      <c r="B186" s="122">
        <f t="shared" si="5"/>
        <v>41574</v>
      </c>
      <c r="D186" s="136">
        <v>0.12</v>
      </c>
      <c r="F186" s="130">
        <f t="shared" si="6"/>
        <v>256.26544100000001</v>
      </c>
    </row>
    <row r="187" spans="2:11" x14ac:dyDescent="0.25">
      <c r="B187" s="122">
        <f t="shared" si="5"/>
        <v>41575</v>
      </c>
      <c r="D187" s="136">
        <v>0.12</v>
      </c>
      <c r="F187" s="130">
        <f t="shared" si="6"/>
        <v>256.26544100000001</v>
      </c>
    </row>
    <row r="188" spans="2:11" x14ac:dyDescent="0.25">
      <c r="B188" s="122">
        <f t="shared" si="5"/>
        <v>41576</v>
      </c>
      <c r="D188" s="136">
        <v>0.12</v>
      </c>
      <c r="F188" s="130">
        <f t="shared" si="6"/>
        <v>256.26544100000001</v>
      </c>
    </row>
    <row r="189" spans="2:11" x14ac:dyDescent="0.25">
      <c r="B189" s="122">
        <f t="shared" si="5"/>
        <v>41577</v>
      </c>
      <c r="D189" s="136">
        <v>0.12</v>
      </c>
      <c r="F189" s="130">
        <f t="shared" si="6"/>
        <v>256.26544100000001</v>
      </c>
    </row>
    <row r="190" spans="2:11" x14ac:dyDescent="0.25">
      <c r="B190" s="122">
        <f t="shared" si="5"/>
        <v>41578</v>
      </c>
      <c r="D190" s="136">
        <v>0.1</v>
      </c>
      <c r="F190" s="130">
        <f t="shared" si="6"/>
        <v>213.55453399999999</v>
      </c>
      <c r="H190" s="133">
        <f>SUM(F160:F190)</f>
        <v>6427.9914839999974</v>
      </c>
      <c r="I190" s="134">
        <f>AVERAGE(D160:D190)</f>
        <v>9.7096774193548438E-2</v>
      </c>
      <c r="J190" s="135">
        <f>AVERAGE(D7:D190)</f>
        <v>9.880434782608713E-2</v>
      </c>
      <c r="K190" s="138">
        <f>AVERAGE(D7:D190)</f>
        <v>9.880434782608713E-2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>
    <pageSetUpPr fitToPage="1"/>
  </sheetPr>
  <dimension ref="A1:O23"/>
  <sheetViews>
    <sheetView topLeftCell="E16" workbookViewId="0">
      <selection activeCell="H25" sqref="H25"/>
    </sheetView>
  </sheetViews>
  <sheetFormatPr defaultRowHeight="12.75" x14ac:dyDescent="0.2"/>
  <cols>
    <col min="1" max="1" width="52.140625" customWidth="1"/>
    <col min="2" max="2" width="4.28515625" customWidth="1"/>
    <col min="3" max="3" width="10.7109375" customWidth="1"/>
    <col min="4" max="4" width="11.42578125" customWidth="1"/>
    <col min="5" max="5" width="14.140625" customWidth="1"/>
    <col min="6" max="6" width="17" customWidth="1"/>
    <col min="7" max="7" width="17.7109375" customWidth="1"/>
    <col min="8" max="8" width="17.85546875" bestFit="1" customWidth="1"/>
    <col min="9" max="9" width="17.5703125" bestFit="1" customWidth="1"/>
    <col min="10" max="10" width="18.85546875" customWidth="1"/>
    <col min="11" max="11" width="19" bestFit="1" customWidth="1"/>
    <col min="12" max="12" width="15" bestFit="1" customWidth="1"/>
    <col min="13" max="13" width="16.28515625" customWidth="1"/>
    <col min="16" max="16" width="18.5703125" bestFit="1" customWidth="1"/>
  </cols>
  <sheetData>
    <row r="1" spans="1:15" ht="15.75" x14ac:dyDescent="0.25">
      <c r="A1" s="160"/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160"/>
      <c r="M1" s="160"/>
      <c r="N1" s="160"/>
      <c r="O1" s="160"/>
    </row>
    <row r="2" spans="1:15" ht="15.75" x14ac:dyDescent="0.25">
      <c r="A2" s="160"/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160"/>
      <c r="M2" s="160"/>
      <c r="N2" s="160"/>
      <c r="O2" s="160"/>
    </row>
    <row r="3" spans="1:15" ht="15" x14ac:dyDescent="0.2">
      <c r="A3" s="160"/>
      <c r="B3" s="161"/>
      <c r="C3" s="161"/>
      <c r="D3" s="161"/>
      <c r="E3" s="161"/>
      <c r="F3" s="162"/>
      <c r="G3" s="161"/>
      <c r="H3" s="161"/>
      <c r="I3" s="160"/>
      <c r="J3" s="160"/>
      <c r="K3" s="160"/>
      <c r="L3" s="160"/>
      <c r="M3" s="160"/>
      <c r="N3" s="160"/>
      <c r="O3" s="160"/>
    </row>
    <row r="5" spans="1:15" ht="15" x14ac:dyDescent="0.2">
      <c r="A5" s="160"/>
      <c r="B5" s="160"/>
      <c r="C5" s="160"/>
      <c r="D5" s="160"/>
      <c r="E5" s="160"/>
      <c r="F5" s="160"/>
      <c r="G5" s="160"/>
      <c r="H5" s="160"/>
      <c r="I5" s="161" t="s">
        <v>112</v>
      </c>
      <c r="J5" s="160"/>
      <c r="K5" s="160"/>
      <c r="L5" s="160"/>
      <c r="M5" s="160"/>
      <c r="N5" s="160"/>
      <c r="O5" s="160"/>
    </row>
    <row r="6" spans="1:15" ht="15" x14ac:dyDescent="0.2">
      <c r="A6" s="160"/>
      <c r="B6" s="160"/>
      <c r="C6" s="163" t="s">
        <v>113</v>
      </c>
      <c r="D6" s="160"/>
      <c r="E6" s="163" t="s">
        <v>114</v>
      </c>
      <c r="F6" s="161" t="s">
        <v>115</v>
      </c>
      <c r="G6" s="163" t="s">
        <v>116</v>
      </c>
      <c r="H6" s="160"/>
      <c r="I6" s="161" t="s">
        <v>117</v>
      </c>
      <c r="J6" s="160" t="s">
        <v>118</v>
      </c>
      <c r="K6" s="161" t="s">
        <v>115</v>
      </c>
      <c r="L6" s="160"/>
      <c r="M6" s="160"/>
      <c r="N6" s="160"/>
      <c r="O6" s="160"/>
    </row>
    <row r="7" spans="1:15" ht="15" x14ac:dyDescent="0.2">
      <c r="A7" s="160" t="s">
        <v>119</v>
      </c>
      <c r="B7" s="160"/>
      <c r="C7" s="163" t="s">
        <v>120</v>
      </c>
      <c r="D7" s="160"/>
      <c r="E7" s="164" t="s">
        <v>121</v>
      </c>
      <c r="F7" s="165">
        <v>41547</v>
      </c>
      <c r="G7" s="164" t="s">
        <v>122</v>
      </c>
      <c r="H7" s="164" t="s">
        <v>123</v>
      </c>
      <c r="I7" s="166" t="s">
        <v>124</v>
      </c>
      <c r="J7" s="167" t="s">
        <v>125</v>
      </c>
      <c r="K7" s="165">
        <v>41578</v>
      </c>
      <c r="L7" s="160"/>
      <c r="M7" s="160"/>
      <c r="N7" s="160"/>
      <c r="O7" s="160"/>
    </row>
    <row r="8" spans="1:15" ht="15.75" x14ac:dyDescent="0.25">
      <c r="A8" s="160"/>
      <c r="B8" s="160"/>
      <c r="C8" s="160"/>
      <c r="D8" s="163"/>
      <c r="E8" s="490"/>
      <c r="F8" s="168"/>
      <c r="G8" s="160"/>
      <c r="H8" s="168"/>
      <c r="I8" s="169"/>
      <c r="J8" s="160"/>
      <c r="K8" s="170"/>
      <c r="L8" s="160"/>
      <c r="M8" s="171"/>
      <c r="N8" s="171"/>
      <c r="O8" s="171"/>
    </row>
    <row r="9" spans="1:15" ht="15.75" x14ac:dyDescent="0.25">
      <c r="A9" s="160"/>
      <c r="B9" s="160"/>
      <c r="C9" s="160"/>
      <c r="D9" s="163"/>
      <c r="E9" s="490"/>
      <c r="F9" s="168"/>
      <c r="G9" s="160"/>
      <c r="H9" s="168"/>
      <c r="I9" s="169"/>
      <c r="J9" s="194"/>
      <c r="K9" s="170"/>
      <c r="L9" s="160"/>
      <c r="M9" s="171"/>
      <c r="N9" s="171"/>
      <c r="O9" s="171"/>
    </row>
    <row r="10" spans="1:15" s="173" customFormat="1" ht="15.75" x14ac:dyDescent="0.25">
      <c r="A10" s="173" t="s">
        <v>126</v>
      </c>
      <c r="C10" s="176">
        <v>46023</v>
      </c>
      <c r="D10" s="177">
        <v>23</v>
      </c>
      <c r="E10" s="172">
        <v>181004</v>
      </c>
      <c r="F10" s="178">
        <v>411219.53999999951</v>
      </c>
      <c r="G10" s="174"/>
      <c r="H10" s="179">
        <f t="shared" ref="H10:H22" si="0">F10+G10</f>
        <v>411219.53999999951</v>
      </c>
      <c r="I10" s="180">
        <v>-2778.51</v>
      </c>
      <c r="J10" s="181"/>
      <c r="K10" s="182">
        <f t="shared" ref="K10:K23" si="1">SUM(H10:J10)</f>
        <v>408441.0299999995</v>
      </c>
    </row>
    <row r="11" spans="1:15" s="173" customFormat="1" ht="15.75" x14ac:dyDescent="0.25">
      <c r="A11" s="173" t="s">
        <v>127</v>
      </c>
      <c r="C11" s="176">
        <v>13547</v>
      </c>
      <c r="D11" s="177">
        <v>24</v>
      </c>
      <c r="E11" s="172">
        <v>181005</v>
      </c>
      <c r="F11" s="178">
        <v>376345.03</v>
      </c>
      <c r="G11" s="174"/>
      <c r="H11" s="179">
        <f t="shared" si="0"/>
        <v>376345.03</v>
      </c>
      <c r="I11" s="180">
        <v>-1339.31</v>
      </c>
      <c r="J11" s="181"/>
      <c r="K11" s="182">
        <f t="shared" si="1"/>
        <v>375005.72000000003</v>
      </c>
    </row>
    <row r="12" spans="1:15" s="173" customFormat="1" ht="15.75" x14ac:dyDescent="0.25">
      <c r="A12" s="173" t="s">
        <v>128</v>
      </c>
      <c r="C12" s="176">
        <v>11689</v>
      </c>
      <c r="D12" s="177"/>
      <c r="E12" s="172">
        <v>181103</v>
      </c>
      <c r="F12" s="178">
        <v>632549.06201716722</v>
      </c>
      <c r="G12" s="174"/>
      <c r="H12" s="179">
        <f t="shared" si="0"/>
        <v>632549.06201716722</v>
      </c>
      <c r="I12" s="180">
        <v>-2875.2236909871244</v>
      </c>
      <c r="J12" s="181"/>
      <c r="K12" s="182">
        <f t="shared" si="1"/>
        <v>629673.83832618012</v>
      </c>
    </row>
    <row r="13" spans="1:15" ht="15.75" x14ac:dyDescent="0.25">
      <c r="A13" s="160" t="s">
        <v>129</v>
      </c>
      <c r="B13" s="173"/>
      <c r="C13" s="176">
        <v>11689</v>
      </c>
      <c r="D13" s="177">
        <v>12</v>
      </c>
      <c r="E13" s="172">
        <v>181184</v>
      </c>
      <c r="F13" s="174">
        <v>75162.34</v>
      </c>
      <c r="G13" s="169"/>
      <c r="H13" s="169">
        <f t="shared" si="0"/>
        <v>75162.34</v>
      </c>
      <c r="I13" s="180">
        <v>-342</v>
      </c>
      <c r="J13" s="174"/>
      <c r="K13" s="182">
        <f t="shared" si="1"/>
        <v>74820.34</v>
      </c>
      <c r="L13" s="160"/>
      <c r="M13" s="160"/>
      <c r="N13" s="160"/>
      <c r="O13" s="160"/>
    </row>
    <row r="14" spans="1:15" ht="15.75" x14ac:dyDescent="0.25">
      <c r="A14" s="160" t="s">
        <v>130</v>
      </c>
      <c r="B14" s="173"/>
      <c r="C14" s="176">
        <v>11689</v>
      </c>
      <c r="D14" s="177">
        <v>13</v>
      </c>
      <c r="E14" s="172">
        <v>181185</v>
      </c>
      <c r="F14" s="174">
        <v>52231.62</v>
      </c>
      <c r="G14" s="169"/>
      <c r="H14" s="169">
        <f t="shared" si="0"/>
        <v>52231.62</v>
      </c>
      <c r="I14" s="180">
        <v>-238</v>
      </c>
      <c r="J14" s="174"/>
      <c r="K14" s="182">
        <f t="shared" si="1"/>
        <v>51993.62</v>
      </c>
      <c r="L14" s="160"/>
      <c r="M14" s="160"/>
      <c r="N14" s="160"/>
      <c r="O14" s="160"/>
    </row>
    <row r="15" spans="1:15" ht="15.75" x14ac:dyDescent="0.25">
      <c r="A15" s="160" t="s">
        <v>131</v>
      </c>
      <c r="B15" s="173"/>
      <c r="C15" s="176">
        <v>11689</v>
      </c>
      <c r="D15" s="177">
        <v>14</v>
      </c>
      <c r="E15" s="172">
        <v>181186</v>
      </c>
      <c r="F15" s="174">
        <v>58142.11</v>
      </c>
      <c r="G15" s="169"/>
      <c r="H15" s="169">
        <f t="shared" si="0"/>
        <v>58142.11</v>
      </c>
      <c r="I15" s="180">
        <v>-265</v>
      </c>
      <c r="J15" s="174"/>
      <c r="K15" s="182">
        <f t="shared" si="1"/>
        <v>57877.11</v>
      </c>
      <c r="L15" s="160"/>
      <c r="M15" s="160"/>
      <c r="N15" s="160"/>
      <c r="O15" s="160"/>
    </row>
    <row r="16" spans="1:15" ht="15.75" x14ac:dyDescent="0.25">
      <c r="A16" s="160" t="s">
        <v>132</v>
      </c>
      <c r="B16" s="173"/>
      <c r="C16" s="176">
        <v>11689</v>
      </c>
      <c r="D16" s="177">
        <v>15</v>
      </c>
      <c r="E16" s="172">
        <v>181187</v>
      </c>
      <c r="F16" s="174">
        <v>20993.4</v>
      </c>
      <c r="G16" s="169"/>
      <c r="H16" s="169">
        <f t="shared" si="0"/>
        <v>20993.4</v>
      </c>
      <c r="I16" s="180">
        <v>-95</v>
      </c>
      <c r="J16" s="174"/>
      <c r="K16" s="182">
        <f t="shared" si="1"/>
        <v>20898.400000000001</v>
      </c>
      <c r="L16" s="160"/>
      <c r="M16" s="160"/>
      <c r="N16" s="160"/>
      <c r="O16" s="160"/>
    </row>
    <row r="17" spans="1:13" s="173" customFormat="1" ht="15.75" x14ac:dyDescent="0.25">
      <c r="A17" s="173" t="s">
        <v>133</v>
      </c>
      <c r="C17" s="176">
        <v>11933</v>
      </c>
      <c r="D17" s="177">
        <v>16</v>
      </c>
      <c r="E17" s="172">
        <v>181188</v>
      </c>
      <c r="F17" s="178">
        <v>1399501.7700000033</v>
      </c>
      <c r="G17" s="174"/>
      <c r="H17" s="179">
        <f t="shared" si="0"/>
        <v>1399501.7700000033</v>
      </c>
      <c r="I17" s="180">
        <v>-6138.17</v>
      </c>
      <c r="J17" s="181"/>
      <c r="K17" s="182">
        <f t="shared" si="1"/>
        <v>1393363.6000000034</v>
      </c>
    </row>
    <row r="18" spans="1:13" s="173" customFormat="1" ht="15.75" x14ac:dyDescent="0.25">
      <c r="A18" s="173" t="s">
        <v>134</v>
      </c>
      <c r="C18" s="176">
        <v>42309</v>
      </c>
      <c r="D18" s="177">
        <v>17</v>
      </c>
      <c r="E18" s="172">
        <v>181009</v>
      </c>
      <c r="F18" s="174">
        <v>974079.71000000136</v>
      </c>
      <c r="G18" s="183">
        <v>0</v>
      </c>
      <c r="H18" s="169">
        <f t="shared" si="0"/>
        <v>974079.71000000136</v>
      </c>
      <c r="I18" s="184">
        <v>-38427.18</v>
      </c>
      <c r="J18" s="174"/>
      <c r="K18" s="182">
        <f t="shared" si="1"/>
        <v>935652.53000000131</v>
      </c>
    </row>
    <row r="19" spans="1:13" s="173" customFormat="1" ht="15.75" x14ac:dyDescent="0.25">
      <c r="A19" s="173" t="s">
        <v>135</v>
      </c>
      <c r="C19" s="176">
        <v>44136</v>
      </c>
      <c r="D19" s="177">
        <v>18</v>
      </c>
      <c r="E19" s="172">
        <v>181010</v>
      </c>
      <c r="F19" s="178">
        <v>2977374.3299999982</v>
      </c>
      <c r="G19" s="183">
        <v>0</v>
      </c>
      <c r="H19" s="179">
        <f t="shared" si="0"/>
        <v>2977374.3299999982</v>
      </c>
      <c r="I19" s="180">
        <v>-34863.33</v>
      </c>
      <c r="J19" s="181"/>
      <c r="K19" s="182">
        <f t="shared" si="1"/>
        <v>2942510.9999999981</v>
      </c>
    </row>
    <row r="20" spans="1:13" s="173" customFormat="1" ht="15.75" x14ac:dyDescent="0.25">
      <c r="A20" s="173" t="s">
        <v>136</v>
      </c>
      <c r="C20" s="176">
        <v>14916</v>
      </c>
      <c r="D20" s="177">
        <v>19</v>
      </c>
      <c r="E20" s="172">
        <v>181011</v>
      </c>
      <c r="F20" s="178">
        <v>6770377.330000001</v>
      </c>
      <c r="G20" s="183">
        <v>0</v>
      </c>
      <c r="H20" s="179">
        <f t="shared" si="0"/>
        <v>6770377.330000001</v>
      </c>
      <c r="I20" s="180">
        <v>-20803.419999999998</v>
      </c>
      <c r="J20" s="181"/>
      <c r="K20" s="182">
        <f t="shared" si="1"/>
        <v>6749573.9100000011</v>
      </c>
    </row>
    <row r="21" spans="1:13" s="173" customFormat="1" ht="15.75" x14ac:dyDescent="0.25">
      <c r="A21" s="173" t="s">
        <v>137</v>
      </c>
      <c r="C21" s="176">
        <v>12663</v>
      </c>
      <c r="D21" s="177">
        <v>22</v>
      </c>
      <c r="E21" s="172">
        <v>181199</v>
      </c>
      <c r="F21" s="178">
        <v>1008222.4867924509</v>
      </c>
      <c r="G21" s="174"/>
      <c r="H21" s="179">
        <f t="shared" si="0"/>
        <v>1008222.4867924509</v>
      </c>
      <c r="I21" s="180">
        <v>-4000.8871698113207</v>
      </c>
      <c r="J21" s="185"/>
      <c r="K21" s="182">
        <f t="shared" si="1"/>
        <v>1004221.5996226396</v>
      </c>
    </row>
    <row r="22" spans="1:13" s="173" customFormat="1" ht="15.75" x14ac:dyDescent="0.25">
      <c r="A22" s="186" t="s">
        <v>138</v>
      </c>
      <c r="B22" s="187"/>
      <c r="C22" s="188">
        <v>42090</v>
      </c>
      <c r="E22" s="172">
        <v>181014</v>
      </c>
      <c r="F22" s="178">
        <v>3385.4499999999971</v>
      </c>
      <c r="G22" s="174">
        <v>0</v>
      </c>
      <c r="H22" s="179">
        <f t="shared" si="0"/>
        <v>3385.4499999999971</v>
      </c>
      <c r="I22" s="180">
        <v>-190.97</v>
      </c>
      <c r="J22" s="185"/>
      <c r="K22" s="182">
        <f t="shared" si="1"/>
        <v>3194.4799999999973</v>
      </c>
      <c r="L22" s="189"/>
    </row>
    <row r="23" spans="1:13" ht="15" x14ac:dyDescent="0.2">
      <c r="A23" s="160"/>
      <c r="B23" s="160"/>
      <c r="C23" s="160"/>
      <c r="D23" s="163"/>
      <c r="E23" s="163"/>
      <c r="F23" s="190">
        <f>SUM(F8:F22)</f>
        <v>14759584.178809622</v>
      </c>
      <c r="G23" s="190">
        <f>SUM(G8:G22)</f>
        <v>0</v>
      </c>
      <c r="H23" s="190">
        <f>SUM(H8:H22)</f>
        <v>14759584.178809622</v>
      </c>
      <c r="I23" s="191">
        <f>SUM(I8:I22)</f>
        <v>-112357.00086079845</v>
      </c>
      <c r="J23" s="191">
        <f>SUM(J8:J22)</f>
        <v>0</v>
      </c>
      <c r="K23" s="192">
        <f t="shared" si="1"/>
        <v>14647227.177948823</v>
      </c>
      <c r="L23" s="193"/>
      <c r="M23" s="160"/>
    </row>
  </sheetData>
  <mergeCells count="2">
    <mergeCell ref="B1:K1"/>
    <mergeCell ref="B2:K2"/>
  </mergeCells>
  <pageMargins left="0.5" right="0.5" top="1" bottom="1" header="0.5" footer="0.5"/>
  <pageSetup scale="56" orientation="landscape" r:id="rId1"/>
  <headerFooter alignWithMargins="0"/>
  <colBreaks count="3" manualBreakCount="3">
    <brk id="23" max="1048575" man="1"/>
    <brk id="39" max="1048575" man="1"/>
    <brk id="5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0">
    <pageSetUpPr fitToPage="1"/>
  </sheetPr>
  <dimension ref="A1:N29"/>
  <sheetViews>
    <sheetView topLeftCell="A19" workbookViewId="0">
      <selection activeCell="G36" sqref="G36"/>
    </sheetView>
  </sheetViews>
  <sheetFormatPr defaultRowHeight="15" x14ac:dyDescent="0.2"/>
  <cols>
    <col min="1" max="1" width="50" style="160" customWidth="1"/>
    <col min="2" max="2" width="15.7109375" style="160" bestFit="1" customWidth="1"/>
    <col min="3" max="3" width="14.140625" style="194" bestFit="1" customWidth="1"/>
    <col min="4" max="4" width="14.42578125" style="160" bestFit="1" customWidth="1"/>
    <col min="5" max="5" width="18.42578125" style="160" customWidth="1"/>
    <col min="6" max="6" width="16.5703125" style="160" bestFit="1" customWidth="1"/>
    <col min="7" max="7" width="18.42578125" style="160" bestFit="1" customWidth="1"/>
    <col min="8" max="8" width="16.5703125" style="160" bestFit="1" customWidth="1"/>
    <col min="9" max="9" width="4.42578125" style="160" customWidth="1"/>
    <col min="10" max="10" width="18.5703125" style="160" bestFit="1" customWidth="1"/>
    <col min="11" max="11" width="14.42578125" style="160" bestFit="1" customWidth="1"/>
    <col min="12" max="12" width="16" style="160" customWidth="1"/>
    <col min="13" max="13" width="12.85546875" style="160" customWidth="1"/>
    <col min="14" max="16384" width="9.140625" style="160"/>
  </cols>
  <sheetData>
    <row r="1" spans="1:14" ht="15.75" x14ac:dyDescent="0.25">
      <c r="B1" s="506"/>
      <c r="C1" s="506"/>
      <c r="D1" s="506"/>
      <c r="E1" s="506"/>
      <c r="F1" s="506"/>
      <c r="G1" s="506"/>
      <c r="H1" s="506"/>
      <c r="I1" s="506"/>
      <c r="J1" s="506"/>
    </row>
    <row r="2" spans="1:14" ht="15.75" x14ac:dyDescent="0.25">
      <c r="B2" s="508"/>
      <c r="C2" s="508"/>
      <c r="D2" s="508"/>
      <c r="E2" s="508"/>
      <c r="F2" s="508"/>
      <c r="G2" s="508"/>
      <c r="H2" s="508"/>
      <c r="I2" s="508"/>
      <c r="J2" s="508"/>
    </row>
    <row r="3" spans="1:14" x14ac:dyDescent="0.2">
      <c r="B3" s="161"/>
      <c r="C3" s="162"/>
      <c r="D3" s="161"/>
      <c r="E3" s="161"/>
      <c r="F3" s="161"/>
    </row>
    <row r="4" spans="1:14" x14ac:dyDescent="0.2">
      <c r="C4" s="160"/>
    </row>
    <row r="5" spans="1:14" x14ac:dyDescent="0.2">
      <c r="C5" s="160"/>
      <c r="F5" s="163" t="s">
        <v>144</v>
      </c>
      <c r="H5" s="161" t="s">
        <v>112</v>
      </c>
    </row>
    <row r="6" spans="1:14" x14ac:dyDescent="0.2">
      <c r="B6" s="163" t="s">
        <v>145</v>
      </c>
      <c r="C6" s="163" t="s">
        <v>146</v>
      </c>
      <c r="D6" s="163" t="s">
        <v>147</v>
      </c>
      <c r="E6" s="161" t="s">
        <v>115</v>
      </c>
      <c r="F6" s="163" t="s">
        <v>148</v>
      </c>
      <c r="H6" s="161" t="s">
        <v>117</v>
      </c>
      <c r="I6" s="163"/>
      <c r="J6" s="161" t="s">
        <v>115</v>
      </c>
    </row>
    <row r="7" spans="1:14" x14ac:dyDescent="0.2">
      <c r="A7" s="160" t="s">
        <v>119</v>
      </c>
      <c r="B7" s="164" t="s">
        <v>149</v>
      </c>
      <c r="C7" s="164" t="s">
        <v>150</v>
      </c>
      <c r="D7" s="164" t="s">
        <v>121</v>
      </c>
      <c r="E7" s="205">
        <v>41547</v>
      </c>
      <c r="F7" s="164" t="s">
        <v>151</v>
      </c>
      <c r="G7" s="164" t="s">
        <v>123</v>
      </c>
      <c r="H7" s="166" t="s">
        <v>124</v>
      </c>
      <c r="I7" s="164"/>
      <c r="J7" s="205">
        <v>41578</v>
      </c>
    </row>
    <row r="8" spans="1:14" ht="15.75" x14ac:dyDescent="0.25">
      <c r="C8" s="160"/>
      <c r="D8" s="490"/>
    </row>
    <row r="9" spans="1:14" ht="15.75" x14ac:dyDescent="0.25">
      <c r="A9" s="160" t="s">
        <v>366</v>
      </c>
      <c r="B9" s="212">
        <v>45778</v>
      </c>
      <c r="C9" s="207">
        <v>45809</v>
      </c>
      <c r="D9" s="490">
        <v>189034</v>
      </c>
      <c r="E9" s="169">
        <v>212137.53000000003</v>
      </c>
      <c r="G9" s="168">
        <f>+E9+F9</f>
        <v>212137.53000000003</v>
      </c>
      <c r="H9" s="208">
        <v>-1515</v>
      </c>
      <c r="J9" s="170">
        <f>SUM(G9:I9)</f>
        <v>210622.53000000003</v>
      </c>
      <c r="L9" s="171"/>
      <c r="M9" s="171"/>
      <c r="N9" s="171"/>
    </row>
    <row r="10" spans="1:14" ht="15.75" x14ac:dyDescent="0.25">
      <c r="A10" s="160" t="s">
        <v>153</v>
      </c>
      <c r="B10" s="206">
        <v>46508</v>
      </c>
      <c r="C10" s="207">
        <v>46522</v>
      </c>
      <c r="D10" s="172">
        <v>189091</v>
      </c>
      <c r="E10" s="169">
        <v>1083460.02</v>
      </c>
      <c r="F10" s="179"/>
      <c r="G10" s="168">
        <f>+E10+F10</f>
        <v>1083460.02</v>
      </c>
      <c r="H10" s="208">
        <v>-6627</v>
      </c>
      <c r="J10" s="170">
        <f>SUM(G10:I10)</f>
        <v>1076833.02</v>
      </c>
      <c r="L10" s="171"/>
      <c r="M10" s="171"/>
      <c r="N10" s="171"/>
    </row>
    <row r="11" spans="1:14" ht="15.75" x14ac:dyDescent="0.25">
      <c r="B11" s="173"/>
      <c r="C11" s="173"/>
      <c r="D11" s="172"/>
      <c r="E11" s="169"/>
      <c r="F11" s="175"/>
      <c r="G11" s="168"/>
      <c r="H11" s="208"/>
      <c r="J11" s="170"/>
      <c r="L11" s="171"/>
      <c r="M11" s="171"/>
      <c r="N11" s="171"/>
    </row>
    <row r="12" spans="1:14" ht="15.75" x14ac:dyDescent="0.25">
      <c r="B12" s="173"/>
      <c r="C12" s="173"/>
      <c r="D12" s="172"/>
      <c r="E12" s="169"/>
      <c r="F12" s="173"/>
      <c r="G12" s="168"/>
      <c r="H12" s="208"/>
      <c r="J12" s="170"/>
    </row>
    <row r="13" spans="1:14" ht="15.75" x14ac:dyDescent="0.25">
      <c r="A13" s="160" t="s">
        <v>154</v>
      </c>
      <c r="B13" s="206">
        <v>45019</v>
      </c>
      <c r="C13" s="207">
        <v>45047</v>
      </c>
      <c r="D13" s="172">
        <v>189042</v>
      </c>
      <c r="E13" s="209">
        <v>449751.49999999965</v>
      </c>
      <c r="F13" s="169"/>
      <c r="G13" s="168">
        <f t="shared" ref="G13:G21" si="0">+E13+F13</f>
        <v>449751.49999999965</v>
      </c>
      <c r="H13" s="208">
        <v>-3910.88</v>
      </c>
      <c r="J13" s="170">
        <f t="shared" ref="J13:J21" si="1">SUM(G13:I13)</f>
        <v>445840.61999999965</v>
      </c>
    </row>
    <row r="14" spans="1:14" ht="15.75" x14ac:dyDescent="0.25">
      <c r="A14" s="160" t="s">
        <v>367</v>
      </c>
      <c r="B14" s="206">
        <v>48216</v>
      </c>
      <c r="C14" s="207">
        <v>48245</v>
      </c>
      <c r="D14" s="172">
        <v>189084</v>
      </c>
      <c r="E14" s="209">
        <v>665452.84</v>
      </c>
      <c r="F14" s="169"/>
      <c r="G14" s="169">
        <f t="shared" si="0"/>
        <v>665452.84</v>
      </c>
      <c r="H14" s="208">
        <v>-3025</v>
      </c>
      <c r="I14" s="173"/>
      <c r="J14" s="170">
        <f t="shared" si="1"/>
        <v>662427.84</v>
      </c>
    </row>
    <row r="15" spans="1:14" ht="15.75" x14ac:dyDescent="0.25">
      <c r="A15" s="160" t="s">
        <v>368</v>
      </c>
      <c r="B15" s="206">
        <v>48216</v>
      </c>
      <c r="C15" s="207">
        <v>48245</v>
      </c>
      <c r="D15" s="172">
        <v>189085</v>
      </c>
      <c r="E15" s="209">
        <v>76183.929999999993</v>
      </c>
      <c r="F15" s="169"/>
      <c r="G15" s="169">
        <f t="shared" si="0"/>
        <v>76183.929999999993</v>
      </c>
      <c r="H15" s="208">
        <v>-347</v>
      </c>
      <c r="I15" s="173"/>
      <c r="J15" s="170">
        <f t="shared" si="1"/>
        <v>75836.929999999993</v>
      </c>
    </row>
    <row r="16" spans="1:14" ht="15.75" x14ac:dyDescent="0.25">
      <c r="A16" s="160" t="s">
        <v>369</v>
      </c>
      <c r="B16" s="206">
        <v>48216</v>
      </c>
      <c r="C16" s="207">
        <v>48245</v>
      </c>
      <c r="D16" s="172">
        <v>189086</v>
      </c>
      <c r="E16" s="209">
        <v>233796.55</v>
      </c>
      <c r="F16" s="169"/>
      <c r="G16" s="169">
        <f t="shared" si="0"/>
        <v>233796.55</v>
      </c>
      <c r="H16" s="208">
        <v>-1062</v>
      </c>
      <c r="I16" s="173"/>
      <c r="J16" s="170">
        <f t="shared" si="1"/>
        <v>232734.55</v>
      </c>
    </row>
    <row r="17" spans="1:12" ht="15.75" x14ac:dyDescent="0.25">
      <c r="A17" s="160" t="s">
        <v>156</v>
      </c>
      <c r="B17" s="206">
        <v>48216</v>
      </c>
      <c r="C17" s="207">
        <v>48245</v>
      </c>
      <c r="D17" s="172">
        <v>189087</v>
      </c>
      <c r="E17" s="209">
        <v>236562.96000000002</v>
      </c>
      <c r="F17" s="169"/>
      <c r="G17" s="169">
        <f t="shared" si="0"/>
        <v>236562.96000000002</v>
      </c>
      <c r="H17" s="208">
        <v>-1075</v>
      </c>
      <c r="I17" s="173"/>
      <c r="J17" s="170">
        <f t="shared" si="1"/>
        <v>235487.96000000002</v>
      </c>
    </row>
    <row r="18" spans="1:12" ht="15.75" x14ac:dyDescent="0.25">
      <c r="A18" s="160" t="s">
        <v>370</v>
      </c>
      <c r="B18" s="206">
        <v>48460</v>
      </c>
      <c r="C18" s="207">
        <v>48488</v>
      </c>
      <c r="D18" s="172">
        <v>189088</v>
      </c>
      <c r="E18" s="209">
        <v>3534523.63</v>
      </c>
      <c r="F18" s="169"/>
      <c r="G18" s="179">
        <f t="shared" si="0"/>
        <v>3534523.63</v>
      </c>
      <c r="H18" s="208">
        <v>-15503</v>
      </c>
      <c r="I18" s="173"/>
      <c r="J18" s="170">
        <f t="shared" si="1"/>
        <v>3519020.63</v>
      </c>
    </row>
    <row r="19" spans="1:12" ht="15.75" x14ac:dyDescent="0.25">
      <c r="A19" s="160" t="s">
        <v>155</v>
      </c>
      <c r="B19" s="206">
        <v>49188</v>
      </c>
      <c r="C19" s="207">
        <v>49219</v>
      </c>
      <c r="D19" s="172">
        <v>189092</v>
      </c>
      <c r="E19" s="209">
        <v>2207382.4299999932</v>
      </c>
      <c r="F19" s="169"/>
      <c r="G19" s="179">
        <f t="shared" si="0"/>
        <v>2207382.4299999932</v>
      </c>
      <c r="H19" s="208">
        <v>-8759.4500000000007</v>
      </c>
      <c r="I19" s="173"/>
      <c r="J19" s="170">
        <f t="shared" si="1"/>
        <v>2198622.979999993</v>
      </c>
      <c r="L19" s="491"/>
    </row>
    <row r="20" spans="1:12" ht="15.75" x14ac:dyDescent="0.25">
      <c r="A20" s="160" t="s">
        <v>156</v>
      </c>
      <c r="B20" s="206">
        <v>48214</v>
      </c>
      <c r="C20" s="207">
        <v>48245</v>
      </c>
      <c r="D20" s="172">
        <v>189093</v>
      </c>
      <c r="E20" s="209">
        <v>50592.97</v>
      </c>
      <c r="F20" s="169"/>
      <c r="G20" s="179">
        <f t="shared" si="0"/>
        <v>50592.97</v>
      </c>
      <c r="H20" s="208">
        <v>-230</v>
      </c>
      <c r="I20" s="173"/>
      <c r="J20" s="170">
        <f t="shared" si="1"/>
        <v>50362.97</v>
      </c>
    </row>
    <row r="21" spans="1:12" ht="15.75" x14ac:dyDescent="0.25">
      <c r="A21" s="160" t="s">
        <v>371</v>
      </c>
      <c r="B21" s="206">
        <v>49157</v>
      </c>
      <c r="C21" s="207">
        <v>49218</v>
      </c>
      <c r="D21" s="172">
        <v>189096</v>
      </c>
      <c r="E21" s="209">
        <v>276911.62000000075</v>
      </c>
      <c r="F21" s="169"/>
      <c r="G21" s="179">
        <f t="shared" si="0"/>
        <v>276911.62000000075</v>
      </c>
      <c r="H21" s="208">
        <v>-1103.23</v>
      </c>
      <c r="I21" s="173"/>
      <c r="J21" s="170">
        <f t="shared" si="1"/>
        <v>275808.39000000077</v>
      </c>
    </row>
    <row r="22" spans="1:12" ht="15.75" x14ac:dyDescent="0.25">
      <c r="A22" s="160" t="s">
        <v>157</v>
      </c>
      <c r="B22" s="206">
        <v>49766</v>
      </c>
      <c r="C22" s="207">
        <v>49827</v>
      </c>
      <c r="D22" s="172">
        <v>189098</v>
      </c>
      <c r="E22" s="209">
        <v>487584.01000000077</v>
      </c>
      <c r="F22" s="169"/>
      <c r="G22" s="179">
        <f>+E22+F22</f>
        <v>487584.01000000077</v>
      </c>
      <c r="H22" s="208">
        <v>-1799.2</v>
      </c>
      <c r="I22" s="173"/>
      <c r="J22" s="170">
        <f>SUM(G22:I22)</f>
        <v>485784.81000000075</v>
      </c>
    </row>
    <row r="23" spans="1:12" ht="16.5" customHeight="1" x14ac:dyDescent="0.25">
      <c r="A23" s="160" t="s">
        <v>158</v>
      </c>
      <c r="B23" s="206">
        <v>48214</v>
      </c>
      <c r="C23" s="207">
        <v>49461</v>
      </c>
      <c r="D23" s="172">
        <v>189195</v>
      </c>
      <c r="E23" s="209">
        <v>373513.96000000089</v>
      </c>
      <c r="F23" s="169"/>
      <c r="G23" s="179">
        <f>+E23+F23</f>
        <v>373513.96000000089</v>
      </c>
      <c r="H23" s="208">
        <v>-1697.79</v>
      </c>
      <c r="I23" s="173"/>
      <c r="J23" s="170">
        <f>SUM(G23:I23)</f>
        <v>371816.17000000092</v>
      </c>
    </row>
    <row r="24" spans="1:12" ht="16.5" customHeight="1" x14ac:dyDescent="0.25">
      <c r="A24" s="160" t="s">
        <v>159</v>
      </c>
      <c r="B24" s="206">
        <v>48214</v>
      </c>
      <c r="C24" s="207">
        <v>49461</v>
      </c>
      <c r="D24" s="172">
        <v>189196</v>
      </c>
      <c r="E24" s="209">
        <v>379574.88999999902</v>
      </c>
      <c r="F24" s="169"/>
      <c r="G24" s="179">
        <f>+E24+F24</f>
        <v>379574.88999999902</v>
      </c>
      <c r="H24" s="208">
        <v>-1725.34</v>
      </c>
      <c r="I24" s="173"/>
      <c r="J24" s="170">
        <f>SUM(G24:I24)</f>
        <v>377849.549999999</v>
      </c>
    </row>
    <row r="25" spans="1:12" ht="15.75" x14ac:dyDescent="0.25">
      <c r="A25" s="160" t="s">
        <v>160</v>
      </c>
      <c r="B25" s="206">
        <v>48214</v>
      </c>
      <c r="C25" s="207">
        <v>49461</v>
      </c>
      <c r="D25" s="172">
        <v>189197</v>
      </c>
      <c r="E25" s="209">
        <v>452685.26000000065</v>
      </c>
      <c r="F25" s="169"/>
      <c r="G25" s="179">
        <f>+E25+F25</f>
        <v>452685.26000000065</v>
      </c>
      <c r="H25" s="208">
        <v>-2057.66</v>
      </c>
      <c r="I25" s="173"/>
      <c r="J25" s="170">
        <f>SUM(G25:I25)</f>
        <v>450627.60000000068</v>
      </c>
    </row>
    <row r="26" spans="1:12" x14ac:dyDescent="0.2">
      <c r="B26" s="173"/>
      <c r="C26" s="173"/>
      <c r="D26" s="173"/>
      <c r="E26" s="191">
        <f>SUM(E8:E25)</f>
        <v>10720114.099999996</v>
      </c>
      <c r="F26" s="191">
        <f>SUM(F8:F25)</f>
        <v>0</v>
      </c>
      <c r="G26" s="190">
        <f>SUM(G9:G25)</f>
        <v>10720114.099999996</v>
      </c>
      <c r="H26" s="190">
        <f>SUM(H9:H25)</f>
        <v>-50437.55</v>
      </c>
      <c r="I26" s="190"/>
      <c r="J26" s="190">
        <f>SUM(J9:J25)</f>
        <v>10669676.549999997</v>
      </c>
      <c r="K26" s="493"/>
      <c r="L26" s="171"/>
    </row>
    <row r="27" spans="1:12" x14ac:dyDescent="0.2">
      <c r="B27" s="173"/>
      <c r="C27" s="174"/>
      <c r="D27" s="173"/>
      <c r="E27" s="173"/>
      <c r="F27" s="173"/>
      <c r="J27" s="173"/>
    </row>
    <row r="28" spans="1:12" x14ac:dyDescent="0.2">
      <c r="C28" s="160"/>
    </row>
    <row r="29" spans="1:12" x14ac:dyDescent="0.2">
      <c r="C29" s="160"/>
    </row>
  </sheetData>
  <mergeCells count="2">
    <mergeCell ref="B1:J1"/>
    <mergeCell ref="B2:J2"/>
  </mergeCells>
  <pageMargins left="0.25" right="0.25" top="1" bottom="1" header="0.5" footer="0.5"/>
  <pageSetup scale="10" orientation="landscape" r:id="rId1"/>
  <headerFooter alignWithMargins="0"/>
  <colBreaks count="3" manualBreakCount="3">
    <brk id="21" max="1048575" man="1"/>
    <brk id="37" max="1048575" man="1"/>
    <brk id="5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1">
    <pageSetUpPr fitToPage="1"/>
  </sheetPr>
  <dimension ref="A1:M58"/>
  <sheetViews>
    <sheetView topLeftCell="A4" zoomScaleNormal="100" workbookViewId="0">
      <selection activeCell="B21" sqref="B21"/>
    </sheetView>
  </sheetViews>
  <sheetFormatPr defaultRowHeight="12.75" x14ac:dyDescent="0.2"/>
  <cols>
    <col min="1" max="1" width="32.5703125" style="211" customWidth="1"/>
    <col min="2" max="2" width="19.85546875" style="211" bestFit="1" customWidth="1"/>
    <col min="3" max="3" width="7.85546875" style="211" bestFit="1" customWidth="1"/>
    <col min="4" max="4" width="8.7109375" style="195" bestFit="1" customWidth="1"/>
    <col min="5" max="5" width="15.28515625" style="235" customWidth="1"/>
    <col min="6" max="6" width="17.7109375" style="211" hidden="1" customWidth="1"/>
    <col min="7" max="7" width="15.7109375" style="211" hidden="1" customWidth="1"/>
    <col min="8" max="8" width="13.140625" style="211" bestFit="1" customWidth="1"/>
    <col min="9" max="9" width="17.5703125" style="211" customWidth="1"/>
    <col min="10" max="10" width="15" style="211" bestFit="1" customWidth="1"/>
    <col min="11" max="11" width="6.5703125" style="211" bestFit="1" customWidth="1"/>
    <col min="12" max="13" width="9.140625" style="211"/>
    <col min="14" max="14" width="18.5703125" style="211" bestFit="1" customWidth="1"/>
    <col min="15" max="16384" width="9.140625" style="211"/>
  </cols>
  <sheetData>
    <row r="1" spans="1:13" x14ac:dyDescent="0.2">
      <c r="B1" s="509" t="s">
        <v>23</v>
      </c>
      <c r="C1" s="509"/>
      <c r="D1" s="509"/>
      <c r="E1" s="509"/>
      <c r="F1" s="509"/>
      <c r="G1" s="509"/>
      <c r="H1" s="509"/>
      <c r="I1" s="509"/>
    </row>
    <row r="2" spans="1:13" x14ac:dyDescent="0.2">
      <c r="B2" s="509" t="s">
        <v>161</v>
      </c>
      <c r="C2" s="509"/>
      <c r="D2" s="509"/>
      <c r="E2" s="509"/>
      <c r="F2" s="509"/>
      <c r="G2" s="509"/>
      <c r="H2" s="509"/>
      <c r="I2" s="509"/>
    </row>
    <row r="3" spans="1:13" x14ac:dyDescent="0.2">
      <c r="B3" s="213"/>
      <c r="C3" s="214"/>
      <c r="D3" s="215"/>
      <c r="E3" s="216"/>
      <c r="F3" s="214"/>
      <c r="G3" s="214"/>
    </row>
    <row r="5" spans="1:13" x14ac:dyDescent="0.2">
      <c r="E5" s="211"/>
      <c r="H5" s="214" t="s">
        <v>112</v>
      </c>
    </row>
    <row r="6" spans="1:13" x14ac:dyDescent="0.2">
      <c r="C6" s="217" t="s">
        <v>114</v>
      </c>
      <c r="D6" s="218" t="s">
        <v>162</v>
      </c>
      <c r="E6" s="214" t="s">
        <v>115</v>
      </c>
      <c r="F6" s="217" t="s">
        <v>116</v>
      </c>
      <c r="H6" s="214" t="s">
        <v>117</v>
      </c>
      <c r="I6" s="214" t="s">
        <v>115</v>
      </c>
    </row>
    <row r="7" spans="1:13" x14ac:dyDescent="0.2">
      <c r="A7" s="219" t="s">
        <v>163</v>
      </c>
      <c r="B7" s="219" t="s">
        <v>164</v>
      </c>
      <c r="C7" s="220" t="s">
        <v>121</v>
      </c>
      <c r="D7" s="221" t="s">
        <v>121</v>
      </c>
      <c r="E7" s="222">
        <v>41547</v>
      </c>
      <c r="F7" s="220" t="s">
        <v>122</v>
      </c>
      <c r="G7" s="220" t="s">
        <v>123</v>
      </c>
      <c r="H7" s="223" t="s">
        <v>124</v>
      </c>
      <c r="I7" s="222">
        <v>41578</v>
      </c>
    </row>
    <row r="8" spans="1:13" x14ac:dyDescent="0.2">
      <c r="A8" s="224" t="s">
        <v>165</v>
      </c>
      <c r="B8" s="224" t="s">
        <v>166</v>
      </c>
      <c r="C8" s="225">
        <v>226009</v>
      </c>
      <c r="D8" s="225">
        <v>428209</v>
      </c>
      <c r="E8" s="226">
        <v>371874.99999999994</v>
      </c>
      <c r="G8" s="227">
        <f>E8+F8</f>
        <v>371874.99999999994</v>
      </c>
      <c r="H8" s="228">
        <v>-14583.333333333334</v>
      </c>
      <c r="I8" s="227">
        <f>SUM(G8:H8)</f>
        <v>357291.66666666663</v>
      </c>
      <c r="K8" s="198"/>
      <c r="L8" s="198"/>
      <c r="M8" s="198"/>
    </row>
    <row r="9" spans="1:13" x14ac:dyDescent="0.2">
      <c r="A9" s="224" t="s">
        <v>167</v>
      </c>
      <c r="B9" s="224" t="s">
        <v>168</v>
      </c>
      <c r="C9" s="225">
        <v>226010</v>
      </c>
      <c r="D9" s="225">
        <v>428210</v>
      </c>
      <c r="E9" s="226">
        <v>1346625</v>
      </c>
      <c r="G9" s="227">
        <f>E9+F9</f>
        <v>1346625</v>
      </c>
      <c r="H9" s="228">
        <v>-15750</v>
      </c>
      <c r="I9" s="227">
        <f>SUM(G9:H9)</f>
        <v>1330875</v>
      </c>
      <c r="K9" s="198"/>
      <c r="L9" s="198"/>
      <c r="M9" s="198"/>
    </row>
    <row r="10" spans="1:13" s="210" customFormat="1" x14ac:dyDescent="0.2">
      <c r="A10" s="224" t="s">
        <v>169</v>
      </c>
      <c r="B10" s="224" t="s">
        <v>170</v>
      </c>
      <c r="C10" s="225">
        <v>226011</v>
      </c>
      <c r="D10" s="225">
        <v>428211</v>
      </c>
      <c r="E10" s="229">
        <v>7357656.2499999944</v>
      </c>
      <c r="F10" s="230"/>
      <c r="G10" s="227">
        <f>E10+F10</f>
        <v>7357656.2499999944</v>
      </c>
      <c r="H10" s="231">
        <v>-22604.166666666668</v>
      </c>
      <c r="I10" s="227">
        <f>SUM(G10:H10)</f>
        <v>7335052.0833333274</v>
      </c>
    </row>
    <row r="11" spans="1:13" x14ac:dyDescent="0.2">
      <c r="B11" s="232" t="s">
        <v>11</v>
      </c>
      <c r="C11" s="217"/>
      <c r="E11" s="233">
        <f>SUM(E8:E10)</f>
        <v>9076156.2499999944</v>
      </c>
      <c r="F11" s="233">
        <f>SUM(F8:F10)</f>
        <v>0</v>
      </c>
      <c r="G11" s="233">
        <f>SUM(G8:G10)</f>
        <v>9076156.2499999944</v>
      </c>
      <c r="H11" s="233">
        <f>SUM(H8:H10)</f>
        <v>-52937.5</v>
      </c>
      <c r="I11" s="233">
        <f>SUM(I8:I10)</f>
        <v>9023218.7499999944</v>
      </c>
      <c r="J11" s="234"/>
    </row>
    <row r="12" spans="1:13" ht="13.5" thickBot="1" x14ac:dyDescent="0.25"/>
    <row r="13" spans="1:13" x14ac:dyDescent="0.2">
      <c r="A13" s="236"/>
      <c r="B13" s="237" t="s">
        <v>139</v>
      </c>
      <c r="C13" s="238" t="s">
        <v>140</v>
      </c>
      <c r="D13" s="239" t="s">
        <v>124</v>
      </c>
      <c r="E13" s="240" t="s">
        <v>141</v>
      </c>
      <c r="F13" s="238"/>
      <c r="G13" s="238"/>
      <c r="H13" s="238" t="s">
        <v>142</v>
      </c>
      <c r="I13" s="241"/>
      <c r="J13" s="242" t="s">
        <v>143</v>
      </c>
    </row>
    <row r="14" spans="1:13" x14ac:dyDescent="0.2">
      <c r="A14" s="243"/>
      <c r="B14" s="198" t="s">
        <v>28</v>
      </c>
      <c r="C14" s="198">
        <v>226009</v>
      </c>
      <c r="D14" s="196">
        <v>41425</v>
      </c>
      <c r="E14" s="197">
        <v>430208.33</v>
      </c>
      <c r="F14" s="198"/>
      <c r="G14" s="198"/>
      <c r="H14" s="244">
        <v>31</v>
      </c>
      <c r="I14" s="199">
        <f>E14*H14</f>
        <v>13336458.23</v>
      </c>
      <c r="J14" s="245"/>
    </row>
    <row r="15" spans="1:13" x14ac:dyDescent="0.2">
      <c r="A15" s="243"/>
      <c r="B15" s="198"/>
      <c r="C15" s="198"/>
      <c r="D15" s="196">
        <v>41455</v>
      </c>
      <c r="E15" s="197">
        <v>415625</v>
      </c>
      <c r="F15" s="198"/>
      <c r="G15" s="198"/>
      <c r="H15" s="244">
        <v>30</v>
      </c>
      <c r="I15" s="199">
        <f t="shared" ref="I15:I20" si="0">E15*H15</f>
        <v>12468750</v>
      </c>
      <c r="J15" s="245"/>
    </row>
    <row r="16" spans="1:13" x14ac:dyDescent="0.2">
      <c r="A16" s="243"/>
      <c r="B16" s="198" t="s">
        <v>28</v>
      </c>
      <c r="C16" s="198"/>
      <c r="D16" s="196">
        <v>41486</v>
      </c>
      <c r="E16" s="197">
        <v>401041.67</v>
      </c>
      <c r="F16" s="198"/>
      <c r="G16" s="198"/>
      <c r="H16" s="244">
        <v>31</v>
      </c>
      <c r="I16" s="199">
        <f t="shared" si="0"/>
        <v>12432291.77</v>
      </c>
      <c r="J16" s="245"/>
    </row>
    <row r="17" spans="1:11" x14ac:dyDescent="0.2">
      <c r="A17" s="243"/>
      <c r="B17" s="198" t="s">
        <v>28</v>
      </c>
      <c r="C17" s="198"/>
      <c r="D17" s="196">
        <v>41517</v>
      </c>
      <c r="E17" s="197">
        <v>386458.33</v>
      </c>
      <c r="F17" s="198"/>
      <c r="G17" s="198"/>
      <c r="H17" s="244">
        <v>31</v>
      </c>
      <c r="I17" s="199">
        <f t="shared" si="0"/>
        <v>11980208.23</v>
      </c>
      <c r="J17" s="245"/>
    </row>
    <row r="18" spans="1:11" x14ac:dyDescent="0.2">
      <c r="A18" s="243"/>
      <c r="B18" s="198"/>
      <c r="C18" s="198"/>
      <c r="D18" s="196">
        <v>41547</v>
      </c>
      <c r="E18" s="197">
        <v>371875</v>
      </c>
      <c r="F18" s="198"/>
      <c r="G18" s="198"/>
      <c r="H18" s="244">
        <v>30</v>
      </c>
      <c r="I18" s="199">
        <f>E18*H18</f>
        <v>11156250</v>
      </c>
      <c r="J18" s="245"/>
    </row>
    <row r="19" spans="1:11" x14ac:dyDescent="0.2">
      <c r="A19" s="243"/>
      <c r="B19" s="198"/>
      <c r="C19" s="198"/>
      <c r="D19" s="196">
        <v>41578</v>
      </c>
      <c r="E19" s="197">
        <v>357291.67</v>
      </c>
      <c r="F19" s="198"/>
      <c r="G19" s="198"/>
      <c r="H19" s="244">
        <v>31</v>
      </c>
      <c r="I19" s="199">
        <f t="shared" si="0"/>
        <v>11076041.77</v>
      </c>
      <c r="J19" s="245"/>
    </row>
    <row r="20" spans="1:11" x14ac:dyDescent="0.2">
      <c r="A20" s="243"/>
      <c r="B20" s="198"/>
      <c r="C20" s="198"/>
      <c r="D20" s="196">
        <v>41425</v>
      </c>
      <c r="E20" s="197"/>
      <c r="F20" s="198"/>
      <c r="G20" s="198"/>
      <c r="H20" s="244"/>
      <c r="I20" s="199">
        <f t="shared" si="0"/>
        <v>0</v>
      </c>
      <c r="J20" s="245"/>
    </row>
    <row r="21" spans="1:11" ht="12.75" customHeight="1" thickBot="1" x14ac:dyDescent="0.25">
      <c r="A21" s="243"/>
      <c r="B21" s="198" t="s">
        <v>28</v>
      </c>
      <c r="C21" s="198"/>
      <c r="D21" s="246"/>
      <c r="E21" s="197"/>
      <c r="F21" s="198"/>
      <c r="G21" s="198"/>
      <c r="H21" s="247">
        <f>SUM(H14:H20)</f>
        <v>184</v>
      </c>
      <c r="I21" s="248">
        <f>SUM(I14:I20)</f>
        <v>72450000</v>
      </c>
      <c r="J21" s="249">
        <f>I21/H21</f>
        <v>393750</v>
      </c>
    </row>
    <row r="22" spans="1:11" ht="13.5" thickTop="1" x14ac:dyDescent="0.2">
      <c r="A22" s="243"/>
      <c r="B22" s="198" t="s">
        <v>28</v>
      </c>
      <c r="C22" s="198"/>
      <c r="D22" s="246"/>
      <c r="E22" s="197"/>
      <c r="F22" s="198"/>
      <c r="G22" s="198"/>
      <c r="H22" s="244"/>
      <c r="I22" s="198"/>
      <c r="J22" s="245"/>
    </row>
    <row r="23" spans="1:11" x14ac:dyDescent="0.2">
      <c r="A23" s="243"/>
      <c r="B23" s="198" t="s">
        <v>28</v>
      </c>
      <c r="C23" s="198">
        <v>226010</v>
      </c>
      <c r="D23" s="196">
        <v>41425</v>
      </c>
      <c r="E23" s="197">
        <v>1409625</v>
      </c>
      <c r="F23" s="198"/>
      <c r="G23" s="198"/>
      <c r="H23" s="244">
        <v>31</v>
      </c>
      <c r="I23" s="199">
        <f>E23*H23</f>
        <v>43698375</v>
      </c>
      <c r="J23" s="245"/>
    </row>
    <row r="24" spans="1:11" x14ac:dyDescent="0.2">
      <c r="A24" s="243"/>
      <c r="B24" s="198" t="s">
        <v>28</v>
      </c>
      <c r="C24" s="198"/>
      <c r="D24" s="196">
        <v>41455</v>
      </c>
      <c r="E24" s="197">
        <v>1393875</v>
      </c>
      <c r="F24" s="198"/>
      <c r="G24" s="198"/>
      <c r="H24" s="244">
        <v>30</v>
      </c>
      <c r="I24" s="199">
        <f t="shared" ref="I24:I29" si="1">E24*H24</f>
        <v>41816250</v>
      </c>
      <c r="J24" s="245"/>
    </row>
    <row r="25" spans="1:11" x14ac:dyDescent="0.2">
      <c r="A25" s="243"/>
      <c r="B25" s="198" t="s">
        <v>28</v>
      </c>
      <c r="C25" s="198"/>
      <c r="D25" s="196">
        <v>41486</v>
      </c>
      <c r="E25" s="197">
        <v>1378125</v>
      </c>
      <c r="F25" s="198"/>
      <c r="G25" s="198"/>
      <c r="H25" s="244">
        <v>31</v>
      </c>
      <c r="I25" s="199">
        <f t="shared" si="1"/>
        <v>42721875</v>
      </c>
      <c r="J25" s="245"/>
      <c r="K25" s="250"/>
    </row>
    <row r="26" spans="1:11" x14ac:dyDescent="0.2">
      <c r="A26" s="243"/>
      <c r="B26" s="198" t="s">
        <v>28</v>
      </c>
      <c r="C26" s="198"/>
      <c r="D26" s="196">
        <v>41517</v>
      </c>
      <c r="E26" s="197">
        <v>1362375</v>
      </c>
      <c r="F26" s="198"/>
      <c r="G26" s="198"/>
      <c r="H26" s="244">
        <v>31</v>
      </c>
      <c r="I26" s="199">
        <f t="shared" si="1"/>
        <v>42233625</v>
      </c>
      <c r="J26" s="245"/>
      <c r="K26" s="250"/>
    </row>
    <row r="27" spans="1:11" x14ac:dyDescent="0.2">
      <c r="A27" s="243"/>
      <c r="B27" s="198"/>
      <c r="C27" s="198"/>
      <c r="D27" s="196">
        <v>41547</v>
      </c>
      <c r="E27" s="197">
        <v>1346625</v>
      </c>
      <c r="F27" s="198"/>
      <c r="G27" s="198"/>
      <c r="H27" s="244">
        <v>30</v>
      </c>
      <c r="I27" s="199">
        <f>E27*H27</f>
        <v>40398750</v>
      </c>
      <c r="J27" s="245"/>
      <c r="K27" s="250"/>
    </row>
    <row r="28" spans="1:11" x14ac:dyDescent="0.2">
      <c r="A28" s="243"/>
      <c r="B28" s="198"/>
      <c r="C28" s="198"/>
      <c r="D28" s="196">
        <v>41578</v>
      </c>
      <c r="E28" s="197">
        <v>1330875</v>
      </c>
      <c r="F28" s="198"/>
      <c r="G28" s="198"/>
      <c r="H28" s="244">
        <v>31</v>
      </c>
      <c r="I28" s="199">
        <f t="shared" si="1"/>
        <v>41257125</v>
      </c>
      <c r="J28" s="245"/>
      <c r="K28" s="250"/>
    </row>
    <row r="29" spans="1:11" x14ac:dyDescent="0.2">
      <c r="A29" s="243"/>
      <c r="B29" s="198"/>
      <c r="C29" s="198"/>
      <c r="D29" s="196">
        <v>41425</v>
      </c>
      <c r="E29" s="197"/>
      <c r="F29" s="198"/>
      <c r="G29" s="198"/>
      <c r="H29" s="244"/>
      <c r="I29" s="199">
        <f t="shared" si="1"/>
        <v>0</v>
      </c>
      <c r="J29" s="245"/>
      <c r="K29" s="250"/>
    </row>
    <row r="30" spans="1:11" ht="12.75" customHeight="1" thickBot="1" x14ac:dyDescent="0.25">
      <c r="A30" s="243"/>
      <c r="B30" s="198" t="s">
        <v>28</v>
      </c>
      <c r="C30" s="198"/>
      <c r="D30" s="246"/>
      <c r="E30" s="197"/>
      <c r="F30" s="198"/>
      <c r="G30" s="198"/>
      <c r="H30" s="247">
        <f>SUM(H23:H29)</f>
        <v>184</v>
      </c>
      <c r="I30" s="248">
        <f>SUM(I23:I29)</f>
        <v>252126000</v>
      </c>
      <c r="J30" s="249">
        <f>I30/H30</f>
        <v>1370250</v>
      </c>
      <c r="K30" s="250"/>
    </row>
    <row r="31" spans="1:11" ht="13.5" thickTop="1" x14ac:dyDescent="0.2">
      <c r="A31" s="243"/>
      <c r="B31" s="198" t="s">
        <v>28</v>
      </c>
      <c r="C31" s="198"/>
      <c r="D31" s="246"/>
      <c r="E31" s="197"/>
      <c r="F31" s="198"/>
      <c r="G31" s="198"/>
      <c r="H31" s="244"/>
      <c r="I31" s="198"/>
      <c r="J31" s="245"/>
    </row>
    <row r="32" spans="1:11" x14ac:dyDescent="0.2">
      <c r="A32" s="243"/>
      <c r="B32" s="198" t="s">
        <v>28</v>
      </c>
      <c r="C32" s="198">
        <v>226011</v>
      </c>
      <c r="D32" s="196">
        <v>41425</v>
      </c>
      <c r="E32" s="197">
        <v>7448072.9199999999</v>
      </c>
      <c r="F32" s="198"/>
      <c r="G32" s="198"/>
      <c r="H32" s="244">
        <v>31</v>
      </c>
      <c r="I32" s="199">
        <f>E32*H32</f>
        <v>230890260.52000001</v>
      </c>
      <c r="J32" s="245"/>
    </row>
    <row r="33" spans="1:10" x14ac:dyDescent="0.2">
      <c r="A33" s="243"/>
      <c r="B33" s="198" t="s">
        <v>28</v>
      </c>
      <c r="C33" s="198"/>
      <c r="D33" s="196">
        <v>41455</v>
      </c>
      <c r="E33" s="197">
        <v>7425468.75</v>
      </c>
      <c r="F33" s="198"/>
      <c r="G33" s="198"/>
      <c r="H33" s="244">
        <v>30</v>
      </c>
      <c r="I33" s="199">
        <f t="shared" ref="I33:I38" si="2">E33*H33</f>
        <v>222764062.5</v>
      </c>
      <c r="J33" s="245"/>
    </row>
    <row r="34" spans="1:10" x14ac:dyDescent="0.2">
      <c r="A34" s="243"/>
      <c r="B34" s="198" t="s">
        <v>28</v>
      </c>
      <c r="C34" s="198"/>
      <c r="D34" s="196">
        <v>41486</v>
      </c>
      <c r="E34" s="197">
        <v>7402864.5800000001</v>
      </c>
      <c r="F34" s="198"/>
      <c r="G34" s="198"/>
      <c r="H34" s="244">
        <v>31</v>
      </c>
      <c r="I34" s="199">
        <f t="shared" si="2"/>
        <v>229488801.97999999</v>
      </c>
      <c r="J34" s="245"/>
    </row>
    <row r="35" spans="1:10" x14ac:dyDescent="0.2">
      <c r="A35" s="243"/>
      <c r="B35" s="198" t="s">
        <v>28</v>
      </c>
      <c r="C35" s="198"/>
      <c r="D35" s="196">
        <v>41517</v>
      </c>
      <c r="E35" s="197">
        <v>7380260.4199999999</v>
      </c>
      <c r="F35" s="198"/>
      <c r="G35" s="198"/>
      <c r="H35" s="244">
        <v>31</v>
      </c>
      <c r="I35" s="199">
        <f t="shared" si="2"/>
        <v>228788073.02000001</v>
      </c>
      <c r="J35" s="245"/>
    </row>
    <row r="36" spans="1:10" x14ac:dyDescent="0.2">
      <c r="A36" s="243"/>
      <c r="B36" s="198"/>
      <c r="C36" s="198"/>
      <c r="D36" s="196">
        <v>41547</v>
      </c>
      <c r="E36" s="197">
        <v>7357656.25</v>
      </c>
      <c r="F36" s="198"/>
      <c r="G36" s="198"/>
      <c r="H36" s="244">
        <v>30</v>
      </c>
      <c r="I36" s="199">
        <f>E36*H36</f>
        <v>220729687.5</v>
      </c>
      <c r="J36" s="245"/>
    </row>
    <row r="37" spans="1:10" x14ac:dyDescent="0.2">
      <c r="A37" s="243"/>
      <c r="B37" s="198"/>
      <c r="C37" s="198"/>
      <c r="D37" s="196">
        <v>41578</v>
      </c>
      <c r="E37" s="197">
        <v>7335052.0800000001</v>
      </c>
      <c r="F37" s="198"/>
      <c r="G37" s="198"/>
      <c r="H37" s="244">
        <v>31</v>
      </c>
      <c r="I37" s="199">
        <f t="shared" si="2"/>
        <v>227386614.47999999</v>
      </c>
      <c r="J37" s="245"/>
    </row>
    <row r="38" spans="1:10" x14ac:dyDescent="0.2">
      <c r="A38" s="243"/>
      <c r="B38" s="198"/>
      <c r="C38" s="198"/>
      <c r="D38" s="196">
        <v>41425</v>
      </c>
      <c r="E38" s="197"/>
      <c r="F38" s="198"/>
      <c r="G38" s="198"/>
      <c r="H38" s="244"/>
      <c r="I38" s="199">
        <f t="shared" si="2"/>
        <v>0</v>
      </c>
      <c r="J38" s="245"/>
    </row>
    <row r="39" spans="1:10" ht="12.75" customHeight="1" thickBot="1" x14ac:dyDescent="0.25">
      <c r="A39" s="243"/>
      <c r="B39" s="198" t="s">
        <v>28</v>
      </c>
      <c r="C39" s="198"/>
      <c r="D39" s="246"/>
      <c r="E39" s="197"/>
      <c r="F39" s="198"/>
      <c r="G39" s="198"/>
      <c r="H39" s="247">
        <f>SUM(H32:H38)</f>
        <v>184</v>
      </c>
      <c r="I39" s="248">
        <f>SUM(I32:I38)</f>
        <v>1360047500</v>
      </c>
      <c r="J39" s="249">
        <f>I39/H39</f>
        <v>7391562.5</v>
      </c>
    </row>
    <row r="40" spans="1:10" ht="13.5" thickTop="1" x14ac:dyDescent="0.2">
      <c r="A40" s="243"/>
      <c r="B40" s="198" t="s">
        <v>28</v>
      </c>
      <c r="C40" s="198"/>
      <c r="D40" s="246"/>
      <c r="E40" s="197"/>
      <c r="F40" s="198"/>
      <c r="G40" s="198"/>
      <c r="H40" s="198"/>
      <c r="I40" s="198"/>
      <c r="J40" s="245"/>
    </row>
    <row r="41" spans="1:10" ht="13.5" thickBot="1" x14ac:dyDescent="0.25">
      <c r="A41" s="251"/>
      <c r="B41" s="252"/>
      <c r="C41" s="252"/>
      <c r="D41" s="200"/>
      <c r="E41" s="201"/>
      <c r="F41" s="252"/>
      <c r="G41" s="252"/>
      <c r="H41" s="252"/>
      <c r="I41" s="252"/>
      <c r="J41" s="253"/>
    </row>
    <row r="46" spans="1:10" x14ac:dyDescent="0.2">
      <c r="D46" s="211"/>
      <c r="E46" s="211"/>
    </row>
    <row r="47" spans="1:10" x14ac:dyDescent="0.2">
      <c r="D47" s="211"/>
      <c r="E47" s="211"/>
    </row>
    <row r="48" spans="1:10" x14ac:dyDescent="0.2">
      <c r="D48" s="211"/>
      <c r="E48" s="211"/>
    </row>
    <row r="49" spans="4:5" x14ac:dyDescent="0.2">
      <c r="D49" s="211"/>
      <c r="E49" s="211"/>
    </row>
    <row r="50" spans="4:5" x14ac:dyDescent="0.2">
      <c r="D50" s="211"/>
      <c r="E50" s="211"/>
    </row>
    <row r="51" spans="4:5" x14ac:dyDescent="0.2">
      <c r="D51" s="211"/>
      <c r="E51" s="211"/>
    </row>
    <row r="52" spans="4:5" x14ac:dyDescent="0.2">
      <c r="D52" s="211"/>
      <c r="E52" s="211"/>
    </row>
    <row r="53" spans="4:5" x14ac:dyDescent="0.2">
      <c r="D53" s="211"/>
      <c r="E53" s="211"/>
    </row>
    <row r="54" spans="4:5" x14ac:dyDescent="0.2">
      <c r="D54" s="211"/>
      <c r="E54" s="211"/>
    </row>
    <row r="55" spans="4:5" x14ac:dyDescent="0.2">
      <c r="D55" s="211"/>
      <c r="E55" s="211"/>
    </row>
    <row r="56" spans="4:5" x14ac:dyDescent="0.2">
      <c r="D56" s="211"/>
      <c r="E56" s="211"/>
    </row>
    <row r="57" spans="4:5" x14ac:dyDescent="0.2">
      <c r="D57" s="211"/>
      <c r="E57" s="211"/>
    </row>
    <row r="58" spans="4:5" x14ac:dyDescent="0.2">
      <c r="D58" s="211"/>
      <c r="E58" s="211"/>
    </row>
  </sheetData>
  <mergeCells count="2">
    <mergeCell ref="B1:I1"/>
    <mergeCell ref="B2:I2"/>
  </mergeCells>
  <pageMargins left="0.5" right="0.5" top="1" bottom="1" header="0.5" footer="0.5"/>
  <pageSetup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2">
    <pageSetUpPr fitToPage="1"/>
  </sheetPr>
  <dimension ref="A1:P30"/>
  <sheetViews>
    <sheetView topLeftCell="D13" zoomScaleNormal="100" workbookViewId="0">
      <selection activeCell="H19" sqref="H19"/>
    </sheetView>
  </sheetViews>
  <sheetFormatPr defaultColWidth="10.28515625" defaultRowHeight="12.75" x14ac:dyDescent="0.2"/>
  <cols>
    <col min="1" max="1" width="0" style="202" hidden="1" customWidth="1"/>
    <col min="2" max="2" width="33.7109375" style="202" customWidth="1"/>
    <col min="3" max="3" width="10.28515625" style="202" hidden="1" customWidth="1"/>
    <col min="4" max="4" width="11" style="202" bestFit="1" customWidth="1"/>
    <col min="5" max="5" width="14.28515625" style="202" customWidth="1"/>
    <col min="6" max="6" width="15.7109375" style="202" bestFit="1" customWidth="1"/>
    <col min="7" max="7" width="11.7109375" style="202" customWidth="1"/>
    <col min="8" max="8" width="12.85546875" style="202" customWidth="1"/>
    <col min="9" max="9" width="15.140625" style="202" bestFit="1" customWidth="1"/>
    <col min="10" max="10" width="15.140625" style="202" customWidth="1"/>
    <col min="11" max="11" width="17.28515625" style="202" customWidth="1"/>
    <col min="12" max="12" width="12.85546875" style="202" bestFit="1" customWidth="1"/>
    <col min="13" max="13" width="12" style="202" customWidth="1"/>
    <col min="14" max="15" width="10.28515625" style="202" customWidth="1"/>
    <col min="16" max="16" width="5.7109375" style="202" customWidth="1"/>
    <col min="17" max="16384" width="10.28515625" style="202"/>
  </cols>
  <sheetData>
    <row r="1" spans="1:16" x14ac:dyDescent="0.2">
      <c r="B1" s="510" t="s">
        <v>23</v>
      </c>
      <c r="C1" s="510"/>
      <c r="D1" s="510"/>
      <c r="E1" s="510"/>
      <c r="F1" s="510"/>
      <c r="G1" s="510"/>
      <c r="H1" s="510"/>
      <c r="I1" s="510"/>
      <c r="J1" s="510"/>
      <c r="K1" s="510"/>
      <c r="L1" s="510"/>
    </row>
    <row r="2" spans="1:16" x14ac:dyDescent="0.2">
      <c r="B2" s="510" t="s">
        <v>171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1:16" x14ac:dyDescent="0.2">
      <c r="B3" s="254"/>
      <c r="C3" s="255"/>
      <c r="D3" s="255"/>
      <c r="E3" s="255"/>
      <c r="F3" s="255"/>
      <c r="G3" s="255"/>
      <c r="H3" s="255"/>
    </row>
    <row r="5" spans="1:16" x14ac:dyDescent="0.2">
      <c r="A5" s="202" t="s">
        <v>172</v>
      </c>
      <c r="I5" s="256" t="s">
        <v>112</v>
      </c>
      <c r="J5" s="255"/>
    </row>
    <row r="6" spans="1:16" x14ac:dyDescent="0.2">
      <c r="A6" s="202" t="s">
        <v>172</v>
      </c>
      <c r="D6" s="256" t="s">
        <v>114</v>
      </c>
      <c r="E6" s="256" t="s">
        <v>162</v>
      </c>
      <c r="F6" s="255" t="s">
        <v>115</v>
      </c>
      <c r="G6" s="256" t="s">
        <v>116</v>
      </c>
      <c r="I6" s="256" t="s">
        <v>117</v>
      </c>
      <c r="J6" s="255"/>
      <c r="K6" s="255" t="s">
        <v>115</v>
      </c>
    </row>
    <row r="7" spans="1:16" s="203" customFormat="1" x14ac:dyDescent="0.2">
      <c r="A7" s="202" t="s">
        <v>172</v>
      </c>
      <c r="D7" s="257" t="s">
        <v>121</v>
      </c>
      <c r="E7" s="257" t="s">
        <v>121</v>
      </c>
      <c r="F7" s="258">
        <v>41547</v>
      </c>
      <c r="G7" s="257" t="s">
        <v>122</v>
      </c>
      <c r="H7" s="257" t="s">
        <v>123</v>
      </c>
      <c r="I7" s="257" t="s">
        <v>124</v>
      </c>
      <c r="J7" s="259" t="s">
        <v>173</v>
      </c>
      <c r="K7" s="258">
        <v>41578</v>
      </c>
    </row>
    <row r="8" spans="1:16" s="203" customFormat="1" x14ac:dyDescent="0.2">
      <c r="B8" s="260" t="s">
        <v>174</v>
      </c>
      <c r="D8" s="261" t="s">
        <v>175</v>
      </c>
      <c r="E8" s="261" t="s">
        <v>176</v>
      </c>
      <c r="F8" s="262">
        <v>2762970.0100000012</v>
      </c>
      <c r="G8" s="263"/>
      <c r="H8" s="204">
        <f>F8+G8</f>
        <v>2762970.0100000012</v>
      </c>
      <c r="I8" s="264">
        <v>-56387.14</v>
      </c>
      <c r="J8" s="264"/>
      <c r="K8" s="230">
        <f>SUM(H8:J8)</f>
        <v>2706582.870000001</v>
      </c>
      <c r="M8" s="265"/>
      <c r="N8" s="265"/>
      <c r="O8" s="265"/>
      <c r="P8" s="265"/>
    </row>
    <row r="9" spans="1:16" s="203" customFormat="1" x14ac:dyDescent="0.2">
      <c r="B9" s="260" t="s">
        <v>177</v>
      </c>
      <c r="D9" s="261" t="s">
        <v>178</v>
      </c>
      <c r="E9" s="261" t="s">
        <v>179</v>
      </c>
      <c r="F9" s="262">
        <v>446110.7199999998</v>
      </c>
      <c r="G9" s="263"/>
      <c r="H9" s="204">
        <f>F9+G9</f>
        <v>446110.7199999998</v>
      </c>
      <c r="I9" s="264">
        <v>-14390.67</v>
      </c>
      <c r="J9" s="264"/>
      <c r="K9" s="230">
        <f>SUM(H9:J9)</f>
        <v>431720.04999999981</v>
      </c>
      <c r="M9" s="265"/>
      <c r="N9" s="265"/>
      <c r="O9" s="265"/>
      <c r="P9" s="265"/>
    </row>
    <row r="10" spans="1:16" s="203" customFormat="1" x14ac:dyDescent="0.2">
      <c r="B10" s="266" t="s">
        <v>11</v>
      </c>
      <c r="D10" s="267"/>
      <c r="E10" s="267"/>
      <c r="F10" s="268">
        <f>SUM(F8:F9)</f>
        <v>3209080.7300000009</v>
      </c>
      <c r="G10" s="268">
        <f t="shared" ref="G10:H10" si="0">SUM(G8:G9)</f>
        <v>0</v>
      </c>
      <c r="H10" s="268">
        <f t="shared" si="0"/>
        <v>3209080.7300000009</v>
      </c>
      <c r="I10" s="268">
        <f>SUM(I8:I9)</f>
        <v>-70777.81</v>
      </c>
      <c r="J10" s="268">
        <f>SUM(J8:J9)</f>
        <v>0</v>
      </c>
      <c r="K10" s="269">
        <f>SUM(K8:K9)</f>
        <v>3138302.9200000009</v>
      </c>
      <c r="L10" s="230"/>
      <c r="M10" s="265"/>
      <c r="N10" s="265"/>
      <c r="O10" s="265"/>
      <c r="P10" s="265"/>
    </row>
    <row r="12" spans="1:16" ht="13.5" customHeight="1" thickBot="1" x14ac:dyDescent="0.25"/>
    <row r="13" spans="1:16" ht="12.75" customHeight="1" x14ac:dyDescent="0.2">
      <c r="D13" s="270"/>
      <c r="E13" s="271" t="s">
        <v>139</v>
      </c>
      <c r="F13" s="272" t="s">
        <v>140</v>
      </c>
      <c r="G13" s="273" t="s">
        <v>124</v>
      </c>
      <c r="H13" s="274" t="s">
        <v>141</v>
      </c>
      <c r="I13" s="272" t="s">
        <v>142</v>
      </c>
      <c r="J13" s="275"/>
      <c r="K13" s="276"/>
      <c r="L13" s="276"/>
      <c r="M13" s="277" t="s">
        <v>143</v>
      </c>
    </row>
    <row r="14" spans="1:16" ht="12.75" customHeight="1" x14ac:dyDescent="0.2">
      <c r="D14" s="278"/>
      <c r="E14" s="279"/>
      <c r="F14" s="280">
        <v>181008</v>
      </c>
      <c r="G14" s="281">
        <v>41425</v>
      </c>
      <c r="H14" s="282">
        <f>56205.77*12</f>
        <v>674469.24</v>
      </c>
      <c r="I14" s="283">
        <v>31</v>
      </c>
      <c r="J14" s="279"/>
      <c r="K14" s="284">
        <f>H14*I14</f>
        <v>20908546.440000001</v>
      </c>
      <c r="L14" s="279"/>
      <c r="M14" s="285"/>
    </row>
    <row r="15" spans="1:16" ht="12.75" customHeight="1" x14ac:dyDescent="0.2">
      <c r="D15" s="278"/>
      <c r="E15" s="279"/>
      <c r="F15" s="280"/>
      <c r="G15" s="492">
        <v>41455</v>
      </c>
      <c r="H15" s="282">
        <f>56205.77*12</f>
        <v>674469.24</v>
      </c>
      <c r="I15" s="286">
        <v>30</v>
      </c>
      <c r="J15" s="279"/>
      <c r="K15" s="284">
        <f>H15*I15</f>
        <v>20234077.199999999</v>
      </c>
      <c r="L15" s="279"/>
      <c r="M15" s="285"/>
    </row>
    <row r="16" spans="1:16" ht="12.75" customHeight="1" x14ac:dyDescent="0.2">
      <c r="D16" s="278"/>
      <c r="E16" s="279"/>
      <c r="F16" s="280"/>
      <c r="G16" s="492">
        <v>41486</v>
      </c>
      <c r="H16" s="287">
        <f>56215.15*12</f>
        <v>674581.8</v>
      </c>
      <c r="I16" s="286">
        <v>31</v>
      </c>
      <c r="J16" s="279"/>
      <c r="K16" s="284">
        <f t="shared" ref="K16:K19" si="1">H16*I16</f>
        <v>20912035.800000001</v>
      </c>
      <c r="L16" s="279"/>
      <c r="M16" s="285"/>
    </row>
    <row r="17" spans="4:13" ht="12.75" customHeight="1" x14ac:dyDescent="0.2">
      <c r="D17" s="278"/>
      <c r="E17" s="279"/>
      <c r="F17" s="280"/>
      <c r="G17" s="492">
        <v>41517</v>
      </c>
      <c r="H17" s="287">
        <f>56387.14*12</f>
        <v>676645.67999999993</v>
      </c>
      <c r="I17" s="286">
        <v>31</v>
      </c>
      <c r="J17" s="279"/>
      <c r="K17" s="284">
        <f t="shared" si="1"/>
        <v>20976016.079999998</v>
      </c>
      <c r="L17" s="279"/>
      <c r="M17" s="285"/>
    </row>
    <row r="18" spans="4:13" ht="12.75" customHeight="1" x14ac:dyDescent="0.2">
      <c r="D18" s="278"/>
      <c r="E18" s="279"/>
      <c r="F18" s="280"/>
      <c r="G18" s="492">
        <v>41547</v>
      </c>
      <c r="H18" s="287">
        <f>56387.14*12</f>
        <v>676645.67999999993</v>
      </c>
      <c r="I18" s="286">
        <v>30</v>
      </c>
      <c r="J18" s="279"/>
      <c r="K18" s="284">
        <f>H18*I18</f>
        <v>20299370.399999999</v>
      </c>
      <c r="L18" s="279"/>
      <c r="M18" s="285"/>
    </row>
    <row r="19" spans="4:13" ht="12.75" customHeight="1" x14ac:dyDescent="0.2">
      <c r="D19" s="278"/>
      <c r="E19" s="279"/>
      <c r="F19" s="280"/>
      <c r="G19" s="492">
        <v>41578</v>
      </c>
      <c r="H19" s="287">
        <f>56387.14*12</f>
        <v>676645.67999999993</v>
      </c>
      <c r="I19" s="283">
        <v>31</v>
      </c>
      <c r="J19" s="288"/>
      <c r="K19" s="282">
        <f t="shared" si="1"/>
        <v>20976016.079999998</v>
      </c>
      <c r="L19" s="279"/>
      <c r="M19" s="285"/>
    </row>
    <row r="20" spans="4:13" ht="13.5" customHeight="1" thickBot="1" x14ac:dyDescent="0.25">
      <c r="D20" s="289"/>
      <c r="E20" s="290"/>
      <c r="F20" s="291"/>
      <c r="G20" s="292"/>
      <c r="H20" s="293"/>
      <c r="I20" s="294">
        <f>SUM(I14:I19)</f>
        <v>184</v>
      </c>
      <c r="J20" s="295"/>
      <c r="K20" s="296">
        <f>SUM(K14:K19)</f>
        <v>124306061.99999999</v>
      </c>
      <c r="L20" s="290"/>
      <c r="M20" s="297">
        <f>K20/I20</f>
        <v>675576.42391304334</v>
      </c>
    </row>
    <row r="22" spans="4:13" ht="12.75" customHeight="1" x14ac:dyDescent="0.2">
      <c r="D22" s="270"/>
      <c r="E22" s="271" t="s">
        <v>139</v>
      </c>
      <c r="F22" s="272" t="s">
        <v>140</v>
      </c>
      <c r="G22" s="273" t="s">
        <v>124</v>
      </c>
      <c r="H22" s="274" t="s">
        <v>141</v>
      </c>
      <c r="I22" s="272" t="s">
        <v>142</v>
      </c>
      <c r="J22" s="275"/>
      <c r="K22" s="276"/>
      <c r="L22" s="276"/>
      <c r="M22" s="277" t="s">
        <v>143</v>
      </c>
    </row>
    <row r="23" spans="4:13" ht="12.75" customHeight="1" x14ac:dyDescent="0.2">
      <c r="D23" s="278"/>
      <c r="E23" s="279"/>
      <c r="F23" s="280">
        <v>181013</v>
      </c>
      <c r="G23" s="281">
        <v>41425</v>
      </c>
      <c r="H23" s="282">
        <f>9122.47*12</f>
        <v>109469.63999999998</v>
      </c>
      <c r="I23" s="283">
        <v>31</v>
      </c>
      <c r="J23" s="279"/>
      <c r="K23" s="284">
        <f>H23*I23</f>
        <v>3393558.8399999994</v>
      </c>
      <c r="L23" s="279"/>
      <c r="M23" s="285"/>
    </row>
    <row r="24" spans="4:13" ht="12.75" customHeight="1" x14ac:dyDescent="0.2">
      <c r="D24" s="278"/>
      <c r="E24" s="279"/>
      <c r="F24" s="280"/>
      <c r="G24" s="492">
        <v>41455</v>
      </c>
      <c r="H24" s="287">
        <f>9122.47*12</f>
        <v>109469.63999999998</v>
      </c>
      <c r="I24" s="286">
        <v>30</v>
      </c>
      <c r="J24" s="279"/>
      <c r="K24" s="284">
        <f>H24*I24</f>
        <v>3284089.1999999997</v>
      </c>
      <c r="L24" s="279"/>
      <c r="M24" s="285"/>
    </row>
    <row r="25" spans="4:13" ht="12.75" customHeight="1" x14ac:dyDescent="0.2">
      <c r="D25" s="278"/>
      <c r="E25" s="279"/>
      <c r="F25" s="280"/>
      <c r="G25" s="492">
        <v>41486</v>
      </c>
      <c r="H25" s="287">
        <f>12675.64*12</f>
        <v>152107.68</v>
      </c>
      <c r="I25" s="286">
        <v>31</v>
      </c>
      <c r="J25" s="279"/>
      <c r="K25" s="284">
        <f t="shared" ref="K25:K28" si="2">H25*I25</f>
        <v>4715338.08</v>
      </c>
      <c r="L25" s="279"/>
      <c r="M25" s="285"/>
    </row>
    <row r="26" spans="4:13" ht="12.75" customHeight="1" x14ac:dyDescent="0.2">
      <c r="D26" s="278"/>
      <c r="E26" s="279"/>
      <c r="F26" s="280"/>
      <c r="G26" s="492">
        <v>41517</v>
      </c>
      <c r="H26" s="287">
        <f>14151.59*12</f>
        <v>169819.08000000002</v>
      </c>
      <c r="I26" s="286">
        <v>31</v>
      </c>
      <c r="J26" s="279"/>
      <c r="K26" s="284">
        <f t="shared" si="2"/>
        <v>5264391.4800000004</v>
      </c>
      <c r="L26" s="279"/>
      <c r="M26" s="285"/>
    </row>
    <row r="27" spans="4:13" ht="12.75" customHeight="1" x14ac:dyDescent="0.2">
      <c r="D27" s="278"/>
      <c r="E27" s="279"/>
      <c r="F27" s="280"/>
      <c r="G27" s="492">
        <v>41547</v>
      </c>
      <c r="H27" s="287">
        <f>14390.667*12</f>
        <v>172688.00399999999</v>
      </c>
      <c r="I27" s="286">
        <v>30</v>
      </c>
      <c r="J27" s="279"/>
      <c r="K27" s="284">
        <f>H27*I27</f>
        <v>5180640.1199999992</v>
      </c>
      <c r="L27" s="279"/>
      <c r="M27" s="285"/>
    </row>
    <row r="28" spans="4:13" ht="12.75" customHeight="1" x14ac:dyDescent="0.2">
      <c r="D28" s="278"/>
      <c r="E28" s="279"/>
      <c r="F28" s="280"/>
      <c r="G28" s="492">
        <v>41578</v>
      </c>
      <c r="H28" s="287">
        <f>14390.667*12</f>
        <v>172688.00399999999</v>
      </c>
      <c r="I28" s="283">
        <v>31</v>
      </c>
      <c r="J28" s="288"/>
      <c r="K28" s="282">
        <f t="shared" si="2"/>
        <v>5353328.1239999998</v>
      </c>
      <c r="L28" s="279"/>
      <c r="M28" s="285"/>
    </row>
    <row r="29" spans="4:13" ht="13.5" customHeight="1" thickBot="1" x14ac:dyDescent="0.25">
      <c r="D29" s="289"/>
      <c r="E29" s="290"/>
      <c r="F29" s="291"/>
      <c r="G29" s="292"/>
      <c r="H29" s="293"/>
      <c r="I29" s="294">
        <f>SUM(I23:I28)</f>
        <v>184</v>
      </c>
      <c r="J29" s="295"/>
      <c r="K29" s="296">
        <f>SUM(K23:K28)</f>
        <v>27191345.843999997</v>
      </c>
      <c r="L29" s="290"/>
      <c r="M29" s="297">
        <f>K29/I29</f>
        <v>147779.05349999998</v>
      </c>
    </row>
    <row r="30" spans="4:13" ht="12.75" customHeight="1" x14ac:dyDescent="0.2"/>
  </sheetData>
  <mergeCells count="2">
    <mergeCell ref="B1:L1"/>
    <mergeCell ref="B2:L2"/>
  </mergeCells>
  <printOptions horizontalCentered="1"/>
  <pageMargins left="0.25" right="0.25" top="0.7" bottom="0.5" header="0.5" footer="0.25"/>
  <pageSetup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5">
    <pageSetUpPr fitToPage="1"/>
  </sheetPr>
  <dimension ref="A1:O191"/>
  <sheetViews>
    <sheetView zoomScaleNormal="100" workbookViewId="0">
      <pane ySplit="5" topLeftCell="A158" activePane="bottomLeft" state="frozen"/>
      <selection sqref="A1:XFD1048576"/>
      <selection pane="bottomLeft" activeCell="E4" sqref="E4"/>
    </sheetView>
  </sheetViews>
  <sheetFormatPr defaultColWidth="11.7109375" defaultRowHeight="12.75" x14ac:dyDescent="0.2"/>
  <cols>
    <col min="1" max="1" width="12.42578125" style="305" customWidth="1"/>
    <col min="2" max="2" width="13.42578125" style="315" hidden="1" customWidth="1"/>
    <col min="3" max="3" width="15.5703125" style="300" bestFit="1" customWidth="1"/>
    <col min="4" max="4" width="14.42578125" style="300" bestFit="1" customWidth="1"/>
    <col min="5" max="5" width="19" style="301" customWidth="1"/>
    <col min="6" max="6" width="4.42578125" style="301" customWidth="1"/>
    <col min="7" max="7" width="11.7109375" style="301"/>
    <col min="8" max="8" width="15.42578125" style="301" customWidth="1"/>
    <col min="9" max="9" width="12.85546875" style="302" bestFit="1" customWidth="1"/>
    <col min="10" max="10" width="11.7109375" style="303"/>
    <col min="11" max="11" width="16.5703125" style="304" bestFit="1" customWidth="1"/>
    <col min="12" max="12" width="11.7109375" style="304"/>
    <col min="13" max="13" width="14" style="304" bestFit="1" customWidth="1"/>
    <col min="14" max="14" width="17.42578125" style="304" bestFit="1" customWidth="1"/>
    <col min="15" max="15" width="11.7109375" style="305"/>
    <col min="16" max="16384" width="11.7109375" style="301"/>
  </cols>
  <sheetData>
    <row r="1" spans="1:15" ht="15" x14ac:dyDescent="0.25">
      <c r="A1" s="298" t="s">
        <v>180</v>
      </c>
      <c r="B1" s="299"/>
      <c r="H1" s="494"/>
    </row>
    <row r="2" spans="1:15" x14ac:dyDescent="0.2">
      <c r="A2" s="306" t="s">
        <v>181</v>
      </c>
      <c r="B2" s="307"/>
      <c r="H2" s="494"/>
    </row>
    <row r="3" spans="1:15" x14ac:dyDescent="0.2">
      <c r="A3" s="308"/>
      <c r="B3" s="309"/>
      <c r="C3" s="310"/>
      <c r="D3" s="310"/>
      <c r="E3" s="311"/>
      <c r="F3" s="311"/>
      <c r="G3" s="312" t="s">
        <v>182</v>
      </c>
      <c r="H3" s="311"/>
    </row>
    <row r="4" spans="1:15" x14ac:dyDescent="0.2">
      <c r="A4" s="308"/>
      <c r="B4" s="309"/>
      <c r="C4" s="511"/>
      <c r="D4" s="511"/>
      <c r="E4" s="311"/>
      <c r="F4" s="311"/>
      <c r="G4" s="312" t="s">
        <v>183</v>
      </c>
      <c r="H4" s="311"/>
      <c r="I4" s="313" t="s">
        <v>184</v>
      </c>
      <c r="J4" s="313" t="s">
        <v>185</v>
      </c>
      <c r="K4" s="313" t="s">
        <v>27</v>
      </c>
      <c r="L4" s="313" t="s">
        <v>186</v>
      </c>
      <c r="M4" s="313" t="s">
        <v>27</v>
      </c>
      <c r="N4" s="313" t="s">
        <v>187</v>
      </c>
      <c r="O4" s="314"/>
    </row>
    <row r="5" spans="1:15" x14ac:dyDescent="0.2">
      <c r="A5" s="306" t="s">
        <v>188</v>
      </c>
      <c r="B5" s="307" t="s">
        <v>189</v>
      </c>
      <c r="C5" s="310" t="s">
        <v>190</v>
      </c>
      <c r="D5" s="310" t="s">
        <v>191</v>
      </c>
      <c r="E5" s="312" t="s">
        <v>192</v>
      </c>
      <c r="F5" s="311"/>
      <c r="G5" s="312" t="s">
        <v>8</v>
      </c>
      <c r="H5" s="312" t="s">
        <v>17</v>
      </c>
      <c r="I5" s="313" t="s">
        <v>193</v>
      </c>
      <c r="J5" s="313" t="s">
        <v>194</v>
      </c>
      <c r="K5" s="313" t="s">
        <v>17</v>
      </c>
      <c r="L5" s="313" t="s">
        <v>195</v>
      </c>
      <c r="M5" s="313" t="s">
        <v>196</v>
      </c>
      <c r="N5" s="313" t="s">
        <v>195</v>
      </c>
      <c r="O5" s="314"/>
    </row>
    <row r="6" spans="1:15" ht="15.75" customHeight="1" x14ac:dyDescent="0.2"/>
    <row r="7" spans="1:15" ht="15.75" customHeight="1" x14ac:dyDescent="0.2">
      <c r="A7" s="316" t="s">
        <v>197</v>
      </c>
      <c r="B7" s="317"/>
      <c r="E7" s="318">
        <v>0</v>
      </c>
      <c r="F7" s="301" t="s">
        <v>13</v>
      </c>
      <c r="G7" s="319"/>
    </row>
    <row r="8" spans="1:15" ht="15" hidden="1" x14ac:dyDescent="0.2">
      <c r="A8" s="320">
        <v>41395</v>
      </c>
      <c r="C8" s="321">
        <f t="shared" ref="C8:C71" si="0">IF(B8&lt;0,B8*-1,0)</f>
        <v>0</v>
      </c>
      <c r="D8" s="321">
        <f t="shared" ref="D8:D71" si="1">IF(B8&gt;0,B8*1,0)</f>
        <v>0</v>
      </c>
      <c r="E8" s="322">
        <v>0</v>
      </c>
      <c r="G8" s="319">
        <v>3.3E-3</v>
      </c>
      <c r="H8" s="322">
        <f t="shared" ref="H8" si="2">ROUND(+E8*G8/360,5)</f>
        <v>0</v>
      </c>
    </row>
    <row r="9" spans="1:15" ht="15" hidden="1" x14ac:dyDescent="0.2">
      <c r="A9" s="320">
        <f t="shared" ref="A9:A64" si="3">A8+1</f>
        <v>41396</v>
      </c>
      <c r="C9" s="321">
        <f t="shared" si="0"/>
        <v>0</v>
      </c>
      <c r="D9" s="321">
        <f t="shared" si="1"/>
        <v>0</v>
      </c>
      <c r="E9" s="322">
        <f t="shared" ref="E9:E71" si="4">E8-C9+D9</f>
        <v>0</v>
      </c>
      <c r="G9" s="319">
        <f>G8</f>
        <v>3.3E-3</v>
      </c>
      <c r="H9" s="322">
        <f>ROUND(+E9*G9/360,5)</f>
        <v>0</v>
      </c>
    </row>
    <row r="10" spans="1:15" ht="15" hidden="1" x14ac:dyDescent="0.2">
      <c r="A10" s="320">
        <f t="shared" si="3"/>
        <v>41397</v>
      </c>
      <c r="C10" s="321">
        <f t="shared" si="0"/>
        <v>0</v>
      </c>
      <c r="D10" s="321">
        <f t="shared" si="1"/>
        <v>0</v>
      </c>
      <c r="E10" s="322">
        <f t="shared" si="4"/>
        <v>0</v>
      </c>
      <c r="G10" s="319">
        <f t="shared" ref="G10:G38" si="5">G9</f>
        <v>3.3E-3</v>
      </c>
      <c r="H10" s="322">
        <f t="shared" ref="H10:H73" si="6">ROUND(+E10*G10/360,5)</f>
        <v>0</v>
      </c>
    </row>
    <row r="11" spans="1:15" ht="15" hidden="1" x14ac:dyDescent="0.2">
      <c r="A11" s="320">
        <f t="shared" si="3"/>
        <v>41398</v>
      </c>
      <c r="C11" s="321">
        <f t="shared" si="0"/>
        <v>0</v>
      </c>
      <c r="D11" s="321">
        <f t="shared" si="1"/>
        <v>0</v>
      </c>
      <c r="E11" s="322">
        <f t="shared" si="4"/>
        <v>0</v>
      </c>
      <c r="G11" s="319">
        <f t="shared" si="5"/>
        <v>3.3E-3</v>
      </c>
      <c r="H11" s="322">
        <f t="shared" si="6"/>
        <v>0</v>
      </c>
    </row>
    <row r="12" spans="1:15" ht="15" hidden="1" x14ac:dyDescent="0.2">
      <c r="A12" s="320">
        <f t="shared" si="3"/>
        <v>41399</v>
      </c>
      <c r="C12" s="321">
        <f t="shared" si="0"/>
        <v>0</v>
      </c>
      <c r="D12" s="321">
        <f t="shared" si="1"/>
        <v>0</v>
      </c>
      <c r="E12" s="322">
        <f t="shared" si="4"/>
        <v>0</v>
      </c>
      <c r="G12" s="319">
        <f t="shared" si="5"/>
        <v>3.3E-3</v>
      </c>
      <c r="H12" s="322">
        <f t="shared" si="6"/>
        <v>0</v>
      </c>
    </row>
    <row r="13" spans="1:15" ht="15" hidden="1" x14ac:dyDescent="0.2">
      <c r="A13" s="320">
        <f t="shared" si="3"/>
        <v>41400</v>
      </c>
      <c r="C13" s="321">
        <f t="shared" si="0"/>
        <v>0</v>
      </c>
      <c r="D13" s="321">
        <f t="shared" si="1"/>
        <v>0</v>
      </c>
      <c r="E13" s="322">
        <f t="shared" si="4"/>
        <v>0</v>
      </c>
      <c r="G13" s="319">
        <f t="shared" si="5"/>
        <v>3.3E-3</v>
      </c>
      <c r="H13" s="322">
        <f t="shared" si="6"/>
        <v>0</v>
      </c>
    </row>
    <row r="14" spans="1:15" ht="15" hidden="1" x14ac:dyDescent="0.2">
      <c r="A14" s="320">
        <f t="shared" si="3"/>
        <v>41401</v>
      </c>
      <c r="C14" s="321">
        <f t="shared" si="0"/>
        <v>0</v>
      </c>
      <c r="D14" s="321">
        <f t="shared" si="1"/>
        <v>0</v>
      </c>
      <c r="E14" s="322">
        <f t="shared" si="4"/>
        <v>0</v>
      </c>
      <c r="G14" s="319">
        <f t="shared" si="5"/>
        <v>3.3E-3</v>
      </c>
      <c r="H14" s="322">
        <f t="shared" si="6"/>
        <v>0</v>
      </c>
    </row>
    <row r="15" spans="1:15" ht="15" hidden="1" x14ac:dyDescent="0.2">
      <c r="A15" s="320">
        <f t="shared" si="3"/>
        <v>41402</v>
      </c>
      <c r="C15" s="321">
        <f t="shared" si="0"/>
        <v>0</v>
      </c>
      <c r="D15" s="321">
        <f t="shared" si="1"/>
        <v>0</v>
      </c>
      <c r="E15" s="322">
        <f t="shared" si="4"/>
        <v>0</v>
      </c>
      <c r="G15" s="319">
        <f t="shared" si="5"/>
        <v>3.3E-3</v>
      </c>
      <c r="H15" s="322">
        <f t="shared" si="6"/>
        <v>0</v>
      </c>
    </row>
    <row r="16" spans="1:15" ht="15" hidden="1" x14ac:dyDescent="0.2">
      <c r="A16" s="320">
        <f t="shared" si="3"/>
        <v>41403</v>
      </c>
      <c r="C16" s="321">
        <f t="shared" si="0"/>
        <v>0</v>
      </c>
      <c r="D16" s="321">
        <f t="shared" si="1"/>
        <v>0</v>
      </c>
      <c r="E16" s="322">
        <f t="shared" si="4"/>
        <v>0</v>
      </c>
      <c r="G16" s="319">
        <f t="shared" si="5"/>
        <v>3.3E-3</v>
      </c>
      <c r="H16" s="322">
        <f t="shared" si="6"/>
        <v>0</v>
      </c>
    </row>
    <row r="17" spans="1:8" ht="15" hidden="1" x14ac:dyDescent="0.2">
      <c r="A17" s="320">
        <f t="shared" si="3"/>
        <v>41404</v>
      </c>
      <c r="C17" s="321">
        <f t="shared" si="0"/>
        <v>0</v>
      </c>
      <c r="D17" s="321">
        <f t="shared" si="1"/>
        <v>0</v>
      </c>
      <c r="E17" s="322">
        <f t="shared" si="4"/>
        <v>0</v>
      </c>
      <c r="G17" s="319">
        <f t="shared" si="5"/>
        <v>3.3E-3</v>
      </c>
      <c r="H17" s="322">
        <f t="shared" si="6"/>
        <v>0</v>
      </c>
    </row>
    <row r="18" spans="1:8" ht="15" hidden="1" x14ac:dyDescent="0.2">
      <c r="A18" s="320">
        <f t="shared" si="3"/>
        <v>41405</v>
      </c>
      <c r="C18" s="321">
        <f t="shared" si="0"/>
        <v>0</v>
      </c>
      <c r="D18" s="321">
        <f t="shared" si="1"/>
        <v>0</v>
      </c>
      <c r="E18" s="322">
        <f t="shared" si="4"/>
        <v>0</v>
      </c>
      <c r="G18" s="319">
        <f t="shared" si="5"/>
        <v>3.3E-3</v>
      </c>
      <c r="H18" s="322">
        <f t="shared" si="6"/>
        <v>0</v>
      </c>
    </row>
    <row r="19" spans="1:8" ht="15" hidden="1" x14ac:dyDescent="0.2">
      <c r="A19" s="320">
        <f t="shared" si="3"/>
        <v>41406</v>
      </c>
      <c r="C19" s="321">
        <f t="shared" si="0"/>
        <v>0</v>
      </c>
      <c r="D19" s="321">
        <f t="shared" si="1"/>
        <v>0</v>
      </c>
      <c r="E19" s="322">
        <f t="shared" si="4"/>
        <v>0</v>
      </c>
      <c r="G19" s="319">
        <f t="shared" si="5"/>
        <v>3.3E-3</v>
      </c>
      <c r="H19" s="322">
        <f t="shared" si="6"/>
        <v>0</v>
      </c>
    </row>
    <row r="20" spans="1:8" ht="15" hidden="1" x14ac:dyDescent="0.2">
      <c r="A20" s="320">
        <f t="shared" si="3"/>
        <v>41407</v>
      </c>
      <c r="C20" s="321">
        <f t="shared" si="0"/>
        <v>0</v>
      </c>
      <c r="D20" s="321">
        <f t="shared" si="1"/>
        <v>0</v>
      </c>
      <c r="E20" s="322">
        <f t="shared" si="4"/>
        <v>0</v>
      </c>
      <c r="G20" s="319">
        <f t="shared" si="5"/>
        <v>3.3E-3</v>
      </c>
      <c r="H20" s="322">
        <f t="shared" si="6"/>
        <v>0</v>
      </c>
    </row>
    <row r="21" spans="1:8" ht="15" hidden="1" x14ac:dyDescent="0.2">
      <c r="A21" s="320">
        <f t="shared" si="3"/>
        <v>41408</v>
      </c>
      <c r="C21" s="321">
        <f t="shared" si="0"/>
        <v>0</v>
      </c>
      <c r="D21" s="321">
        <f t="shared" si="1"/>
        <v>0</v>
      </c>
      <c r="E21" s="322">
        <f t="shared" si="4"/>
        <v>0</v>
      </c>
      <c r="G21" s="319">
        <f t="shared" si="5"/>
        <v>3.3E-3</v>
      </c>
      <c r="H21" s="322">
        <f t="shared" si="6"/>
        <v>0</v>
      </c>
    </row>
    <row r="22" spans="1:8" ht="15" hidden="1" x14ac:dyDescent="0.2">
      <c r="A22" s="320">
        <f t="shared" si="3"/>
        <v>41409</v>
      </c>
      <c r="C22" s="321">
        <f t="shared" si="0"/>
        <v>0</v>
      </c>
      <c r="D22" s="321">
        <f t="shared" si="1"/>
        <v>0</v>
      </c>
      <c r="E22" s="322">
        <f t="shared" si="4"/>
        <v>0</v>
      </c>
      <c r="G22" s="319">
        <f t="shared" si="5"/>
        <v>3.3E-3</v>
      </c>
      <c r="H22" s="322">
        <f t="shared" si="6"/>
        <v>0</v>
      </c>
    </row>
    <row r="23" spans="1:8" ht="15" hidden="1" x14ac:dyDescent="0.2">
      <c r="A23" s="320">
        <f t="shared" si="3"/>
        <v>41410</v>
      </c>
      <c r="C23" s="321">
        <f t="shared" si="0"/>
        <v>0</v>
      </c>
      <c r="D23" s="321">
        <f t="shared" si="1"/>
        <v>0</v>
      </c>
      <c r="E23" s="322">
        <f t="shared" si="4"/>
        <v>0</v>
      </c>
      <c r="G23" s="319">
        <f t="shared" si="5"/>
        <v>3.3E-3</v>
      </c>
      <c r="H23" s="322">
        <f t="shared" si="6"/>
        <v>0</v>
      </c>
    </row>
    <row r="24" spans="1:8" ht="15" hidden="1" x14ac:dyDescent="0.2">
      <c r="A24" s="320">
        <f t="shared" si="3"/>
        <v>41411</v>
      </c>
      <c r="C24" s="321">
        <f t="shared" si="0"/>
        <v>0</v>
      </c>
      <c r="D24" s="321">
        <f t="shared" si="1"/>
        <v>0</v>
      </c>
      <c r="E24" s="322">
        <f t="shared" si="4"/>
        <v>0</v>
      </c>
      <c r="G24" s="319">
        <f t="shared" si="5"/>
        <v>3.3E-3</v>
      </c>
      <c r="H24" s="322">
        <f t="shared" si="6"/>
        <v>0</v>
      </c>
    </row>
    <row r="25" spans="1:8" ht="15" hidden="1" x14ac:dyDescent="0.2">
      <c r="A25" s="320">
        <f t="shared" si="3"/>
        <v>41412</v>
      </c>
      <c r="C25" s="321">
        <f t="shared" si="0"/>
        <v>0</v>
      </c>
      <c r="D25" s="321">
        <f t="shared" si="1"/>
        <v>0</v>
      </c>
      <c r="E25" s="322">
        <f t="shared" si="4"/>
        <v>0</v>
      </c>
      <c r="G25" s="319">
        <f t="shared" si="5"/>
        <v>3.3E-3</v>
      </c>
      <c r="H25" s="322">
        <f t="shared" si="6"/>
        <v>0</v>
      </c>
    </row>
    <row r="26" spans="1:8" ht="15" hidden="1" x14ac:dyDescent="0.2">
      <c r="A26" s="320">
        <f t="shared" si="3"/>
        <v>41413</v>
      </c>
      <c r="C26" s="321">
        <f t="shared" si="0"/>
        <v>0</v>
      </c>
      <c r="D26" s="321">
        <f t="shared" si="1"/>
        <v>0</v>
      </c>
      <c r="E26" s="322">
        <f t="shared" si="4"/>
        <v>0</v>
      </c>
      <c r="G26" s="319">
        <f t="shared" si="5"/>
        <v>3.3E-3</v>
      </c>
      <c r="H26" s="322">
        <f t="shared" si="6"/>
        <v>0</v>
      </c>
    </row>
    <row r="27" spans="1:8" ht="15" hidden="1" x14ac:dyDescent="0.2">
      <c r="A27" s="320">
        <f t="shared" si="3"/>
        <v>41414</v>
      </c>
      <c r="C27" s="321">
        <f t="shared" si="0"/>
        <v>0</v>
      </c>
      <c r="D27" s="321">
        <f t="shared" si="1"/>
        <v>0</v>
      </c>
      <c r="E27" s="322">
        <f t="shared" si="4"/>
        <v>0</v>
      </c>
      <c r="G27" s="319">
        <f t="shared" si="5"/>
        <v>3.3E-3</v>
      </c>
      <c r="H27" s="322">
        <f t="shared" si="6"/>
        <v>0</v>
      </c>
    </row>
    <row r="28" spans="1:8" ht="15" hidden="1" x14ac:dyDescent="0.2">
      <c r="A28" s="320">
        <f t="shared" si="3"/>
        <v>41415</v>
      </c>
      <c r="C28" s="321">
        <f t="shared" si="0"/>
        <v>0</v>
      </c>
      <c r="D28" s="321">
        <f t="shared" si="1"/>
        <v>0</v>
      </c>
      <c r="E28" s="322">
        <f t="shared" si="4"/>
        <v>0</v>
      </c>
      <c r="G28" s="319">
        <f t="shared" si="5"/>
        <v>3.3E-3</v>
      </c>
      <c r="H28" s="322">
        <f t="shared" si="6"/>
        <v>0</v>
      </c>
    </row>
    <row r="29" spans="1:8" ht="15" hidden="1" x14ac:dyDescent="0.2">
      <c r="A29" s="320">
        <f t="shared" si="3"/>
        <v>41416</v>
      </c>
      <c r="C29" s="321">
        <f t="shared" si="0"/>
        <v>0</v>
      </c>
      <c r="D29" s="321">
        <f t="shared" si="1"/>
        <v>0</v>
      </c>
      <c r="E29" s="322">
        <f t="shared" si="4"/>
        <v>0</v>
      </c>
      <c r="G29" s="319">
        <f t="shared" si="5"/>
        <v>3.3E-3</v>
      </c>
      <c r="H29" s="322">
        <f t="shared" si="6"/>
        <v>0</v>
      </c>
    </row>
    <row r="30" spans="1:8" ht="15" hidden="1" x14ac:dyDescent="0.2">
      <c r="A30" s="320">
        <f t="shared" si="3"/>
        <v>41417</v>
      </c>
      <c r="C30" s="321">
        <f t="shared" si="0"/>
        <v>0</v>
      </c>
      <c r="D30" s="321">
        <f t="shared" si="1"/>
        <v>0</v>
      </c>
      <c r="E30" s="322">
        <f t="shared" si="4"/>
        <v>0</v>
      </c>
      <c r="G30" s="319">
        <f t="shared" si="5"/>
        <v>3.3E-3</v>
      </c>
      <c r="H30" s="322">
        <f t="shared" si="6"/>
        <v>0</v>
      </c>
    </row>
    <row r="31" spans="1:8" ht="15" hidden="1" x14ac:dyDescent="0.2">
      <c r="A31" s="320">
        <f t="shared" si="3"/>
        <v>41418</v>
      </c>
      <c r="C31" s="321">
        <f t="shared" si="0"/>
        <v>0</v>
      </c>
      <c r="D31" s="321">
        <f t="shared" si="1"/>
        <v>0</v>
      </c>
      <c r="E31" s="322">
        <f t="shared" si="4"/>
        <v>0</v>
      </c>
      <c r="G31" s="319">
        <f t="shared" si="5"/>
        <v>3.3E-3</v>
      </c>
      <c r="H31" s="322">
        <f t="shared" si="6"/>
        <v>0</v>
      </c>
    </row>
    <row r="32" spans="1:8" ht="15" hidden="1" x14ac:dyDescent="0.2">
      <c r="A32" s="320">
        <f t="shared" si="3"/>
        <v>41419</v>
      </c>
      <c r="C32" s="321">
        <f t="shared" si="0"/>
        <v>0</v>
      </c>
      <c r="D32" s="321">
        <f t="shared" si="1"/>
        <v>0</v>
      </c>
      <c r="E32" s="322">
        <f t="shared" si="4"/>
        <v>0</v>
      </c>
      <c r="G32" s="319">
        <f t="shared" si="5"/>
        <v>3.3E-3</v>
      </c>
      <c r="H32" s="322">
        <f t="shared" si="6"/>
        <v>0</v>
      </c>
    </row>
    <row r="33" spans="1:14" ht="15" hidden="1" x14ac:dyDescent="0.2">
      <c r="A33" s="320">
        <f t="shared" si="3"/>
        <v>41420</v>
      </c>
      <c r="C33" s="321">
        <f t="shared" si="0"/>
        <v>0</v>
      </c>
      <c r="D33" s="321">
        <f t="shared" si="1"/>
        <v>0</v>
      </c>
      <c r="E33" s="322">
        <f t="shared" si="4"/>
        <v>0</v>
      </c>
      <c r="G33" s="319">
        <f t="shared" si="5"/>
        <v>3.3E-3</v>
      </c>
      <c r="H33" s="322">
        <f t="shared" si="6"/>
        <v>0</v>
      </c>
    </row>
    <row r="34" spans="1:14" ht="15" hidden="1" x14ac:dyDescent="0.2">
      <c r="A34" s="320">
        <f t="shared" si="3"/>
        <v>41421</v>
      </c>
      <c r="C34" s="321">
        <f t="shared" si="0"/>
        <v>0</v>
      </c>
      <c r="D34" s="321">
        <f t="shared" si="1"/>
        <v>0</v>
      </c>
      <c r="E34" s="322">
        <f t="shared" si="4"/>
        <v>0</v>
      </c>
      <c r="G34" s="319">
        <f t="shared" si="5"/>
        <v>3.3E-3</v>
      </c>
      <c r="H34" s="322">
        <f t="shared" si="6"/>
        <v>0</v>
      </c>
    </row>
    <row r="35" spans="1:14" ht="15" hidden="1" x14ac:dyDescent="0.2">
      <c r="A35" s="320">
        <f t="shared" si="3"/>
        <v>41422</v>
      </c>
      <c r="C35" s="321">
        <f t="shared" si="0"/>
        <v>0</v>
      </c>
      <c r="D35" s="321">
        <f t="shared" si="1"/>
        <v>0</v>
      </c>
      <c r="E35" s="322">
        <f t="shared" si="4"/>
        <v>0</v>
      </c>
      <c r="G35" s="319">
        <f t="shared" si="5"/>
        <v>3.3E-3</v>
      </c>
      <c r="H35" s="322">
        <f t="shared" si="6"/>
        <v>0</v>
      </c>
    </row>
    <row r="36" spans="1:14" ht="15" hidden="1" x14ac:dyDescent="0.2">
      <c r="A36" s="320">
        <f t="shared" si="3"/>
        <v>41423</v>
      </c>
      <c r="C36" s="321">
        <f t="shared" si="0"/>
        <v>0</v>
      </c>
      <c r="D36" s="321">
        <f t="shared" si="1"/>
        <v>0</v>
      </c>
      <c r="E36" s="322">
        <f t="shared" si="4"/>
        <v>0</v>
      </c>
      <c r="G36" s="319">
        <f t="shared" si="5"/>
        <v>3.3E-3</v>
      </c>
      <c r="H36" s="322">
        <f t="shared" si="6"/>
        <v>0</v>
      </c>
    </row>
    <row r="37" spans="1:14" ht="15" hidden="1" x14ac:dyDescent="0.2">
      <c r="A37" s="320">
        <f t="shared" si="3"/>
        <v>41424</v>
      </c>
      <c r="C37" s="321">
        <f t="shared" si="0"/>
        <v>0</v>
      </c>
      <c r="D37" s="321">
        <f t="shared" si="1"/>
        <v>0</v>
      </c>
      <c r="E37" s="322">
        <f t="shared" si="4"/>
        <v>0</v>
      </c>
      <c r="G37" s="319">
        <f t="shared" si="5"/>
        <v>3.3E-3</v>
      </c>
      <c r="H37" s="322">
        <f t="shared" si="6"/>
        <v>0</v>
      </c>
    </row>
    <row r="38" spans="1:14" ht="15" hidden="1" x14ac:dyDescent="0.2">
      <c r="A38" s="320">
        <f t="shared" si="3"/>
        <v>41425</v>
      </c>
      <c r="C38" s="321">
        <f t="shared" si="0"/>
        <v>0</v>
      </c>
      <c r="D38" s="321">
        <f t="shared" si="1"/>
        <v>0</v>
      </c>
      <c r="E38" s="322">
        <f t="shared" si="4"/>
        <v>0</v>
      </c>
      <c r="G38" s="319">
        <f t="shared" si="5"/>
        <v>3.3E-3</v>
      </c>
      <c r="H38" s="322">
        <f t="shared" si="6"/>
        <v>0</v>
      </c>
      <c r="I38" s="302">
        <f>H8:H38</f>
        <v>0</v>
      </c>
      <c r="K38" s="303">
        <f>AVERAGE(H8:H38)</f>
        <v>0</v>
      </c>
      <c r="L38" s="303">
        <f>AVERAGE(H8:H38)</f>
        <v>0</v>
      </c>
      <c r="M38" s="303">
        <f>AVERAGE(E8:E38)</f>
        <v>0</v>
      </c>
      <c r="N38" s="303">
        <f>AVERAGE(E8:E38)</f>
        <v>0</v>
      </c>
    </row>
    <row r="39" spans="1:14" ht="15" hidden="1" x14ac:dyDescent="0.2">
      <c r="A39" s="320">
        <f t="shared" si="3"/>
        <v>41426</v>
      </c>
      <c r="C39" s="321">
        <f t="shared" si="0"/>
        <v>0</v>
      </c>
      <c r="D39" s="321">
        <f t="shared" si="1"/>
        <v>0</v>
      </c>
      <c r="E39" s="322">
        <f t="shared" si="4"/>
        <v>0</v>
      </c>
      <c r="G39" s="319">
        <v>2.8E-3</v>
      </c>
      <c r="H39" s="322">
        <f t="shared" si="6"/>
        <v>0</v>
      </c>
    </row>
    <row r="40" spans="1:14" ht="15" hidden="1" x14ac:dyDescent="0.2">
      <c r="A40" s="320">
        <f t="shared" si="3"/>
        <v>41427</v>
      </c>
      <c r="C40" s="321">
        <f t="shared" si="0"/>
        <v>0</v>
      </c>
      <c r="D40" s="321">
        <f t="shared" si="1"/>
        <v>0</v>
      </c>
      <c r="E40" s="322">
        <f t="shared" si="4"/>
        <v>0</v>
      </c>
      <c r="G40" s="319">
        <f>G39</f>
        <v>2.8E-3</v>
      </c>
      <c r="H40" s="322">
        <f t="shared" si="6"/>
        <v>0</v>
      </c>
    </row>
    <row r="41" spans="1:14" ht="15" hidden="1" x14ac:dyDescent="0.2">
      <c r="A41" s="320">
        <f t="shared" si="3"/>
        <v>41428</v>
      </c>
      <c r="C41" s="321">
        <f t="shared" si="0"/>
        <v>0</v>
      </c>
      <c r="D41" s="321">
        <f t="shared" si="1"/>
        <v>0</v>
      </c>
      <c r="E41" s="322">
        <f t="shared" si="4"/>
        <v>0</v>
      </c>
      <c r="G41" s="319">
        <f t="shared" ref="G41:G68" si="7">G40</f>
        <v>2.8E-3</v>
      </c>
      <c r="H41" s="322">
        <f t="shared" si="6"/>
        <v>0</v>
      </c>
    </row>
    <row r="42" spans="1:14" ht="15" hidden="1" x14ac:dyDescent="0.2">
      <c r="A42" s="320">
        <f t="shared" si="3"/>
        <v>41429</v>
      </c>
      <c r="C42" s="321">
        <f t="shared" si="0"/>
        <v>0</v>
      </c>
      <c r="D42" s="321">
        <f t="shared" si="1"/>
        <v>0</v>
      </c>
      <c r="E42" s="322">
        <f t="shared" si="4"/>
        <v>0</v>
      </c>
      <c r="G42" s="319">
        <f t="shared" si="7"/>
        <v>2.8E-3</v>
      </c>
      <c r="H42" s="322">
        <f t="shared" si="6"/>
        <v>0</v>
      </c>
    </row>
    <row r="43" spans="1:14" ht="15" hidden="1" x14ac:dyDescent="0.2">
      <c r="A43" s="320">
        <f t="shared" si="3"/>
        <v>41430</v>
      </c>
      <c r="C43" s="321">
        <f t="shared" si="0"/>
        <v>0</v>
      </c>
      <c r="D43" s="321">
        <f t="shared" si="1"/>
        <v>0</v>
      </c>
      <c r="E43" s="322">
        <f t="shared" si="4"/>
        <v>0</v>
      </c>
      <c r="G43" s="319">
        <f t="shared" si="7"/>
        <v>2.8E-3</v>
      </c>
      <c r="H43" s="322">
        <f t="shared" si="6"/>
        <v>0</v>
      </c>
    </row>
    <row r="44" spans="1:14" ht="15" hidden="1" x14ac:dyDescent="0.2">
      <c r="A44" s="320">
        <f t="shared" si="3"/>
        <v>41431</v>
      </c>
      <c r="C44" s="321">
        <f t="shared" si="0"/>
        <v>0</v>
      </c>
      <c r="D44" s="321">
        <f t="shared" si="1"/>
        <v>0</v>
      </c>
      <c r="E44" s="322">
        <f t="shared" si="4"/>
        <v>0</v>
      </c>
      <c r="G44" s="319">
        <f t="shared" si="7"/>
        <v>2.8E-3</v>
      </c>
      <c r="H44" s="322">
        <f t="shared" si="6"/>
        <v>0</v>
      </c>
    </row>
    <row r="45" spans="1:14" ht="15" hidden="1" x14ac:dyDescent="0.2">
      <c r="A45" s="320">
        <f t="shared" si="3"/>
        <v>41432</v>
      </c>
      <c r="C45" s="321">
        <f t="shared" si="0"/>
        <v>0</v>
      </c>
      <c r="D45" s="321">
        <f t="shared" si="1"/>
        <v>0</v>
      </c>
      <c r="E45" s="322">
        <f t="shared" si="4"/>
        <v>0</v>
      </c>
      <c r="G45" s="319">
        <f t="shared" si="7"/>
        <v>2.8E-3</v>
      </c>
      <c r="H45" s="322">
        <f t="shared" si="6"/>
        <v>0</v>
      </c>
    </row>
    <row r="46" spans="1:14" ht="15" hidden="1" x14ac:dyDescent="0.2">
      <c r="A46" s="320">
        <f t="shared" si="3"/>
        <v>41433</v>
      </c>
      <c r="C46" s="321">
        <f t="shared" si="0"/>
        <v>0</v>
      </c>
      <c r="D46" s="321">
        <f t="shared" si="1"/>
        <v>0</v>
      </c>
      <c r="E46" s="322">
        <f t="shared" si="4"/>
        <v>0</v>
      </c>
      <c r="G46" s="319">
        <f t="shared" si="7"/>
        <v>2.8E-3</v>
      </c>
      <c r="H46" s="322">
        <f t="shared" si="6"/>
        <v>0</v>
      </c>
    </row>
    <row r="47" spans="1:14" ht="15" hidden="1" x14ac:dyDescent="0.2">
      <c r="A47" s="320">
        <f t="shared" si="3"/>
        <v>41434</v>
      </c>
      <c r="C47" s="321">
        <f t="shared" si="0"/>
        <v>0</v>
      </c>
      <c r="D47" s="321">
        <f t="shared" si="1"/>
        <v>0</v>
      </c>
      <c r="E47" s="322">
        <f t="shared" si="4"/>
        <v>0</v>
      </c>
      <c r="G47" s="319">
        <f t="shared" si="7"/>
        <v>2.8E-3</v>
      </c>
      <c r="H47" s="322">
        <f t="shared" si="6"/>
        <v>0</v>
      </c>
    </row>
    <row r="48" spans="1:14" ht="15" hidden="1" x14ac:dyDescent="0.2">
      <c r="A48" s="320">
        <f t="shared" si="3"/>
        <v>41435</v>
      </c>
      <c r="C48" s="321">
        <f t="shared" si="0"/>
        <v>0</v>
      </c>
      <c r="D48" s="321">
        <f t="shared" si="1"/>
        <v>0</v>
      </c>
      <c r="E48" s="322">
        <f t="shared" si="4"/>
        <v>0</v>
      </c>
      <c r="G48" s="319">
        <f t="shared" si="7"/>
        <v>2.8E-3</v>
      </c>
      <c r="H48" s="322">
        <f t="shared" si="6"/>
        <v>0</v>
      </c>
    </row>
    <row r="49" spans="1:8" ht="15" hidden="1" x14ac:dyDescent="0.2">
      <c r="A49" s="320">
        <f t="shared" si="3"/>
        <v>41436</v>
      </c>
      <c r="C49" s="321">
        <f t="shared" si="0"/>
        <v>0</v>
      </c>
      <c r="D49" s="321">
        <f t="shared" si="1"/>
        <v>0</v>
      </c>
      <c r="E49" s="322">
        <f t="shared" si="4"/>
        <v>0</v>
      </c>
      <c r="G49" s="319">
        <f t="shared" si="7"/>
        <v>2.8E-3</v>
      </c>
      <c r="H49" s="322">
        <f t="shared" si="6"/>
        <v>0</v>
      </c>
    </row>
    <row r="50" spans="1:8" ht="15" hidden="1" x14ac:dyDescent="0.2">
      <c r="A50" s="320">
        <f t="shared" si="3"/>
        <v>41437</v>
      </c>
      <c r="C50" s="321">
        <f t="shared" si="0"/>
        <v>0</v>
      </c>
      <c r="D50" s="321">
        <f t="shared" si="1"/>
        <v>0</v>
      </c>
      <c r="E50" s="322">
        <f t="shared" si="4"/>
        <v>0</v>
      </c>
      <c r="G50" s="319">
        <f t="shared" si="7"/>
        <v>2.8E-3</v>
      </c>
      <c r="H50" s="322">
        <f t="shared" si="6"/>
        <v>0</v>
      </c>
    </row>
    <row r="51" spans="1:8" ht="15" hidden="1" x14ac:dyDescent="0.2">
      <c r="A51" s="320">
        <f t="shared" si="3"/>
        <v>41438</v>
      </c>
      <c r="C51" s="321">
        <f t="shared" si="0"/>
        <v>0</v>
      </c>
      <c r="D51" s="321">
        <f t="shared" si="1"/>
        <v>0</v>
      </c>
      <c r="E51" s="322">
        <f t="shared" si="4"/>
        <v>0</v>
      </c>
      <c r="G51" s="319">
        <f t="shared" si="7"/>
        <v>2.8E-3</v>
      </c>
      <c r="H51" s="322">
        <f t="shared" si="6"/>
        <v>0</v>
      </c>
    </row>
    <row r="52" spans="1:8" ht="15" hidden="1" x14ac:dyDescent="0.2">
      <c r="A52" s="320">
        <f t="shared" si="3"/>
        <v>41439</v>
      </c>
      <c r="C52" s="321">
        <f t="shared" si="0"/>
        <v>0</v>
      </c>
      <c r="D52" s="321">
        <f t="shared" si="1"/>
        <v>0</v>
      </c>
      <c r="E52" s="322">
        <f t="shared" si="4"/>
        <v>0</v>
      </c>
      <c r="G52" s="319">
        <f t="shared" si="7"/>
        <v>2.8E-3</v>
      </c>
      <c r="H52" s="322">
        <f t="shared" si="6"/>
        <v>0</v>
      </c>
    </row>
    <row r="53" spans="1:8" ht="15" hidden="1" x14ac:dyDescent="0.2">
      <c r="A53" s="320">
        <f t="shared" si="3"/>
        <v>41440</v>
      </c>
      <c r="C53" s="321">
        <f t="shared" si="0"/>
        <v>0</v>
      </c>
      <c r="D53" s="321">
        <f t="shared" si="1"/>
        <v>0</v>
      </c>
      <c r="E53" s="322">
        <f t="shared" si="4"/>
        <v>0</v>
      </c>
      <c r="G53" s="319">
        <f t="shared" si="7"/>
        <v>2.8E-3</v>
      </c>
      <c r="H53" s="322">
        <f t="shared" si="6"/>
        <v>0</v>
      </c>
    </row>
    <row r="54" spans="1:8" ht="15" hidden="1" x14ac:dyDescent="0.2">
      <c r="A54" s="320">
        <f t="shared" si="3"/>
        <v>41441</v>
      </c>
      <c r="C54" s="321">
        <f t="shared" si="0"/>
        <v>0</v>
      </c>
      <c r="D54" s="321">
        <f t="shared" si="1"/>
        <v>0</v>
      </c>
      <c r="E54" s="322">
        <f t="shared" si="4"/>
        <v>0</v>
      </c>
      <c r="G54" s="319">
        <f t="shared" si="7"/>
        <v>2.8E-3</v>
      </c>
      <c r="H54" s="322">
        <f t="shared" si="6"/>
        <v>0</v>
      </c>
    </row>
    <row r="55" spans="1:8" ht="15" hidden="1" x14ac:dyDescent="0.2">
      <c r="A55" s="320">
        <f t="shared" si="3"/>
        <v>41442</v>
      </c>
      <c r="C55" s="321">
        <f t="shared" si="0"/>
        <v>0</v>
      </c>
      <c r="D55" s="321">
        <f t="shared" si="1"/>
        <v>0</v>
      </c>
      <c r="E55" s="322">
        <f t="shared" si="4"/>
        <v>0</v>
      </c>
      <c r="G55" s="319">
        <f t="shared" si="7"/>
        <v>2.8E-3</v>
      </c>
      <c r="H55" s="322">
        <f t="shared" si="6"/>
        <v>0</v>
      </c>
    </row>
    <row r="56" spans="1:8" ht="15" hidden="1" x14ac:dyDescent="0.2">
      <c r="A56" s="320">
        <f t="shared" si="3"/>
        <v>41443</v>
      </c>
      <c r="C56" s="321">
        <f t="shared" si="0"/>
        <v>0</v>
      </c>
      <c r="D56" s="321">
        <f t="shared" si="1"/>
        <v>0</v>
      </c>
      <c r="E56" s="322">
        <f t="shared" si="4"/>
        <v>0</v>
      </c>
      <c r="G56" s="319">
        <f t="shared" si="7"/>
        <v>2.8E-3</v>
      </c>
      <c r="H56" s="322">
        <f t="shared" si="6"/>
        <v>0</v>
      </c>
    </row>
    <row r="57" spans="1:8" ht="15" hidden="1" x14ac:dyDescent="0.2">
      <c r="A57" s="320">
        <f t="shared" si="3"/>
        <v>41444</v>
      </c>
      <c r="C57" s="321">
        <f t="shared" si="0"/>
        <v>0</v>
      </c>
      <c r="D57" s="321">
        <f t="shared" si="1"/>
        <v>0</v>
      </c>
      <c r="E57" s="322">
        <f t="shared" si="4"/>
        <v>0</v>
      </c>
      <c r="G57" s="319">
        <f t="shared" si="7"/>
        <v>2.8E-3</v>
      </c>
      <c r="H57" s="322">
        <f t="shared" si="6"/>
        <v>0</v>
      </c>
    </row>
    <row r="58" spans="1:8" ht="15" hidden="1" x14ac:dyDescent="0.2">
      <c r="A58" s="320">
        <f t="shared" si="3"/>
        <v>41445</v>
      </c>
      <c r="C58" s="321">
        <f t="shared" si="0"/>
        <v>0</v>
      </c>
      <c r="D58" s="321">
        <f t="shared" si="1"/>
        <v>0</v>
      </c>
      <c r="E58" s="322">
        <f t="shared" si="4"/>
        <v>0</v>
      </c>
      <c r="G58" s="319">
        <f t="shared" si="7"/>
        <v>2.8E-3</v>
      </c>
      <c r="H58" s="322">
        <f t="shared" si="6"/>
        <v>0</v>
      </c>
    </row>
    <row r="59" spans="1:8" ht="15" hidden="1" x14ac:dyDescent="0.2">
      <c r="A59" s="320">
        <f t="shared" si="3"/>
        <v>41446</v>
      </c>
      <c r="C59" s="321">
        <f t="shared" si="0"/>
        <v>0</v>
      </c>
      <c r="D59" s="321">
        <f t="shared" si="1"/>
        <v>0</v>
      </c>
      <c r="E59" s="322">
        <f t="shared" si="4"/>
        <v>0</v>
      </c>
      <c r="G59" s="319">
        <f t="shared" si="7"/>
        <v>2.8E-3</v>
      </c>
      <c r="H59" s="322">
        <f t="shared" si="6"/>
        <v>0</v>
      </c>
    </row>
    <row r="60" spans="1:8" ht="15" hidden="1" x14ac:dyDescent="0.2">
      <c r="A60" s="320">
        <f t="shared" si="3"/>
        <v>41447</v>
      </c>
      <c r="C60" s="321">
        <f t="shared" si="0"/>
        <v>0</v>
      </c>
      <c r="D60" s="321">
        <f t="shared" si="1"/>
        <v>0</v>
      </c>
      <c r="E60" s="322">
        <f t="shared" si="4"/>
        <v>0</v>
      </c>
      <c r="G60" s="319">
        <f t="shared" si="7"/>
        <v>2.8E-3</v>
      </c>
      <c r="H60" s="322">
        <f t="shared" si="6"/>
        <v>0</v>
      </c>
    </row>
    <row r="61" spans="1:8" ht="15" hidden="1" x14ac:dyDescent="0.2">
      <c r="A61" s="320">
        <f t="shared" si="3"/>
        <v>41448</v>
      </c>
      <c r="C61" s="321">
        <f t="shared" si="0"/>
        <v>0</v>
      </c>
      <c r="D61" s="321">
        <f t="shared" si="1"/>
        <v>0</v>
      </c>
      <c r="E61" s="322">
        <f t="shared" si="4"/>
        <v>0</v>
      </c>
      <c r="G61" s="319">
        <f t="shared" si="7"/>
        <v>2.8E-3</v>
      </c>
      <c r="H61" s="322">
        <f t="shared" si="6"/>
        <v>0</v>
      </c>
    </row>
    <row r="62" spans="1:8" ht="15" hidden="1" x14ac:dyDescent="0.2">
      <c r="A62" s="320">
        <f t="shared" si="3"/>
        <v>41449</v>
      </c>
      <c r="C62" s="321">
        <f t="shared" si="0"/>
        <v>0</v>
      </c>
      <c r="D62" s="321">
        <f t="shared" si="1"/>
        <v>0</v>
      </c>
      <c r="E62" s="322">
        <f t="shared" si="4"/>
        <v>0</v>
      </c>
      <c r="G62" s="319">
        <f t="shared" si="7"/>
        <v>2.8E-3</v>
      </c>
      <c r="H62" s="322">
        <f t="shared" si="6"/>
        <v>0</v>
      </c>
    </row>
    <row r="63" spans="1:8" ht="15" hidden="1" x14ac:dyDescent="0.2">
      <c r="A63" s="320">
        <f t="shared" si="3"/>
        <v>41450</v>
      </c>
      <c r="C63" s="321">
        <f t="shared" si="0"/>
        <v>0</v>
      </c>
      <c r="D63" s="321">
        <f t="shared" si="1"/>
        <v>0</v>
      </c>
      <c r="E63" s="322">
        <f t="shared" si="4"/>
        <v>0</v>
      </c>
      <c r="G63" s="319">
        <f t="shared" si="7"/>
        <v>2.8E-3</v>
      </c>
      <c r="H63" s="322">
        <f t="shared" si="6"/>
        <v>0</v>
      </c>
    </row>
    <row r="64" spans="1:8" ht="15" hidden="1" x14ac:dyDescent="0.2">
      <c r="A64" s="320">
        <f t="shared" si="3"/>
        <v>41451</v>
      </c>
      <c r="C64" s="321">
        <f t="shared" si="0"/>
        <v>0</v>
      </c>
      <c r="D64" s="321">
        <f t="shared" si="1"/>
        <v>0</v>
      </c>
      <c r="E64" s="322">
        <f t="shared" si="4"/>
        <v>0</v>
      </c>
      <c r="G64" s="319">
        <f t="shared" si="7"/>
        <v>2.8E-3</v>
      </c>
      <c r="H64" s="322">
        <f t="shared" si="6"/>
        <v>0</v>
      </c>
    </row>
    <row r="65" spans="1:14" ht="15" hidden="1" x14ac:dyDescent="0.2">
      <c r="A65" s="320">
        <f t="shared" ref="A65:A128" si="8">A64+1</f>
        <v>41452</v>
      </c>
      <c r="C65" s="321">
        <f t="shared" si="0"/>
        <v>0</v>
      </c>
      <c r="D65" s="321">
        <f t="shared" si="1"/>
        <v>0</v>
      </c>
      <c r="E65" s="322">
        <f t="shared" si="4"/>
        <v>0</v>
      </c>
      <c r="G65" s="319">
        <f t="shared" si="7"/>
        <v>2.8E-3</v>
      </c>
      <c r="H65" s="322">
        <f t="shared" si="6"/>
        <v>0</v>
      </c>
    </row>
    <row r="66" spans="1:14" ht="15" hidden="1" x14ac:dyDescent="0.2">
      <c r="A66" s="320">
        <f t="shared" si="8"/>
        <v>41453</v>
      </c>
      <c r="C66" s="321">
        <f t="shared" si="0"/>
        <v>0</v>
      </c>
      <c r="D66" s="321">
        <f t="shared" si="1"/>
        <v>0</v>
      </c>
      <c r="E66" s="322">
        <f t="shared" si="4"/>
        <v>0</v>
      </c>
      <c r="G66" s="319">
        <f t="shared" si="7"/>
        <v>2.8E-3</v>
      </c>
      <c r="H66" s="322">
        <f t="shared" si="6"/>
        <v>0</v>
      </c>
    </row>
    <row r="67" spans="1:14" ht="15" hidden="1" x14ac:dyDescent="0.2">
      <c r="A67" s="320">
        <f t="shared" si="8"/>
        <v>41454</v>
      </c>
      <c r="C67" s="321">
        <f t="shared" si="0"/>
        <v>0</v>
      </c>
      <c r="D67" s="321">
        <f t="shared" si="1"/>
        <v>0</v>
      </c>
      <c r="E67" s="322">
        <f t="shared" si="4"/>
        <v>0</v>
      </c>
      <c r="G67" s="319">
        <f t="shared" si="7"/>
        <v>2.8E-3</v>
      </c>
      <c r="H67" s="322">
        <f t="shared" si="6"/>
        <v>0</v>
      </c>
    </row>
    <row r="68" spans="1:14" ht="15" hidden="1" x14ac:dyDescent="0.2">
      <c r="A68" s="320">
        <f t="shared" si="8"/>
        <v>41455</v>
      </c>
      <c r="C68" s="321">
        <f t="shared" si="0"/>
        <v>0</v>
      </c>
      <c r="D68" s="321">
        <f t="shared" si="1"/>
        <v>0</v>
      </c>
      <c r="E68" s="322">
        <f t="shared" si="4"/>
        <v>0</v>
      </c>
      <c r="G68" s="319">
        <f t="shared" si="7"/>
        <v>2.8E-3</v>
      </c>
      <c r="H68" s="322">
        <f t="shared" si="6"/>
        <v>0</v>
      </c>
      <c r="I68" s="302">
        <f>SUM(H39:H68)</f>
        <v>0</v>
      </c>
      <c r="K68" s="323">
        <f>AVERAGE(G39:G68)</f>
        <v>2.7999999999999982E-3</v>
      </c>
      <c r="L68" s="323">
        <f>AVERAGE(G8:G68)</f>
        <v>3.0540983606557352E-3</v>
      </c>
      <c r="M68" s="303">
        <f>AVERAGE(E39:E68)</f>
        <v>0</v>
      </c>
      <c r="N68" s="303">
        <f>AVERAGE(E8:E68)</f>
        <v>0</v>
      </c>
    </row>
    <row r="69" spans="1:14" ht="15" hidden="1" x14ac:dyDescent="0.2">
      <c r="A69" s="320">
        <f t="shared" si="8"/>
        <v>41456</v>
      </c>
      <c r="C69" s="321">
        <f t="shared" si="0"/>
        <v>0</v>
      </c>
      <c r="D69" s="321">
        <f t="shared" si="1"/>
        <v>0</v>
      </c>
      <c r="E69" s="322">
        <f t="shared" si="4"/>
        <v>0</v>
      </c>
      <c r="G69" s="319">
        <v>2.8999999999999998E-3</v>
      </c>
      <c r="H69" s="322">
        <f t="shared" si="6"/>
        <v>0</v>
      </c>
    </row>
    <row r="70" spans="1:14" ht="15" hidden="1" x14ac:dyDescent="0.2">
      <c r="A70" s="320">
        <f t="shared" si="8"/>
        <v>41457</v>
      </c>
      <c r="C70" s="321">
        <f t="shared" si="0"/>
        <v>0</v>
      </c>
      <c r="D70" s="321">
        <f t="shared" si="1"/>
        <v>0</v>
      </c>
      <c r="E70" s="322">
        <f t="shared" si="4"/>
        <v>0</v>
      </c>
      <c r="G70" s="319">
        <f>G69</f>
        <v>2.8999999999999998E-3</v>
      </c>
      <c r="H70" s="322">
        <f t="shared" si="6"/>
        <v>0</v>
      </c>
    </row>
    <row r="71" spans="1:14" ht="15" hidden="1" x14ac:dyDescent="0.2">
      <c r="A71" s="320">
        <f t="shared" si="8"/>
        <v>41458</v>
      </c>
      <c r="C71" s="321">
        <f t="shared" si="0"/>
        <v>0</v>
      </c>
      <c r="D71" s="321">
        <f t="shared" si="1"/>
        <v>0</v>
      </c>
      <c r="E71" s="322">
        <f t="shared" si="4"/>
        <v>0</v>
      </c>
      <c r="G71" s="319">
        <f t="shared" ref="G71:G98" si="9">G70</f>
        <v>2.8999999999999998E-3</v>
      </c>
      <c r="H71" s="322">
        <f t="shared" si="6"/>
        <v>0</v>
      </c>
    </row>
    <row r="72" spans="1:14" ht="15" hidden="1" x14ac:dyDescent="0.2">
      <c r="A72" s="320">
        <f t="shared" si="8"/>
        <v>41459</v>
      </c>
      <c r="C72" s="321">
        <f t="shared" ref="C72:C135" si="10">IF(B72&lt;0,B72*-1,0)</f>
        <v>0</v>
      </c>
      <c r="D72" s="321">
        <f t="shared" ref="D72:D135" si="11">IF(B72&gt;0,B72*1,0)</f>
        <v>0</v>
      </c>
      <c r="E72" s="322">
        <f t="shared" ref="E72:E135" si="12">E71-C72+D72</f>
        <v>0</v>
      </c>
      <c r="G72" s="319">
        <f t="shared" si="9"/>
        <v>2.8999999999999998E-3</v>
      </c>
      <c r="H72" s="322">
        <f t="shared" si="6"/>
        <v>0</v>
      </c>
    </row>
    <row r="73" spans="1:14" ht="15" hidden="1" x14ac:dyDescent="0.2">
      <c r="A73" s="320">
        <f t="shared" si="8"/>
        <v>41460</v>
      </c>
      <c r="C73" s="321">
        <f t="shared" si="10"/>
        <v>0</v>
      </c>
      <c r="D73" s="321">
        <f t="shared" si="11"/>
        <v>0</v>
      </c>
      <c r="E73" s="322">
        <f t="shared" si="12"/>
        <v>0</v>
      </c>
      <c r="G73" s="319">
        <f t="shared" si="9"/>
        <v>2.8999999999999998E-3</v>
      </c>
      <c r="H73" s="322">
        <f t="shared" si="6"/>
        <v>0</v>
      </c>
    </row>
    <row r="74" spans="1:14" ht="15" hidden="1" x14ac:dyDescent="0.2">
      <c r="A74" s="320">
        <f t="shared" si="8"/>
        <v>41461</v>
      </c>
      <c r="C74" s="321">
        <f t="shared" si="10"/>
        <v>0</v>
      </c>
      <c r="D74" s="321">
        <f t="shared" si="11"/>
        <v>0</v>
      </c>
      <c r="E74" s="322">
        <f t="shared" si="12"/>
        <v>0</v>
      </c>
      <c r="G74" s="319">
        <f t="shared" si="9"/>
        <v>2.8999999999999998E-3</v>
      </c>
      <c r="H74" s="322">
        <f t="shared" ref="H74:H137" si="13">ROUND(+E74*G74/360,5)</f>
        <v>0</v>
      </c>
    </row>
    <row r="75" spans="1:14" ht="15" hidden="1" x14ac:dyDescent="0.2">
      <c r="A75" s="320">
        <f t="shared" si="8"/>
        <v>41462</v>
      </c>
      <c r="C75" s="321">
        <f t="shared" si="10"/>
        <v>0</v>
      </c>
      <c r="D75" s="321">
        <f t="shared" si="11"/>
        <v>0</v>
      </c>
      <c r="E75" s="322">
        <f t="shared" si="12"/>
        <v>0</v>
      </c>
      <c r="G75" s="319">
        <f t="shared" si="9"/>
        <v>2.8999999999999998E-3</v>
      </c>
      <c r="H75" s="322">
        <f t="shared" si="13"/>
        <v>0</v>
      </c>
    </row>
    <row r="76" spans="1:14" ht="15" hidden="1" x14ac:dyDescent="0.2">
      <c r="A76" s="320">
        <f t="shared" si="8"/>
        <v>41463</v>
      </c>
      <c r="C76" s="321">
        <f t="shared" si="10"/>
        <v>0</v>
      </c>
      <c r="D76" s="321">
        <f t="shared" si="11"/>
        <v>0</v>
      </c>
      <c r="E76" s="322">
        <f t="shared" si="12"/>
        <v>0</v>
      </c>
      <c r="G76" s="319">
        <f t="shared" si="9"/>
        <v>2.8999999999999998E-3</v>
      </c>
      <c r="H76" s="322">
        <f t="shared" si="13"/>
        <v>0</v>
      </c>
    </row>
    <row r="77" spans="1:14" ht="15" hidden="1" x14ac:dyDescent="0.2">
      <c r="A77" s="320">
        <f t="shared" si="8"/>
        <v>41464</v>
      </c>
      <c r="C77" s="321">
        <f t="shared" si="10"/>
        <v>0</v>
      </c>
      <c r="D77" s="321">
        <f t="shared" si="11"/>
        <v>0</v>
      </c>
      <c r="E77" s="322">
        <f t="shared" si="12"/>
        <v>0</v>
      </c>
      <c r="G77" s="319">
        <f t="shared" si="9"/>
        <v>2.8999999999999998E-3</v>
      </c>
      <c r="H77" s="322">
        <f t="shared" si="13"/>
        <v>0</v>
      </c>
    </row>
    <row r="78" spans="1:14" ht="15" hidden="1" x14ac:dyDescent="0.2">
      <c r="A78" s="320">
        <f t="shared" si="8"/>
        <v>41465</v>
      </c>
      <c r="C78" s="321">
        <f t="shared" si="10"/>
        <v>0</v>
      </c>
      <c r="D78" s="321">
        <f t="shared" si="11"/>
        <v>0</v>
      </c>
      <c r="E78" s="322">
        <f t="shared" si="12"/>
        <v>0</v>
      </c>
      <c r="G78" s="319">
        <f t="shared" si="9"/>
        <v>2.8999999999999998E-3</v>
      </c>
      <c r="H78" s="322">
        <f t="shared" si="13"/>
        <v>0</v>
      </c>
    </row>
    <row r="79" spans="1:14" ht="15" hidden="1" x14ac:dyDescent="0.2">
      <c r="A79" s="320">
        <f t="shared" si="8"/>
        <v>41466</v>
      </c>
      <c r="C79" s="321">
        <f t="shared" si="10"/>
        <v>0</v>
      </c>
      <c r="D79" s="321">
        <f t="shared" si="11"/>
        <v>0</v>
      </c>
      <c r="E79" s="322">
        <f t="shared" si="12"/>
        <v>0</v>
      </c>
      <c r="G79" s="319">
        <f t="shared" si="9"/>
        <v>2.8999999999999998E-3</v>
      </c>
      <c r="H79" s="322">
        <f t="shared" si="13"/>
        <v>0</v>
      </c>
    </row>
    <row r="80" spans="1:14" ht="15" hidden="1" x14ac:dyDescent="0.2">
      <c r="A80" s="320">
        <f t="shared" si="8"/>
        <v>41467</v>
      </c>
      <c r="C80" s="321">
        <f t="shared" si="10"/>
        <v>0</v>
      </c>
      <c r="D80" s="321">
        <f t="shared" si="11"/>
        <v>0</v>
      </c>
      <c r="E80" s="322">
        <f t="shared" si="12"/>
        <v>0</v>
      </c>
      <c r="G80" s="319">
        <f t="shared" si="9"/>
        <v>2.8999999999999998E-3</v>
      </c>
      <c r="H80" s="322">
        <f t="shared" si="13"/>
        <v>0</v>
      </c>
    </row>
    <row r="81" spans="1:8" ht="15" hidden="1" x14ac:dyDescent="0.2">
      <c r="A81" s="320">
        <f t="shared" si="8"/>
        <v>41468</v>
      </c>
      <c r="C81" s="321">
        <f t="shared" si="10"/>
        <v>0</v>
      </c>
      <c r="D81" s="321">
        <f t="shared" si="11"/>
        <v>0</v>
      </c>
      <c r="E81" s="322">
        <f t="shared" si="12"/>
        <v>0</v>
      </c>
      <c r="G81" s="319">
        <f t="shared" si="9"/>
        <v>2.8999999999999998E-3</v>
      </c>
      <c r="H81" s="322">
        <f t="shared" si="13"/>
        <v>0</v>
      </c>
    </row>
    <row r="82" spans="1:8" ht="15" hidden="1" x14ac:dyDescent="0.2">
      <c r="A82" s="320">
        <f t="shared" si="8"/>
        <v>41469</v>
      </c>
      <c r="C82" s="321">
        <f t="shared" si="10"/>
        <v>0</v>
      </c>
      <c r="D82" s="321">
        <f t="shared" si="11"/>
        <v>0</v>
      </c>
      <c r="E82" s="322">
        <f t="shared" si="12"/>
        <v>0</v>
      </c>
      <c r="G82" s="319">
        <f t="shared" si="9"/>
        <v>2.8999999999999998E-3</v>
      </c>
      <c r="H82" s="322">
        <f t="shared" si="13"/>
        <v>0</v>
      </c>
    </row>
    <row r="83" spans="1:8" ht="15" hidden="1" x14ac:dyDescent="0.2">
      <c r="A83" s="320">
        <f t="shared" si="8"/>
        <v>41470</v>
      </c>
      <c r="C83" s="321">
        <f t="shared" si="10"/>
        <v>0</v>
      </c>
      <c r="D83" s="321">
        <f t="shared" si="11"/>
        <v>0</v>
      </c>
      <c r="E83" s="322">
        <f t="shared" si="12"/>
        <v>0</v>
      </c>
      <c r="G83" s="319">
        <f t="shared" si="9"/>
        <v>2.8999999999999998E-3</v>
      </c>
      <c r="H83" s="322">
        <f t="shared" si="13"/>
        <v>0</v>
      </c>
    </row>
    <row r="84" spans="1:8" ht="15" hidden="1" x14ac:dyDescent="0.2">
      <c r="A84" s="320">
        <f t="shared" si="8"/>
        <v>41471</v>
      </c>
      <c r="C84" s="321">
        <f t="shared" si="10"/>
        <v>0</v>
      </c>
      <c r="D84" s="321">
        <f t="shared" si="11"/>
        <v>0</v>
      </c>
      <c r="E84" s="322">
        <f t="shared" si="12"/>
        <v>0</v>
      </c>
      <c r="G84" s="319">
        <f t="shared" si="9"/>
        <v>2.8999999999999998E-3</v>
      </c>
      <c r="H84" s="322">
        <f t="shared" si="13"/>
        <v>0</v>
      </c>
    </row>
    <row r="85" spans="1:8" ht="15" hidden="1" x14ac:dyDescent="0.2">
      <c r="A85" s="320">
        <f t="shared" si="8"/>
        <v>41472</v>
      </c>
      <c r="C85" s="321">
        <f t="shared" si="10"/>
        <v>0</v>
      </c>
      <c r="D85" s="321">
        <f t="shared" si="11"/>
        <v>0</v>
      </c>
      <c r="E85" s="322">
        <f t="shared" si="12"/>
        <v>0</v>
      </c>
      <c r="G85" s="319">
        <f t="shared" si="9"/>
        <v>2.8999999999999998E-3</v>
      </c>
      <c r="H85" s="322">
        <f t="shared" si="13"/>
        <v>0</v>
      </c>
    </row>
    <row r="86" spans="1:8" ht="15" hidden="1" x14ac:dyDescent="0.2">
      <c r="A86" s="320">
        <f t="shared" si="8"/>
        <v>41473</v>
      </c>
      <c r="C86" s="321">
        <f t="shared" si="10"/>
        <v>0</v>
      </c>
      <c r="D86" s="321">
        <f t="shared" si="11"/>
        <v>0</v>
      </c>
      <c r="E86" s="322">
        <f t="shared" si="12"/>
        <v>0</v>
      </c>
      <c r="G86" s="319">
        <f t="shared" si="9"/>
        <v>2.8999999999999998E-3</v>
      </c>
      <c r="H86" s="322">
        <f t="shared" si="13"/>
        <v>0</v>
      </c>
    </row>
    <row r="87" spans="1:8" ht="15" hidden="1" x14ac:dyDescent="0.2">
      <c r="A87" s="320">
        <f t="shared" si="8"/>
        <v>41474</v>
      </c>
      <c r="C87" s="321">
        <f t="shared" si="10"/>
        <v>0</v>
      </c>
      <c r="D87" s="321">
        <f t="shared" si="11"/>
        <v>0</v>
      </c>
      <c r="E87" s="322">
        <f t="shared" si="12"/>
        <v>0</v>
      </c>
      <c r="G87" s="319">
        <f t="shared" si="9"/>
        <v>2.8999999999999998E-3</v>
      </c>
      <c r="H87" s="322">
        <f t="shared" si="13"/>
        <v>0</v>
      </c>
    </row>
    <row r="88" spans="1:8" ht="15" hidden="1" x14ac:dyDescent="0.2">
      <c r="A88" s="320">
        <f t="shared" si="8"/>
        <v>41475</v>
      </c>
      <c r="C88" s="321">
        <f t="shared" si="10"/>
        <v>0</v>
      </c>
      <c r="D88" s="321">
        <f t="shared" si="11"/>
        <v>0</v>
      </c>
      <c r="E88" s="322">
        <f t="shared" si="12"/>
        <v>0</v>
      </c>
      <c r="G88" s="319">
        <f t="shared" si="9"/>
        <v>2.8999999999999998E-3</v>
      </c>
      <c r="H88" s="322">
        <f t="shared" si="13"/>
        <v>0</v>
      </c>
    </row>
    <row r="89" spans="1:8" ht="15" hidden="1" x14ac:dyDescent="0.2">
      <c r="A89" s="320">
        <f t="shared" si="8"/>
        <v>41476</v>
      </c>
      <c r="C89" s="321">
        <f t="shared" si="10"/>
        <v>0</v>
      </c>
      <c r="D89" s="321">
        <f t="shared" si="11"/>
        <v>0</v>
      </c>
      <c r="E89" s="322">
        <f t="shared" si="12"/>
        <v>0</v>
      </c>
      <c r="G89" s="319">
        <f t="shared" si="9"/>
        <v>2.8999999999999998E-3</v>
      </c>
      <c r="H89" s="322">
        <f t="shared" si="13"/>
        <v>0</v>
      </c>
    </row>
    <row r="90" spans="1:8" ht="15" hidden="1" x14ac:dyDescent="0.2">
      <c r="A90" s="320">
        <f t="shared" si="8"/>
        <v>41477</v>
      </c>
      <c r="C90" s="321">
        <f t="shared" si="10"/>
        <v>0</v>
      </c>
      <c r="D90" s="321">
        <f t="shared" si="11"/>
        <v>0</v>
      </c>
      <c r="E90" s="322">
        <f t="shared" si="12"/>
        <v>0</v>
      </c>
      <c r="G90" s="319">
        <f t="shared" si="9"/>
        <v>2.8999999999999998E-3</v>
      </c>
      <c r="H90" s="322">
        <f t="shared" si="13"/>
        <v>0</v>
      </c>
    </row>
    <row r="91" spans="1:8" ht="15" hidden="1" x14ac:dyDescent="0.2">
      <c r="A91" s="320">
        <f t="shared" si="8"/>
        <v>41478</v>
      </c>
      <c r="C91" s="321">
        <f t="shared" si="10"/>
        <v>0</v>
      </c>
      <c r="D91" s="321">
        <f t="shared" si="11"/>
        <v>0</v>
      </c>
      <c r="E91" s="322">
        <f t="shared" si="12"/>
        <v>0</v>
      </c>
      <c r="G91" s="319">
        <f t="shared" si="9"/>
        <v>2.8999999999999998E-3</v>
      </c>
      <c r="H91" s="322">
        <f t="shared" si="13"/>
        <v>0</v>
      </c>
    </row>
    <row r="92" spans="1:8" ht="15" hidden="1" x14ac:dyDescent="0.2">
      <c r="A92" s="320">
        <f t="shared" si="8"/>
        <v>41479</v>
      </c>
      <c r="C92" s="321">
        <f t="shared" si="10"/>
        <v>0</v>
      </c>
      <c r="D92" s="321">
        <f t="shared" si="11"/>
        <v>0</v>
      </c>
      <c r="E92" s="322">
        <f t="shared" si="12"/>
        <v>0</v>
      </c>
      <c r="G92" s="319">
        <f t="shared" si="9"/>
        <v>2.8999999999999998E-3</v>
      </c>
      <c r="H92" s="322">
        <f t="shared" si="13"/>
        <v>0</v>
      </c>
    </row>
    <row r="93" spans="1:8" ht="15" hidden="1" x14ac:dyDescent="0.2">
      <c r="A93" s="320">
        <f t="shared" si="8"/>
        <v>41480</v>
      </c>
      <c r="C93" s="321">
        <f t="shared" si="10"/>
        <v>0</v>
      </c>
      <c r="D93" s="321">
        <f t="shared" si="11"/>
        <v>0</v>
      </c>
      <c r="E93" s="322">
        <f t="shared" si="12"/>
        <v>0</v>
      </c>
      <c r="G93" s="319">
        <f t="shared" si="9"/>
        <v>2.8999999999999998E-3</v>
      </c>
      <c r="H93" s="322">
        <f t="shared" si="13"/>
        <v>0</v>
      </c>
    </row>
    <row r="94" spans="1:8" ht="15" hidden="1" x14ac:dyDescent="0.2">
      <c r="A94" s="320">
        <f t="shared" si="8"/>
        <v>41481</v>
      </c>
      <c r="C94" s="321">
        <f t="shared" si="10"/>
        <v>0</v>
      </c>
      <c r="D94" s="321">
        <f t="shared" si="11"/>
        <v>0</v>
      </c>
      <c r="E94" s="322">
        <f t="shared" si="12"/>
        <v>0</v>
      </c>
      <c r="G94" s="319">
        <f t="shared" si="9"/>
        <v>2.8999999999999998E-3</v>
      </c>
      <c r="H94" s="322">
        <f t="shared" si="13"/>
        <v>0</v>
      </c>
    </row>
    <row r="95" spans="1:8" ht="15" hidden="1" x14ac:dyDescent="0.2">
      <c r="A95" s="320">
        <f t="shared" si="8"/>
        <v>41482</v>
      </c>
      <c r="C95" s="321">
        <f t="shared" si="10"/>
        <v>0</v>
      </c>
      <c r="D95" s="321">
        <f t="shared" si="11"/>
        <v>0</v>
      </c>
      <c r="E95" s="322">
        <f t="shared" si="12"/>
        <v>0</v>
      </c>
      <c r="G95" s="319">
        <f t="shared" si="9"/>
        <v>2.8999999999999998E-3</v>
      </c>
      <c r="H95" s="322">
        <f t="shared" si="13"/>
        <v>0</v>
      </c>
    </row>
    <row r="96" spans="1:8" ht="15" hidden="1" x14ac:dyDescent="0.2">
      <c r="A96" s="320">
        <f t="shared" si="8"/>
        <v>41483</v>
      </c>
      <c r="C96" s="321">
        <f t="shared" si="10"/>
        <v>0</v>
      </c>
      <c r="D96" s="321">
        <f t="shared" si="11"/>
        <v>0</v>
      </c>
      <c r="E96" s="322">
        <f t="shared" si="12"/>
        <v>0</v>
      </c>
      <c r="G96" s="319">
        <f t="shared" si="9"/>
        <v>2.8999999999999998E-3</v>
      </c>
      <c r="H96" s="322">
        <f t="shared" si="13"/>
        <v>0</v>
      </c>
    </row>
    <row r="97" spans="1:14" ht="15" hidden="1" x14ac:dyDescent="0.2">
      <c r="A97" s="320">
        <f t="shared" si="8"/>
        <v>41484</v>
      </c>
      <c r="C97" s="321">
        <f t="shared" si="10"/>
        <v>0</v>
      </c>
      <c r="D97" s="321">
        <f t="shared" si="11"/>
        <v>0</v>
      </c>
      <c r="E97" s="322">
        <f t="shared" si="12"/>
        <v>0</v>
      </c>
      <c r="G97" s="319">
        <f t="shared" si="9"/>
        <v>2.8999999999999998E-3</v>
      </c>
      <c r="H97" s="322">
        <f t="shared" si="13"/>
        <v>0</v>
      </c>
    </row>
    <row r="98" spans="1:14" ht="15" hidden="1" x14ac:dyDescent="0.2">
      <c r="A98" s="320">
        <f t="shared" si="8"/>
        <v>41485</v>
      </c>
      <c r="C98" s="321">
        <f t="shared" si="10"/>
        <v>0</v>
      </c>
      <c r="D98" s="321">
        <f t="shared" si="11"/>
        <v>0</v>
      </c>
      <c r="E98" s="322">
        <f t="shared" si="12"/>
        <v>0</v>
      </c>
      <c r="G98" s="319">
        <f t="shared" si="9"/>
        <v>2.8999999999999998E-3</v>
      </c>
      <c r="H98" s="322">
        <f t="shared" si="13"/>
        <v>0</v>
      </c>
      <c r="I98" s="324"/>
    </row>
    <row r="99" spans="1:14" ht="15" hidden="1" x14ac:dyDescent="0.2">
      <c r="A99" s="320">
        <f t="shared" si="8"/>
        <v>41486</v>
      </c>
      <c r="C99" s="321">
        <f t="shared" si="10"/>
        <v>0</v>
      </c>
      <c r="D99" s="321">
        <f t="shared" si="11"/>
        <v>0</v>
      </c>
      <c r="E99" s="322">
        <f t="shared" si="12"/>
        <v>0</v>
      </c>
      <c r="G99" s="319">
        <f>G98</f>
        <v>2.8999999999999998E-3</v>
      </c>
      <c r="H99" s="322">
        <f t="shared" si="13"/>
        <v>0</v>
      </c>
      <c r="I99" s="324">
        <f>SUM(H69:H99)</f>
        <v>0</v>
      </c>
      <c r="J99" s="303">
        <v>0</v>
      </c>
      <c r="K99" s="323">
        <f>AVERAGE(G69:G99)</f>
        <v>2.8999999999999998E-3</v>
      </c>
      <c r="L99" s="323">
        <f>AVERAGE(G8:G99)</f>
        <v>3.0021739130434814E-3</v>
      </c>
      <c r="M99" s="303">
        <f>AVERAGE(E69:E99)</f>
        <v>0</v>
      </c>
      <c r="N99" s="303">
        <f>AVERAGE(E8:E99)</f>
        <v>0</v>
      </c>
    </row>
    <row r="100" spans="1:14" ht="15" hidden="1" x14ac:dyDescent="0.2">
      <c r="A100" s="320">
        <f t="shared" si="8"/>
        <v>41487</v>
      </c>
      <c r="C100" s="321">
        <f t="shared" si="10"/>
        <v>0</v>
      </c>
      <c r="D100" s="321">
        <f t="shared" si="11"/>
        <v>0</v>
      </c>
      <c r="E100" s="322">
        <f t="shared" si="12"/>
        <v>0</v>
      </c>
      <c r="G100" s="325">
        <v>3.5999999999999999E-3</v>
      </c>
      <c r="H100" s="322">
        <f t="shared" si="13"/>
        <v>0</v>
      </c>
    </row>
    <row r="101" spans="1:14" ht="15" hidden="1" x14ac:dyDescent="0.2">
      <c r="A101" s="320">
        <f t="shared" si="8"/>
        <v>41488</v>
      </c>
      <c r="C101" s="321">
        <f t="shared" si="10"/>
        <v>0</v>
      </c>
      <c r="D101" s="321">
        <f t="shared" si="11"/>
        <v>0</v>
      </c>
      <c r="E101" s="322">
        <f t="shared" si="12"/>
        <v>0</v>
      </c>
      <c r="G101" s="325">
        <f>G100</f>
        <v>3.5999999999999999E-3</v>
      </c>
      <c r="H101" s="322">
        <f t="shared" si="13"/>
        <v>0</v>
      </c>
    </row>
    <row r="102" spans="1:14" ht="15" hidden="1" x14ac:dyDescent="0.2">
      <c r="A102" s="320">
        <f t="shared" si="8"/>
        <v>41489</v>
      </c>
      <c r="C102" s="321">
        <f t="shared" si="10"/>
        <v>0</v>
      </c>
      <c r="D102" s="321">
        <f t="shared" si="11"/>
        <v>0</v>
      </c>
      <c r="E102" s="322">
        <f t="shared" si="12"/>
        <v>0</v>
      </c>
      <c r="G102" s="325">
        <f t="shared" ref="G102:G130" si="14">G101</f>
        <v>3.5999999999999999E-3</v>
      </c>
      <c r="H102" s="322">
        <f t="shared" si="13"/>
        <v>0</v>
      </c>
    </row>
    <row r="103" spans="1:14" ht="15" hidden="1" x14ac:dyDescent="0.2">
      <c r="A103" s="320">
        <f t="shared" si="8"/>
        <v>41490</v>
      </c>
      <c r="C103" s="321">
        <f t="shared" si="10"/>
        <v>0</v>
      </c>
      <c r="D103" s="321">
        <f t="shared" si="11"/>
        <v>0</v>
      </c>
      <c r="E103" s="322">
        <f t="shared" si="12"/>
        <v>0</v>
      </c>
      <c r="G103" s="325">
        <f t="shared" si="14"/>
        <v>3.5999999999999999E-3</v>
      </c>
      <c r="H103" s="322">
        <f t="shared" si="13"/>
        <v>0</v>
      </c>
    </row>
    <row r="104" spans="1:14" ht="15" hidden="1" x14ac:dyDescent="0.2">
      <c r="A104" s="320">
        <f t="shared" si="8"/>
        <v>41491</v>
      </c>
      <c r="C104" s="321">
        <f t="shared" si="10"/>
        <v>0</v>
      </c>
      <c r="D104" s="321">
        <f t="shared" si="11"/>
        <v>0</v>
      </c>
      <c r="E104" s="322">
        <f t="shared" si="12"/>
        <v>0</v>
      </c>
      <c r="G104" s="325">
        <f t="shared" si="14"/>
        <v>3.5999999999999999E-3</v>
      </c>
      <c r="H104" s="322">
        <f t="shared" si="13"/>
        <v>0</v>
      </c>
    </row>
    <row r="105" spans="1:14" ht="15" hidden="1" x14ac:dyDescent="0.2">
      <c r="A105" s="320">
        <f t="shared" si="8"/>
        <v>41492</v>
      </c>
      <c r="C105" s="321">
        <f t="shared" si="10"/>
        <v>0</v>
      </c>
      <c r="D105" s="321">
        <f t="shared" si="11"/>
        <v>0</v>
      </c>
      <c r="E105" s="322">
        <f t="shared" si="12"/>
        <v>0</v>
      </c>
      <c r="G105" s="325">
        <f t="shared" si="14"/>
        <v>3.5999999999999999E-3</v>
      </c>
      <c r="H105" s="322">
        <f t="shared" si="13"/>
        <v>0</v>
      </c>
    </row>
    <row r="106" spans="1:14" ht="15" hidden="1" x14ac:dyDescent="0.2">
      <c r="A106" s="320">
        <f t="shared" si="8"/>
        <v>41493</v>
      </c>
      <c r="C106" s="321">
        <f t="shared" si="10"/>
        <v>0</v>
      </c>
      <c r="D106" s="321">
        <f t="shared" si="11"/>
        <v>0</v>
      </c>
      <c r="E106" s="322">
        <f t="shared" si="12"/>
        <v>0</v>
      </c>
      <c r="G106" s="325">
        <f t="shared" si="14"/>
        <v>3.5999999999999999E-3</v>
      </c>
      <c r="H106" s="322">
        <f t="shared" si="13"/>
        <v>0</v>
      </c>
    </row>
    <row r="107" spans="1:14" ht="15" hidden="1" x14ac:dyDescent="0.2">
      <c r="A107" s="320">
        <f t="shared" si="8"/>
        <v>41494</v>
      </c>
      <c r="C107" s="321">
        <f t="shared" si="10"/>
        <v>0</v>
      </c>
      <c r="D107" s="321">
        <f t="shared" si="11"/>
        <v>0</v>
      </c>
      <c r="E107" s="322">
        <f t="shared" si="12"/>
        <v>0</v>
      </c>
      <c r="G107" s="325">
        <f t="shared" si="14"/>
        <v>3.5999999999999999E-3</v>
      </c>
      <c r="H107" s="322">
        <f t="shared" si="13"/>
        <v>0</v>
      </c>
    </row>
    <row r="108" spans="1:14" ht="15" hidden="1" x14ac:dyDescent="0.2">
      <c r="A108" s="320">
        <f t="shared" si="8"/>
        <v>41495</v>
      </c>
      <c r="C108" s="321">
        <f t="shared" si="10"/>
        <v>0</v>
      </c>
      <c r="D108" s="321">
        <f t="shared" si="11"/>
        <v>0</v>
      </c>
      <c r="E108" s="322">
        <f t="shared" si="12"/>
        <v>0</v>
      </c>
      <c r="G108" s="325">
        <f t="shared" si="14"/>
        <v>3.5999999999999999E-3</v>
      </c>
      <c r="H108" s="322">
        <f t="shared" si="13"/>
        <v>0</v>
      </c>
    </row>
    <row r="109" spans="1:14" ht="15" hidden="1" x14ac:dyDescent="0.2">
      <c r="A109" s="320">
        <f t="shared" si="8"/>
        <v>41496</v>
      </c>
      <c r="C109" s="321">
        <f t="shared" si="10"/>
        <v>0</v>
      </c>
      <c r="D109" s="321">
        <f t="shared" si="11"/>
        <v>0</v>
      </c>
      <c r="E109" s="322">
        <f t="shared" si="12"/>
        <v>0</v>
      </c>
      <c r="G109" s="325">
        <f t="shared" si="14"/>
        <v>3.5999999999999999E-3</v>
      </c>
      <c r="H109" s="322">
        <f t="shared" si="13"/>
        <v>0</v>
      </c>
    </row>
    <row r="110" spans="1:14" ht="15" hidden="1" x14ac:dyDescent="0.2">
      <c r="A110" s="320">
        <f t="shared" si="8"/>
        <v>41497</v>
      </c>
      <c r="C110" s="321">
        <f t="shared" si="10"/>
        <v>0</v>
      </c>
      <c r="D110" s="321">
        <f t="shared" si="11"/>
        <v>0</v>
      </c>
      <c r="E110" s="322">
        <f t="shared" si="12"/>
        <v>0</v>
      </c>
      <c r="G110" s="325">
        <f t="shared" si="14"/>
        <v>3.5999999999999999E-3</v>
      </c>
      <c r="H110" s="322">
        <f t="shared" si="13"/>
        <v>0</v>
      </c>
    </row>
    <row r="111" spans="1:14" ht="15" hidden="1" x14ac:dyDescent="0.2">
      <c r="A111" s="320">
        <f t="shared" si="8"/>
        <v>41498</v>
      </c>
      <c r="C111" s="321">
        <f t="shared" si="10"/>
        <v>0</v>
      </c>
      <c r="D111" s="321">
        <f t="shared" si="11"/>
        <v>0</v>
      </c>
      <c r="E111" s="322">
        <f t="shared" si="12"/>
        <v>0</v>
      </c>
      <c r="G111" s="325">
        <f t="shared" si="14"/>
        <v>3.5999999999999999E-3</v>
      </c>
      <c r="H111" s="322">
        <f t="shared" si="13"/>
        <v>0</v>
      </c>
    </row>
    <row r="112" spans="1:14" ht="15" hidden="1" x14ac:dyDescent="0.2">
      <c r="A112" s="320">
        <f t="shared" si="8"/>
        <v>41499</v>
      </c>
      <c r="C112" s="321">
        <f t="shared" si="10"/>
        <v>0</v>
      </c>
      <c r="D112" s="321">
        <f t="shared" si="11"/>
        <v>0</v>
      </c>
      <c r="E112" s="322">
        <f t="shared" si="12"/>
        <v>0</v>
      </c>
      <c r="G112" s="325">
        <f t="shared" si="14"/>
        <v>3.5999999999999999E-3</v>
      </c>
      <c r="H112" s="322">
        <f t="shared" si="13"/>
        <v>0</v>
      </c>
    </row>
    <row r="113" spans="1:8" ht="15" hidden="1" x14ac:dyDescent="0.2">
      <c r="A113" s="320">
        <f t="shared" si="8"/>
        <v>41500</v>
      </c>
      <c r="C113" s="321">
        <f t="shared" si="10"/>
        <v>0</v>
      </c>
      <c r="D113" s="321">
        <f t="shared" si="11"/>
        <v>0</v>
      </c>
      <c r="E113" s="322">
        <f t="shared" si="12"/>
        <v>0</v>
      </c>
      <c r="G113" s="325">
        <f t="shared" si="14"/>
        <v>3.5999999999999999E-3</v>
      </c>
      <c r="H113" s="322">
        <f t="shared" si="13"/>
        <v>0</v>
      </c>
    </row>
    <row r="114" spans="1:8" ht="15" hidden="1" x14ac:dyDescent="0.2">
      <c r="A114" s="320">
        <f t="shared" si="8"/>
        <v>41501</v>
      </c>
      <c r="C114" s="321">
        <f t="shared" si="10"/>
        <v>0</v>
      </c>
      <c r="D114" s="321">
        <f t="shared" si="11"/>
        <v>0</v>
      </c>
      <c r="E114" s="322">
        <f t="shared" si="12"/>
        <v>0</v>
      </c>
      <c r="G114" s="325">
        <f t="shared" si="14"/>
        <v>3.5999999999999999E-3</v>
      </c>
      <c r="H114" s="322">
        <f t="shared" si="13"/>
        <v>0</v>
      </c>
    </row>
    <row r="115" spans="1:8" ht="15" hidden="1" x14ac:dyDescent="0.2">
      <c r="A115" s="320">
        <f t="shared" si="8"/>
        <v>41502</v>
      </c>
      <c r="C115" s="321">
        <f t="shared" si="10"/>
        <v>0</v>
      </c>
      <c r="D115" s="321">
        <f t="shared" si="11"/>
        <v>0</v>
      </c>
      <c r="E115" s="322">
        <f t="shared" si="12"/>
        <v>0</v>
      </c>
      <c r="G115" s="325">
        <f t="shared" si="14"/>
        <v>3.5999999999999999E-3</v>
      </c>
      <c r="H115" s="322">
        <f t="shared" si="13"/>
        <v>0</v>
      </c>
    </row>
    <row r="116" spans="1:8" ht="15" hidden="1" x14ac:dyDescent="0.2">
      <c r="A116" s="320">
        <f t="shared" si="8"/>
        <v>41503</v>
      </c>
      <c r="C116" s="321">
        <f t="shared" si="10"/>
        <v>0</v>
      </c>
      <c r="D116" s="321">
        <f t="shared" si="11"/>
        <v>0</v>
      </c>
      <c r="E116" s="322">
        <f t="shared" si="12"/>
        <v>0</v>
      </c>
      <c r="G116" s="325">
        <f t="shared" si="14"/>
        <v>3.5999999999999999E-3</v>
      </c>
      <c r="H116" s="322">
        <f t="shared" si="13"/>
        <v>0</v>
      </c>
    </row>
    <row r="117" spans="1:8" ht="15" hidden="1" x14ac:dyDescent="0.2">
      <c r="A117" s="320">
        <f t="shared" si="8"/>
        <v>41504</v>
      </c>
      <c r="C117" s="321">
        <f t="shared" si="10"/>
        <v>0</v>
      </c>
      <c r="D117" s="321">
        <f t="shared" si="11"/>
        <v>0</v>
      </c>
      <c r="E117" s="322">
        <f t="shared" si="12"/>
        <v>0</v>
      </c>
      <c r="G117" s="325">
        <f t="shared" si="14"/>
        <v>3.5999999999999999E-3</v>
      </c>
      <c r="H117" s="322">
        <f t="shared" si="13"/>
        <v>0</v>
      </c>
    </row>
    <row r="118" spans="1:8" ht="15" hidden="1" x14ac:dyDescent="0.2">
      <c r="A118" s="320">
        <f t="shared" si="8"/>
        <v>41505</v>
      </c>
      <c r="C118" s="321">
        <f t="shared" si="10"/>
        <v>0</v>
      </c>
      <c r="D118" s="321">
        <f t="shared" si="11"/>
        <v>0</v>
      </c>
      <c r="E118" s="322">
        <f t="shared" si="12"/>
        <v>0</v>
      </c>
      <c r="G118" s="325">
        <f t="shared" si="14"/>
        <v>3.5999999999999999E-3</v>
      </c>
      <c r="H118" s="322">
        <f t="shared" si="13"/>
        <v>0</v>
      </c>
    </row>
    <row r="119" spans="1:8" ht="15" hidden="1" x14ac:dyDescent="0.2">
      <c r="A119" s="320">
        <f t="shared" si="8"/>
        <v>41506</v>
      </c>
      <c r="C119" s="321">
        <f t="shared" si="10"/>
        <v>0</v>
      </c>
      <c r="D119" s="321">
        <f t="shared" si="11"/>
        <v>0</v>
      </c>
      <c r="E119" s="322">
        <f t="shared" si="12"/>
        <v>0</v>
      </c>
      <c r="G119" s="325">
        <f t="shared" si="14"/>
        <v>3.5999999999999999E-3</v>
      </c>
      <c r="H119" s="322">
        <f t="shared" si="13"/>
        <v>0</v>
      </c>
    </row>
    <row r="120" spans="1:8" ht="15" hidden="1" x14ac:dyDescent="0.2">
      <c r="A120" s="320">
        <f t="shared" si="8"/>
        <v>41507</v>
      </c>
      <c r="C120" s="321">
        <f t="shared" si="10"/>
        <v>0</v>
      </c>
      <c r="D120" s="321">
        <f t="shared" si="11"/>
        <v>0</v>
      </c>
      <c r="E120" s="322">
        <f t="shared" si="12"/>
        <v>0</v>
      </c>
      <c r="G120" s="325">
        <f t="shared" si="14"/>
        <v>3.5999999999999999E-3</v>
      </c>
      <c r="H120" s="322">
        <f t="shared" si="13"/>
        <v>0</v>
      </c>
    </row>
    <row r="121" spans="1:8" ht="15" hidden="1" x14ac:dyDescent="0.2">
      <c r="A121" s="320">
        <f t="shared" si="8"/>
        <v>41508</v>
      </c>
      <c r="C121" s="321">
        <f t="shared" si="10"/>
        <v>0</v>
      </c>
      <c r="D121" s="321">
        <f t="shared" si="11"/>
        <v>0</v>
      </c>
      <c r="E121" s="322">
        <f t="shared" si="12"/>
        <v>0</v>
      </c>
      <c r="G121" s="325">
        <f t="shared" si="14"/>
        <v>3.5999999999999999E-3</v>
      </c>
      <c r="H121" s="322">
        <f t="shared" si="13"/>
        <v>0</v>
      </c>
    </row>
    <row r="122" spans="1:8" ht="15" hidden="1" x14ac:dyDescent="0.2">
      <c r="A122" s="320">
        <f t="shared" si="8"/>
        <v>41509</v>
      </c>
      <c r="C122" s="321">
        <f t="shared" si="10"/>
        <v>0</v>
      </c>
      <c r="D122" s="321">
        <f t="shared" si="11"/>
        <v>0</v>
      </c>
      <c r="E122" s="322">
        <f t="shared" si="12"/>
        <v>0</v>
      </c>
      <c r="G122" s="325">
        <f t="shared" si="14"/>
        <v>3.5999999999999999E-3</v>
      </c>
      <c r="H122" s="322">
        <f t="shared" si="13"/>
        <v>0</v>
      </c>
    </row>
    <row r="123" spans="1:8" ht="15" hidden="1" x14ac:dyDescent="0.2">
      <c r="A123" s="320">
        <f t="shared" si="8"/>
        <v>41510</v>
      </c>
      <c r="C123" s="321">
        <f t="shared" si="10"/>
        <v>0</v>
      </c>
      <c r="D123" s="321">
        <f t="shared" si="11"/>
        <v>0</v>
      </c>
      <c r="E123" s="322">
        <f t="shared" si="12"/>
        <v>0</v>
      </c>
      <c r="G123" s="325">
        <f t="shared" si="14"/>
        <v>3.5999999999999999E-3</v>
      </c>
      <c r="H123" s="322">
        <f t="shared" si="13"/>
        <v>0</v>
      </c>
    </row>
    <row r="124" spans="1:8" ht="15" hidden="1" x14ac:dyDescent="0.2">
      <c r="A124" s="320">
        <f t="shared" si="8"/>
        <v>41511</v>
      </c>
      <c r="C124" s="321">
        <f t="shared" si="10"/>
        <v>0</v>
      </c>
      <c r="D124" s="321">
        <f t="shared" si="11"/>
        <v>0</v>
      </c>
      <c r="E124" s="322">
        <f t="shared" si="12"/>
        <v>0</v>
      </c>
      <c r="G124" s="325">
        <f t="shared" si="14"/>
        <v>3.5999999999999999E-3</v>
      </c>
      <c r="H124" s="322">
        <f t="shared" si="13"/>
        <v>0</v>
      </c>
    </row>
    <row r="125" spans="1:8" ht="15" hidden="1" x14ac:dyDescent="0.2">
      <c r="A125" s="320">
        <f t="shared" si="8"/>
        <v>41512</v>
      </c>
      <c r="C125" s="321">
        <f t="shared" si="10"/>
        <v>0</v>
      </c>
      <c r="D125" s="321">
        <f t="shared" si="11"/>
        <v>0</v>
      </c>
      <c r="E125" s="322">
        <f t="shared" si="12"/>
        <v>0</v>
      </c>
      <c r="G125" s="325">
        <f t="shared" si="14"/>
        <v>3.5999999999999999E-3</v>
      </c>
      <c r="H125" s="322">
        <f t="shared" si="13"/>
        <v>0</v>
      </c>
    </row>
    <row r="126" spans="1:8" ht="15" hidden="1" x14ac:dyDescent="0.2">
      <c r="A126" s="320">
        <f t="shared" si="8"/>
        <v>41513</v>
      </c>
      <c r="C126" s="321">
        <f t="shared" si="10"/>
        <v>0</v>
      </c>
      <c r="D126" s="321">
        <f t="shared" si="11"/>
        <v>0</v>
      </c>
      <c r="E126" s="322">
        <f t="shared" si="12"/>
        <v>0</v>
      </c>
      <c r="G126" s="325">
        <f t="shared" si="14"/>
        <v>3.5999999999999999E-3</v>
      </c>
      <c r="H126" s="322">
        <f t="shared" si="13"/>
        <v>0</v>
      </c>
    </row>
    <row r="127" spans="1:8" ht="15" hidden="1" x14ac:dyDescent="0.2">
      <c r="A127" s="320">
        <f t="shared" si="8"/>
        <v>41514</v>
      </c>
      <c r="C127" s="321">
        <f t="shared" si="10"/>
        <v>0</v>
      </c>
      <c r="D127" s="321">
        <f t="shared" si="11"/>
        <v>0</v>
      </c>
      <c r="E127" s="322">
        <f t="shared" si="12"/>
        <v>0</v>
      </c>
      <c r="G127" s="325">
        <f t="shared" si="14"/>
        <v>3.5999999999999999E-3</v>
      </c>
      <c r="H127" s="322">
        <f t="shared" si="13"/>
        <v>0</v>
      </c>
    </row>
    <row r="128" spans="1:8" ht="15" hidden="1" x14ac:dyDescent="0.2">
      <c r="A128" s="320">
        <f t="shared" si="8"/>
        <v>41515</v>
      </c>
      <c r="C128" s="321">
        <f t="shared" si="10"/>
        <v>0</v>
      </c>
      <c r="D128" s="321">
        <f t="shared" si="11"/>
        <v>0</v>
      </c>
      <c r="E128" s="322">
        <f t="shared" si="12"/>
        <v>0</v>
      </c>
      <c r="G128" s="325">
        <f t="shared" si="14"/>
        <v>3.5999999999999999E-3</v>
      </c>
      <c r="H128" s="322">
        <f t="shared" si="13"/>
        <v>0</v>
      </c>
    </row>
    <row r="129" spans="1:9" ht="15" hidden="1" x14ac:dyDescent="0.2">
      <c r="A129" s="320">
        <f t="shared" ref="A129:A191" si="15">A128+1</f>
        <v>41516</v>
      </c>
      <c r="C129" s="321">
        <f t="shared" si="10"/>
        <v>0</v>
      </c>
      <c r="D129" s="321">
        <f t="shared" si="11"/>
        <v>0</v>
      </c>
      <c r="E129" s="322">
        <f t="shared" si="12"/>
        <v>0</v>
      </c>
      <c r="G129" s="325">
        <f t="shared" si="14"/>
        <v>3.5999999999999999E-3</v>
      </c>
      <c r="H129" s="322">
        <f t="shared" si="13"/>
        <v>0</v>
      </c>
    </row>
    <row r="130" spans="1:9" ht="15" hidden="1" x14ac:dyDescent="0.2">
      <c r="A130" s="320">
        <f t="shared" si="15"/>
        <v>41517</v>
      </c>
      <c r="C130" s="321">
        <f t="shared" si="10"/>
        <v>0</v>
      </c>
      <c r="D130" s="321">
        <f t="shared" si="11"/>
        <v>0</v>
      </c>
      <c r="E130" s="322">
        <f t="shared" si="12"/>
        <v>0</v>
      </c>
      <c r="G130" s="325">
        <f t="shared" si="14"/>
        <v>3.5999999999999999E-3</v>
      </c>
      <c r="H130" s="322">
        <f t="shared" si="13"/>
        <v>0</v>
      </c>
      <c r="I130" s="302">
        <f>SUM(H100:H130)</f>
        <v>0</v>
      </c>
    </row>
    <row r="131" spans="1:9" ht="15" hidden="1" x14ac:dyDescent="0.2">
      <c r="A131" s="320">
        <f t="shared" si="15"/>
        <v>41518</v>
      </c>
      <c r="C131" s="321">
        <f t="shared" si="10"/>
        <v>0</v>
      </c>
      <c r="D131" s="321">
        <f t="shared" si="11"/>
        <v>0</v>
      </c>
      <c r="E131" s="322">
        <f t="shared" si="12"/>
        <v>0</v>
      </c>
      <c r="G131" s="325">
        <v>3.2000000000000002E-3</v>
      </c>
      <c r="H131" s="322">
        <f t="shared" si="13"/>
        <v>0</v>
      </c>
    </row>
    <row r="132" spans="1:9" ht="15" hidden="1" x14ac:dyDescent="0.2">
      <c r="A132" s="320">
        <f t="shared" si="15"/>
        <v>41519</v>
      </c>
      <c r="C132" s="321">
        <f t="shared" si="10"/>
        <v>0</v>
      </c>
      <c r="D132" s="321">
        <f t="shared" si="11"/>
        <v>0</v>
      </c>
      <c r="E132" s="322">
        <f t="shared" si="12"/>
        <v>0</v>
      </c>
      <c r="G132" s="325">
        <f>G131</f>
        <v>3.2000000000000002E-3</v>
      </c>
      <c r="H132" s="322">
        <f t="shared" si="13"/>
        <v>0</v>
      </c>
    </row>
    <row r="133" spans="1:9" ht="15" hidden="1" x14ac:dyDescent="0.2">
      <c r="A133" s="320">
        <f t="shared" si="15"/>
        <v>41520</v>
      </c>
      <c r="C133" s="321">
        <f t="shared" si="10"/>
        <v>0</v>
      </c>
      <c r="D133" s="321">
        <f t="shared" si="11"/>
        <v>0</v>
      </c>
      <c r="E133" s="322">
        <f t="shared" si="12"/>
        <v>0</v>
      </c>
      <c r="G133" s="325">
        <f t="shared" ref="G133:G160" si="16">G132</f>
        <v>3.2000000000000002E-3</v>
      </c>
      <c r="H133" s="322">
        <f t="shared" si="13"/>
        <v>0</v>
      </c>
    </row>
    <row r="134" spans="1:9" ht="15" hidden="1" x14ac:dyDescent="0.2">
      <c r="A134" s="320">
        <f t="shared" si="15"/>
        <v>41521</v>
      </c>
      <c r="C134" s="321">
        <f t="shared" si="10"/>
        <v>0</v>
      </c>
      <c r="D134" s="321">
        <f t="shared" si="11"/>
        <v>0</v>
      </c>
      <c r="E134" s="322">
        <f t="shared" si="12"/>
        <v>0</v>
      </c>
      <c r="G134" s="325">
        <f t="shared" si="16"/>
        <v>3.2000000000000002E-3</v>
      </c>
      <c r="H134" s="322">
        <f t="shared" si="13"/>
        <v>0</v>
      </c>
    </row>
    <row r="135" spans="1:9" ht="15" hidden="1" x14ac:dyDescent="0.2">
      <c r="A135" s="320">
        <f t="shared" si="15"/>
        <v>41522</v>
      </c>
      <c r="C135" s="321">
        <f t="shared" si="10"/>
        <v>0</v>
      </c>
      <c r="D135" s="321">
        <f t="shared" si="11"/>
        <v>0</v>
      </c>
      <c r="E135" s="322">
        <f t="shared" si="12"/>
        <v>0</v>
      </c>
      <c r="G135" s="325">
        <f t="shared" si="16"/>
        <v>3.2000000000000002E-3</v>
      </c>
      <c r="H135" s="322">
        <f t="shared" si="13"/>
        <v>0</v>
      </c>
    </row>
    <row r="136" spans="1:9" ht="15" hidden="1" x14ac:dyDescent="0.2">
      <c r="A136" s="320">
        <f t="shared" si="15"/>
        <v>41523</v>
      </c>
      <c r="C136" s="321">
        <f t="shared" ref="C136:C191" si="17">IF(B136&lt;0,B136*-1,0)</f>
        <v>0</v>
      </c>
      <c r="D136" s="321">
        <f t="shared" ref="D136:D191" si="18">IF(B136&gt;0,B136*1,0)</f>
        <v>0</v>
      </c>
      <c r="E136" s="322">
        <f t="shared" ref="E136:E191" si="19">E135-C136+D136</f>
        <v>0</v>
      </c>
      <c r="G136" s="325">
        <f t="shared" si="16"/>
        <v>3.2000000000000002E-3</v>
      </c>
      <c r="H136" s="322">
        <f t="shared" si="13"/>
        <v>0</v>
      </c>
    </row>
    <row r="137" spans="1:9" ht="15" hidden="1" x14ac:dyDescent="0.2">
      <c r="A137" s="320">
        <f t="shared" si="15"/>
        <v>41524</v>
      </c>
      <c r="C137" s="321">
        <f t="shared" si="17"/>
        <v>0</v>
      </c>
      <c r="D137" s="321">
        <f t="shared" si="18"/>
        <v>0</v>
      </c>
      <c r="E137" s="322">
        <f t="shared" si="19"/>
        <v>0</v>
      </c>
      <c r="G137" s="325">
        <f t="shared" si="16"/>
        <v>3.2000000000000002E-3</v>
      </c>
      <c r="H137" s="322">
        <f t="shared" si="13"/>
        <v>0</v>
      </c>
    </row>
    <row r="138" spans="1:9" ht="15" hidden="1" x14ac:dyDescent="0.2">
      <c r="A138" s="320">
        <f t="shared" si="15"/>
        <v>41525</v>
      </c>
      <c r="C138" s="321">
        <f t="shared" si="17"/>
        <v>0</v>
      </c>
      <c r="D138" s="321">
        <f t="shared" si="18"/>
        <v>0</v>
      </c>
      <c r="E138" s="322">
        <f t="shared" si="19"/>
        <v>0</v>
      </c>
      <c r="G138" s="325">
        <f t="shared" si="16"/>
        <v>3.2000000000000002E-3</v>
      </c>
      <c r="H138" s="322">
        <f t="shared" ref="H138:H191" si="20">ROUND(+E138*G138/360,5)</f>
        <v>0</v>
      </c>
    </row>
    <row r="139" spans="1:9" ht="15" hidden="1" x14ac:dyDescent="0.2">
      <c r="A139" s="320">
        <f t="shared" si="15"/>
        <v>41526</v>
      </c>
      <c r="C139" s="321">
        <f t="shared" si="17"/>
        <v>0</v>
      </c>
      <c r="D139" s="321">
        <f t="shared" si="18"/>
        <v>0</v>
      </c>
      <c r="E139" s="322">
        <f t="shared" si="19"/>
        <v>0</v>
      </c>
      <c r="G139" s="325">
        <f t="shared" si="16"/>
        <v>3.2000000000000002E-3</v>
      </c>
      <c r="H139" s="322">
        <f t="shared" si="20"/>
        <v>0</v>
      </c>
    </row>
    <row r="140" spans="1:9" ht="15" hidden="1" x14ac:dyDescent="0.2">
      <c r="A140" s="320">
        <f t="shared" si="15"/>
        <v>41527</v>
      </c>
      <c r="C140" s="321">
        <f t="shared" si="17"/>
        <v>0</v>
      </c>
      <c r="D140" s="321">
        <f t="shared" si="18"/>
        <v>0</v>
      </c>
      <c r="E140" s="322">
        <f t="shared" si="19"/>
        <v>0</v>
      </c>
      <c r="G140" s="325">
        <f t="shared" si="16"/>
        <v>3.2000000000000002E-3</v>
      </c>
      <c r="H140" s="322">
        <f t="shared" si="20"/>
        <v>0</v>
      </c>
    </row>
    <row r="141" spans="1:9" ht="15" hidden="1" x14ac:dyDescent="0.2">
      <c r="A141" s="320">
        <f t="shared" si="15"/>
        <v>41528</v>
      </c>
      <c r="C141" s="321">
        <f t="shared" si="17"/>
        <v>0</v>
      </c>
      <c r="D141" s="321">
        <f t="shared" si="18"/>
        <v>0</v>
      </c>
      <c r="E141" s="322">
        <f t="shared" si="19"/>
        <v>0</v>
      </c>
      <c r="G141" s="325">
        <f t="shared" si="16"/>
        <v>3.2000000000000002E-3</v>
      </c>
      <c r="H141" s="322">
        <f t="shared" si="20"/>
        <v>0</v>
      </c>
    </row>
    <row r="142" spans="1:9" ht="15" hidden="1" x14ac:dyDescent="0.2">
      <c r="A142" s="320">
        <f t="shared" si="15"/>
        <v>41529</v>
      </c>
      <c r="C142" s="321">
        <f t="shared" si="17"/>
        <v>0</v>
      </c>
      <c r="D142" s="321">
        <f t="shared" si="18"/>
        <v>0</v>
      </c>
      <c r="E142" s="322">
        <f t="shared" si="19"/>
        <v>0</v>
      </c>
      <c r="G142" s="325">
        <f t="shared" si="16"/>
        <v>3.2000000000000002E-3</v>
      </c>
      <c r="H142" s="322">
        <f t="shared" si="20"/>
        <v>0</v>
      </c>
    </row>
    <row r="143" spans="1:9" ht="15" hidden="1" x14ac:dyDescent="0.2">
      <c r="A143" s="320">
        <f t="shared" si="15"/>
        <v>41530</v>
      </c>
      <c r="C143" s="321">
        <f t="shared" si="17"/>
        <v>0</v>
      </c>
      <c r="D143" s="321">
        <f t="shared" si="18"/>
        <v>0</v>
      </c>
      <c r="E143" s="322">
        <f t="shared" si="19"/>
        <v>0</v>
      </c>
      <c r="G143" s="325">
        <f t="shared" si="16"/>
        <v>3.2000000000000002E-3</v>
      </c>
      <c r="H143" s="322">
        <f t="shared" si="20"/>
        <v>0</v>
      </c>
    </row>
    <row r="144" spans="1:9" ht="15" hidden="1" x14ac:dyDescent="0.2">
      <c r="A144" s="320">
        <f t="shared" si="15"/>
        <v>41531</v>
      </c>
      <c r="C144" s="321">
        <f t="shared" si="17"/>
        <v>0</v>
      </c>
      <c r="D144" s="321">
        <f t="shared" si="18"/>
        <v>0</v>
      </c>
      <c r="E144" s="322">
        <f t="shared" si="19"/>
        <v>0</v>
      </c>
      <c r="G144" s="325">
        <f t="shared" si="16"/>
        <v>3.2000000000000002E-3</v>
      </c>
      <c r="H144" s="322">
        <f t="shared" si="20"/>
        <v>0</v>
      </c>
    </row>
    <row r="145" spans="1:14" ht="15" hidden="1" x14ac:dyDescent="0.2">
      <c r="A145" s="320">
        <f t="shared" si="15"/>
        <v>41532</v>
      </c>
      <c r="C145" s="321">
        <f t="shared" si="17"/>
        <v>0</v>
      </c>
      <c r="D145" s="321">
        <f t="shared" si="18"/>
        <v>0</v>
      </c>
      <c r="E145" s="322">
        <f t="shared" si="19"/>
        <v>0</v>
      </c>
      <c r="G145" s="325">
        <f t="shared" si="16"/>
        <v>3.2000000000000002E-3</v>
      </c>
      <c r="H145" s="322">
        <f t="shared" si="20"/>
        <v>0</v>
      </c>
    </row>
    <row r="146" spans="1:14" ht="15" hidden="1" x14ac:dyDescent="0.2">
      <c r="A146" s="320">
        <f t="shared" si="15"/>
        <v>41533</v>
      </c>
      <c r="C146" s="321">
        <f t="shared" si="17"/>
        <v>0</v>
      </c>
      <c r="D146" s="321">
        <f t="shared" si="18"/>
        <v>0</v>
      </c>
      <c r="E146" s="322">
        <f t="shared" si="19"/>
        <v>0</v>
      </c>
      <c r="G146" s="325">
        <f t="shared" si="16"/>
        <v>3.2000000000000002E-3</v>
      </c>
      <c r="H146" s="322">
        <f t="shared" si="20"/>
        <v>0</v>
      </c>
    </row>
    <row r="147" spans="1:14" ht="15" hidden="1" x14ac:dyDescent="0.2">
      <c r="A147" s="320">
        <f t="shared" si="15"/>
        <v>41534</v>
      </c>
      <c r="C147" s="321">
        <f t="shared" si="17"/>
        <v>0</v>
      </c>
      <c r="D147" s="321">
        <f t="shared" si="18"/>
        <v>0</v>
      </c>
      <c r="E147" s="322">
        <f t="shared" si="19"/>
        <v>0</v>
      </c>
      <c r="G147" s="325">
        <f t="shared" si="16"/>
        <v>3.2000000000000002E-3</v>
      </c>
      <c r="H147" s="322">
        <f t="shared" si="20"/>
        <v>0</v>
      </c>
    </row>
    <row r="148" spans="1:14" ht="15" hidden="1" x14ac:dyDescent="0.2">
      <c r="A148" s="320">
        <f t="shared" si="15"/>
        <v>41535</v>
      </c>
      <c r="C148" s="321">
        <f t="shared" si="17"/>
        <v>0</v>
      </c>
      <c r="D148" s="321">
        <f t="shared" si="18"/>
        <v>0</v>
      </c>
      <c r="E148" s="322">
        <f t="shared" si="19"/>
        <v>0</v>
      </c>
      <c r="G148" s="325">
        <f t="shared" si="16"/>
        <v>3.2000000000000002E-3</v>
      </c>
      <c r="H148" s="322">
        <f t="shared" si="20"/>
        <v>0</v>
      </c>
    </row>
    <row r="149" spans="1:14" ht="15" hidden="1" x14ac:dyDescent="0.2">
      <c r="A149" s="320">
        <f t="shared" si="15"/>
        <v>41536</v>
      </c>
      <c r="C149" s="321">
        <f t="shared" si="17"/>
        <v>0</v>
      </c>
      <c r="D149" s="321">
        <f t="shared" si="18"/>
        <v>0</v>
      </c>
      <c r="E149" s="322">
        <f t="shared" si="19"/>
        <v>0</v>
      </c>
      <c r="G149" s="325">
        <f t="shared" si="16"/>
        <v>3.2000000000000002E-3</v>
      </c>
      <c r="H149" s="322">
        <f t="shared" si="20"/>
        <v>0</v>
      </c>
    </row>
    <row r="150" spans="1:14" ht="15" hidden="1" x14ac:dyDescent="0.2">
      <c r="A150" s="320">
        <f t="shared" si="15"/>
        <v>41537</v>
      </c>
      <c r="C150" s="321">
        <f t="shared" si="17"/>
        <v>0</v>
      </c>
      <c r="D150" s="321">
        <f t="shared" si="18"/>
        <v>0</v>
      </c>
      <c r="E150" s="322">
        <f t="shared" si="19"/>
        <v>0</v>
      </c>
      <c r="G150" s="325">
        <f t="shared" si="16"/>
        <v>3.2000000000000002E-3</v>
      </c>
      <c r="H150" s="322">
        <f t="shared" si="20"/>
        <v>0</v>
      </c>
    </row>
    <row r="151" spans="1:14" ht="15" hidden="1" x14ac:dyDescent="0.2">
      <c r="A151" s="320">
        <f t="shared" si="15"/>
        <v>41538</v>
      </c>
      <c r="C151" s="321">
        <f t="shared" si="17"/>
        <v>0</v>
      </c>
      <c r="D151" s="321">
        <f t="shared" si="18"/>
        <v>0</v>
      </c>
      <c r="E151" s="322">
        <f t="shared" si="19"/>
        <v>0</v>
      </c>
      <c r="G151" s="325">
        <f t="shared" si="16"/>
        <v>3.2000000000000002E-3</v>
      </c>
      <c r="H151" s="322">
        <f t="shared" si="20"/>
        <v>0</v>
      </c>
    </row>
    <row r="152" spans="1:14" ht="15" hidden="1" x14ac:dyDescent="0.2">
      <c r="A152" s="320">
        <f t="shared" si="15"/>
        <v>41539</v>
      </c>
      <c r="C152" s="321">
        <f t="shared" si="17"/>
        <v>0</v>
      </c>
      <c r="D152" s="321">
        <f t="shared" si="18"/>
        <v>0</v>
      </c>
      <c r="E152" s="322">
        <f t="shared" si="19"/>
        <v>0</v>
      </c>
      <c r="G152" s="325">
        <f t="shared" si="16"/>
        <v>3.2000000000000002E-3</v>
      </c>
      <c r="H152" s="322">
        <f t="shared" si="20"/>
        <v>0</v>
      </c>
    </row>
    <row r="153" spans="1:14" ht="15" hidden="1" x14ac:dyDescent="0.2">
      <c r="A153" s="320">
        <f t="shared" si="15"/>
        <v>41540</v>
      </c>
      <c r="C153" s="321">
        <f t="shared" si="17"/>
        <v>0</v>
      </c>
      <c r="D153" s="321">
        <f t="shared" si="18"/>
        <v>0</v>
      </c>
      <c r="E153" s="322">
        <f t="shared" si="19"/>
        <v>0</v>
      </c>
      <c r="G153" s="325">
        <f t="shared" si="16"/>
        <v>3.2000000000000002E-3</v>
      </c>
      <c r="H153" s="322">
        <f t="shared" si="20"/>
        <v>0</v>
      </c>
    </row>
    <row r="154" spans="1:14" ht="15" hidden="1" x14ac:dyDescent="0.2">
      <c r="A154" s="320">
        <f t="shared" si="15"/>
        <v>41541</v>
      </c>
      <c r="C154" s="321">
        <f t="shared" si="17"/>
        <v>0</v>
      </c>
      <c r="D154" s="321">
        <f t="shared" si="18"/>
        <v>0</v>
      </c>
      <c r="E154" s="322">
        <f t="shared" si="19"/>
        <v>0</v>
      </c>
      <c r="G154" s="325">
        <f t="shared" si="16"/>
        <v>3.2000000000000002E-3</v>
      </c>
      <c r="H154" s="322">
        <f t="shared" si="20"/>
        <v>0</v>
      </c>
    </row>
    <row r="155" spans="1:14" ht="15" hidden="1" x14ac:dyDescent="0.2">
      <c r="A155" s="320">
        <f t="shared" si="15"/>
        <v>41542</v>
      </c>
      <c r="C155" s="321">
        <f t="shared" si="17"/>
        <v>0</v>
      </c>
      <c r="D155" s="321">
        <f t="shared" si="18"/>
        <v>0</v>
      </c>
      <c r="E155" s="322">
        <f t="shared" si="19"/>
        <v>0</v>
      </c>
      <c r="G155" s="325">
        <f t="shared" si="16"/>
        <v>3.2000000000000002E-3</v>
      </c>
      <c r="H155" s="322">
        <f t="shared" si="20"/>
        <v>0</v>
      </c>
    </row>
    <row r="156" spans="1:14" ht="15" hidden="1" x14ac:dyDescent="0.2">
      <c r="A156" s="320">
        <f t="shared" si="15"/>
        <v>41543</v>
      </c>
      <c r="C156" s="321">
        <f t="shared" si="17"/>
        <v>0</v>
      </c>
      <c r="D156" s="321">
        <f t="shared" si="18"/>
        <v>0</v>
      </c>
      <c r="E156" s="322">
        <f t="shared" si="19"/>
        <v>0</v>
      </c>
      <c r="G156" s="325">
        <f t="shared" si="16"/>
        <v>3.2000000000000002E-3</v>
      </c>
      <c r="H156" s="322">
        <f t="shared" si="20"/>
        <v>0</v>
      </c>
    </row>
    <row r="157" spans="1:14" ht="15" hidden="1" x14ac:dyDescent="0.2">
      <c r="A157" s="320">
        <f t="shared" si="15"/>
        <v>41544</v>
      </c>
      <c r="C157" s="321">
        <f t="shared" si="17"/>
        <v>0</v>
      </c>
      <c r="D157" s="321">
        <f t="shared" si="18"/>
        <v>0</v>
      </c>
      <c r="E157" s="322">
        <f t="shared" si="19"/>
        <v>0</v>
      </c>
      <c r="G157" s="325">
        <f t="shared" si="16"/>
        <v>3.2000000000000002E-3</v>
      </c>
      <c r="H157" s="322">
        <f t="shared" si="20"/>
        <v>0</v>
      </c>
    </row>
    <row r="158" spans="1:14" ht="15" hidden="1" x14ac:dyDescent="0.2">
      <c r="A158" s="320">
        <f t="shared" si="15"/>
        <v>41545</v>
      </c>
      <c r="C158" s="321">
        <f t="shared" si="17"/>
        <v>0</v>
      </c>
      <c r="D158" s="321">
        <f t="shared" si="18"/>
        <v>0</v>
      </c>
      <c r="E158" s="322">
        <f t="shared" si="19"/>
        <v>0</v>
      </c>
      <c r="G158" s="325">
        <f t="shared" si="16"/>
        <v>3.2000000000000002E-3</v>
      </c>
      <c r="H158" s="322">
        <f t="shared" si="20"/>
        <v>0</v>
      </c>
    </row>
    <row r="159" spans="1:14" ht="15" hidden="1" x14ac:dyDescent="0.2">
      <c r="A159" s="320">
        <f t="shared" si="15"/>
        <v>41546</v>
      </c>
      <c r="C159" s="321">
        <f t="shared" si="17"/>
        <v>0</v>
      </c>
      <c r="D159" s="321">
        <f t="shared" si="18"/>
        <v>0</v>
      </c>
      <c r="E159" s="322">
        <f t="shared" si="19"/>
        <v>0</v>
      </c>
      <c r="G159" s="325">
        <f t="shared" si="16"/>
        <v>3.2000000000000002E-3</v>
      </c>
      <c r="H159" s="322">
        <f t="shared" si="20"/>
        <v>0</v>
      </c>
    </row>
    <row r="160" spans="1:14" ht="15" hidden="1" x14ac:dyDescent="0.2">
      <c r="A160" s="320">
        <f t="shared" si="15"/>
        <v>41547</v>
      </c>
      <c r="C160" s="321">
        <f t="shared" si="17"/>
        <v>0</v>
      </c>
      <c r="D160" s="321">
        <f t="shared" si="18"/>
        <v>0</v>
      </c>
      <c r="E160" s="322">
        <f t="shared" si="19"/>
        <v>0</v>
      </c>
      <c r="G160" s="325">
        <f t="shared" si="16"/>
        <v>3.2000000000000002E-3</v>
      </c>
      <c r="H160" s="322">
        <f t="shared" si="20"/>
        <v>0</v>
      </c>
      <c r="I160" s="302">
        <f>SUM(H131:H160)</f>
        <v>0</v>
      </c>
      <c r="J160" s="303">
        <v>0</v>
      </c>
      <c r="K160" s="303">
        <f>AVERAGE(H131:H160)</f>
        <v>0</v>
      </c>
      <c r="L160" s="303">
        <f>AVERAGE(H8:H160)</f>
        <v>0</v>
      </c>
      <c r="M160" s="303">
        <f>AVERAGE(E131:E160)</f>
        <v>0</v>
      </c>
      <c r="N160" s="303">
        <f>AVERAGE(E8:E160)</f>
        <v>0</v>
      </c>
    </row>
    <row r="161" spans="1:8" ht="15" x14ac:dyDescent="0.2">
      <c r="A161" s="320">
        <v>41548</v>
      </c>
      <c r="C161" s="321">
        <f t="shared" si="17"/>
        <v>0</v>
      </c>
      <c r="D161" s="321">
        <f t="shared" si="18"/>
        <v>0</v>
      </c>
      <c r="E161" s="322">
        <f t="shared" si="19"/>
        <v>0</v>
      </c>
      <c r="G161" s="325">
        <v>3.0000000000000001E-3</v>
      </c>
      <c r="H161" s="322">
        <f t="shared" si="20"/>
        <v>0</v>
      </c>
    </row>
    <row r="162" spans="1:8" ht="15" x14ac:dyDescent="0.2">
      <c r="A162" s="320">
        <f t="shared" si="15"/>
        <v>41549</v>
      </c>
      <c r="C162" s="321">
        <f t="shared" si="17"/>
        <v>0</v>
      </c>
      <c r="D162" s="321">
        <f t="shared" si="18"/>
        <v>0</v>
      </c>
      <c r="E162" s="322">
        <f t="shared" si="19"/>
        <v>0</v>
      </c>
      <c r="G162" s="325">
        <f>G161</f>
        <v>3.0000000000000001E-3</v>
      </c>
      <c r="H162" s="322">
        <f t="shared" si="20"/>
        <v>0</v>
      </c>
    </row>
    <row r="163" spans="1:8" ht="15" x14ac:dyDescent="0.2">
      <c r="A163" s="320">
        <f t="shared" si="15"/>
        <v>41550</v>
      </c>
      <c r="C163" s="321">
        <f t="shared" si="17"/>
        <v>0</v>
      </c>
      <c r="D163" s="321">
        <f t="shared" si="18"/>
        <v>0</v>
      </c>
      <c r="E163" s="322">
        <f t="shared" si="19"/>
        <v>0</v>
      </c>
      <c r="G163" s="325">
        <f t="shared" ref="G163:G191" si="21">G162</f>
        <v>3.0000000000000001E-3</v>
      </c>
      <c r="H163" s="322">
        <f t="shared" si="20"/>
        <v>0</v>
      </c>
    </row>
    <row r="164" spans="1:8" ht="15" x14ac:dyDescent="0.2">
      <c r="A164" s="320">
        <f t="shared" si="15"/>
        <v>41551</v>
      </c>
      <c r="C164" s="321">
        <f t="shared" si="17"/>
        <v>0</v>
      </c>
      <c r="D164" s="321">
        <f t="shared" si="18"/>
        <v>0</v>
      </c>
      <c r="E164" s="322">
        <f t="shared" si="19"/>
        <v>0</v>
      </c>
      <c r="G164" s="325">
        <f t="shared" si="21"/>
        <v>3.0000000000000001E-3</v>
      </c>
      <c r="H164" s="322">
        <f t="shared" si="20"/>
        <v>0</v>
      </c>
    </row>
    <row r="165" spans="1:8" ht="15" x14ac:dyDescent="0.2">
      <c r="A165" s="320">
        <f t="shared" si="15"/>
        <v>41552</v>
      </c>
      <c r="C165" s="321">
        <f t="shared" si="17"/>
        <v>0</v>
      </c>
      <c r="D165" s="321">
        <f t="shared" si="18"/>
        <v>0</v>
      </c>
      <c r="E165" s="322">
        <f t="shared" si="19"/>
        <v>0</v>
      </c>
      <c r="G165" s="325">
        <f t="shared" si="21"/>
        <v>3.0000000000000001E-3</v>
      </c>
      <c r="H165" s="322">
        <f t="shared" si="20"/>
        <v>0</v>
      </c>
    </row>
    <row r="166" spans="1:8" ht="15" x14ac:dyDescent="0.2">
      <c r="A166" s="320">
        <f t="shared" si="15"/>
        <v>41553</v>
      </c>
      <c r="C166" s="321">
        <f t="shared" si="17"/>
        <v>0</v>
      </c>
      <c r="D166" s="321">
        <f t="shared" si="18"/>
        <v>0</v>
      </c>
      <c r="E166" s="322">
        <f t="shared" si="19"/>
        <v>0</v>
      </c>
      <c r="G166" s="325">
        <f t="shared" si="21"/>
        <v>3.0000000000000001E-3</v>
      </c>
      <c r="H166" s="322">
        <f t="shared" si="20"/>
        <v>0</v>
      </c>
    </row>
    <row r="167" spans="1:8" ht="15" x14ac:dyDescent="0.2">
      <c r="A167" s="320">
        <f t="shared" si="15"/>
        <v>41554</v>
      </c>
      <c r="C167" s="321">
        <f t="shared" si="17"/>
        <v>0</v>
      </c>
      <c r="D167" s="321">
        <f t="shared" si="18"/>
        <v>0</v>
      </c>
      <c r="E167" s="322">
        <f t="shared" si="19"/>
        <v>0</v>
      </c>
      <c r="G167" s="325">
        <f t="shared" si="21"/>
        <v>3.0000000000000001E-3</v>
      </c>
      <c r="H167" s="322">
        <f t="shared" si="20"/>
        <v>0</v>
      </c>
    </row>
    <row r="168" spans="1:8" ht="15" x14ac:dyDescent="0.2">
      <c r="A168" s="320">
        <f t="shared" si="15"/>
        <v>41555</v>
      </c>
      <c r="C168" s="321">
        <f t="shared" si="17"/>
        <v>0</v>
      </c>
      <c r="D168" s="321">
        <f t="shared" si="18"/>
        <v>0</v>
      </c>
      <c r="E168" s="322">
        <f t="shared" si="19"/>
        <v>0</v>
      </c>
      <c r="G168" s="325">
        <f t="shared" si="21"/>
        <v>3.0000000000000001E-3</v>
      </c>
      <c r="H168" s="322">
        <f t="shared" si="20"/>
        <v>0</v>
      </c>
    </row>
    <row r="169" spans="1:8" ht="15" x14ac:dyDescent="0.2">
      <c r="A169" s="320">
        <f t="shared" si="15"/>
        <v>41556</v>
      </c>
      <c r="C169" s="321">
        <f t="shared" si="17"/>
        <v>0</v>
      </c>
      <c r="D169" s="321">
        <f t="shared" si="18"/>
        <v>0</v>
      </c>
      <c r="E169" s="322">
        <f t="shared" si="19"/>
        <v>0</v>
      </c>
      <c r="G169" s="325">
        <f t="shared" si="21"/>
        <v>3.0000000000000001E-3</v>
      </c>
      <c r="H169" s="322">
        <f t="shared" si="20"/>
        <v>0</v>
      </c>
    </row>
    <row r="170" spans="1:8" ht="15" x14ac:dyDescent="0.2">
      <c r="A170" s="320">
        <f t="shared" si="15"/>
        <v>41557</v>
      </c>
      <c r="C170" s="321">
        <f t="shared" si="17"/>
        <v>0</v>
      </c>
      <c r="D170" s="321">
        <f t="shared" si="18"/>
        <v>0</v>
      </c>
      <c r="E170" s="322">
        <f t="shared" si="19"/>
        <v>0</v>
      </c>
      <c r="G170" s="325">
        <f t="shared" si="21"/>
        <v>3.0000000000000001E-3</v>
      </c>
      <c r="H170" s="322">
        <f t="shared" si="20"/>
        <v>0</v>
      </c>
    </row>
    <row r="171" spans="1:8" ht="15" x14ac:dyDescent="0.2">
      <c r="A171" s="320">
        <f t="shared" si="15"/>
        <v>41558</v>
      </c>
      <c r="C171" s="321">
        <f t="shared" si="17"/>
        <v>0</v>
      </c>
      <c r="D171" s="321">
        <f t="shared" si="18"/>
        <v>0</v>
      </c>
      <c r="E171" s="322">
        <f t="shared" si="19"/>
        <v>0</v>
      </c>
      <c r="G171" s="325">
        <f t="shared" si="21"/>
        <v>3.0000000000000001E-3</v>
      </c>
      <c r="H171" s="322">
        <f t="shared" si="20"/>
        <v>0</v>
      </c>
    </row>
    <row r="172" spans="1:8" ht="15" x14ac:dyDescent="0.2">
      <c r="A172" s="320">
        <f t="shared" si="15"/>
        <v>41559</v>
      </c>
      <c r="C172" s="321">
        <f t="shared" si="17"/>
        <v>0</v>
      </c>
      <c r="D172" s="321">
        <f t="shared" si="18"/>
        <v>0</v>
      </c>
      <c r="E172" s="322">
        <f t="shared" si="19"/>
        <v>0</v>
      </c>
      <c r="G172" s="325">
        <f t="shared" si="21"/>
        <v>3.0000000000000001E-3</v>
      </c>
      <c r="H172" s="322">
        <f t="shared" si="20"/>
        <v>0</v>
      </c>
    </row>
    <row r="173" spans="1:8" ht="15" x14ac:dyDescent="0.2">
      <c r="A173" s="320">
        <f t="shared" si="15"/>
        <v>41560</v>
      </c>
      <c r="C173" s="321">
        <f t="shared" si="17"/>
        <v>0</v>
      </c>
      <c r="D173" s="321">
        <f t="shared" si="18"/>
        <v>0</v>
      </c>
      <c r="E173" s="322">
        <f t="shared" si="19"/>
        <v>0</v>
      </c>
      <c r="G173" s="325">
        <f t="shared" si="21"/>
        <v>3.0000000000000001E-3</v>
      </c>
      <c r="H173" s="322">
        <f t="shared" si="20"/>
        <v>0</v>
      </c>
    </row>
    <row r="174" spans="1:8" ht="15" x14ac:dyDescent="0.2">
      <c r="A174" s="320">
        <f t="shared" si="15"/>
        <v>41561</v>
      </c>
      <c r="C174" s="321">
        <f t="shared" si="17"/>
        <v>0</v>
      </c>
      <c r="D174" s="321">
        <f t="shared" si="18"/>
        <v>0</v>
      </c>
      <c r="E174" s="322">
        <f t="shared" si="19"/>
        <v>0</v>
      </c>
      <c r="G174" s="325">
        <f t="shared" si="21"/>
        <v>3.0000000000000001E-3</v>
      </c>
      <c r="H174" s="322">
        <f t="shared" si="20"/>
        <v>0</v>
      </c>
    </row>
    <row r="175" spans="1:8" ht="15" x14ac:dyDescent="0.2">
      <c r="A175" s="320">
        <f t="shared" si="15"/>
        <v>41562</v>
      </c>
      <c r="C175" s="321">
        <f t="shared" si="17"/>
        <v>0</v>
      </c>
      <c r="D175" s="321">
        <f t="shared" si="18"/>
        <v>0</v>
      </c>
      <c r="E175" s="322">
        <f t="shared" si="19"/>
        <v>0</v>
      </c>
      <c r="G175" s="325">
        <f t="shared" si="21"/>
        <v>3.0000000000000001E-3</v>
      </c>
      <c r="H175" s="322">
        <f t="shared" si="20"/>
        <v>0</v>
      </c>
    </row>
    <row r="176" spans="1:8" ht="15" x14ac:dyDescent="0.2">
      <c r="A176" s="320">
        <f t="shared" si="15"/>
        <v>41563</v>
      </c>
      <c r="C176" s="321">
        <f t="shared" si="17"/>
        <v>0</v>
      </c>
      <c r="D176" s="321">
        <f t="shared" si="18"/>
        <v>0</v>
      </c>
      <c r="E176" s="322">
        <f t="shared" si="19"/>
        <v>0</v>
      </c>
      <c r="G176" s="325">
        <f t="shared" si="21"/>
        <v>3.0000000000000001E-3</v>
      </c>
      <c r="H176" s="322">
        <f t="shared" si="20"/>
        <v>0</v>
      </c>
    </row>
    <row r="177" spans="1:14" ht="15" x14ac:dyDescent="0.2">
      <c r="A177" s="320">
        <f t="shared" si="15"/>
        <v>41564</v>
      </c>
      <c r="C177" s="321">
        <f t="shared" si="17"/>
        <v>0</v>
      </c>
      <c r="D177" s="321">
        <f t="shared" si="18"/>
        <v>0</v>
      </c>
      <c r="E177" s="322">
        <f t="shared" si="19"/>
        <v>0</v>
      </c>
      <c r="G177" s="325">
        <f t="shared" si="21"/>
        <v>3.0000000000000001E-3</v>
      </c>
      <c r="H177" s="322">
        <f t="shared" si="20"/>
        <v>0</v>
      </c>
    </row>
    <row r="178" spans="1:14" ht="15" x14ac:dyDescent="0.2">
      <c r="A178" s="320">
        <f t="shared" si="15"/>
        <v>41565</v>
      </c>
      <c r="C178" s="321">
        <f t="shared" si="17"/>
        <v>0</v>
      </c>
      <c r="D178" s="321">
        <f t="shared" si="18"/>
        <v>0</v>
      </c>
      <c r="E178" s="322">
        <f t="shared" si="19"/>
        <v>0</v>
      </c>
      <c r="G178" s="325">
        <f t="shared" si="21"/>
        <v>3.0000000000000001E-3</v>
      </c>
      <c r="H178" s="322">
        <f t="shared" si="20"/>
        <v>0</v>
      </c>
    </row>
    <row r="179" spans="1:14" ht="15" x14ac:dyDescent="0.2">
      <c r="A179" s="320">
        <f t="shared" si="15"/>
        <v>41566</v>
      </c>
      <c r="C179" s="321">
        <f t="shared" si="17"/>
        <v>0</v>
      </c>
      <c r="D179" s="321">
        <f t="shared" si="18"/>
        <v>0</v>
      </c>
      <c r="E179" s="322">
        <f t="shared" si="19"/>
        <v>0</v>
      </c>
      <c r="G179" s="325">
        <f t="shared" si="21"/>
        <v>3.0000000000000001E-3</v>
      </c>
      <c r="H179" s="322">
        <f t="shared" si="20"/>
        <v>0</v>
      </c>
    </row>
    <row r="180" spans="1:14" ht="15" x14ac:dyDescent="0.2">
      <c r="A180" s="320">
        <f t="shared" si="15"/>
        <v>41567</v>
      </c>
      <c r="C180" s="321">
        <f t="shared" si="17"/>
        <v>0</v>
      </c>
      <c r="D180" s="321">
        <f t="shared" si="18"/>
        <v>0</v>
      </c>
      <c r="E180" s="322">
        <f t="shared" si="19"/>
        <v>0</v>
      </c>
      <c r="G180" s="325">
        <f t="shared" si="21"/>
        <v>3.0000000000000001E-3</v>
      </c>
      <c r="H180" s="322">
        <f t="shared" si="20"/>
        <v>0</v>
      </c>
    </row>
    <row r="181" spans="1:14" ht="15" x14ac:dyDescent="0.2">
      <c r="A181" s="320">
        <f t="shared" si="15"/>
        <v>41568</v>
      </c>
      <c r="C181" s="321">
        <f t="shared" si="17"/>
        <v>0</v>
      </c>
      <c r="D181" s="321">
        <f t="shared" si="18"/>
        <v>0</v>
      </c>
      <c r="E181" s="322">
        <f t="shared" si="19"/>
        <v>0</v>
      </c>
      <c r="G181" s="325">
        <f t="shared" si="21"/>
        <v>3.0000000000000001E-3</v>
      </c>
      <c r="H181" s="322">
        <f t="shared" si="20"/>
        <v>0</v>
      </c>
    </row>
    <row r="182" spans="1:14" ht="15" x14ac:dyDescent="0.2">
      <c r="A182" s="320">
        <f t="shared" si="15"/>
        <v>41569</v>
      </c>
      <c r="C182" s="321">
        <f t="shared" si="17"/>
        <v>0</v>
      </c>
      <c r="D182" s="321">
        <f t="shared" si="18"/>
        <v>0</v>
      </c>
      <c r="E182" s="322">
        <f t="shared" si="19"/>
        <v>0</v>
      </c>
      <c r="G182" s="325">
        <f t="shared" si="21"/>
        <v>3.0000000000000001E-3</v>
      </c>
      <c r="H182" s="322">
        <f t="shared" si="20"/>
        <v>0</v>
      </c>
    </row>
    <row r="183" spans="1:14" ht="15" x14ac:dyDescent="0.2">
      <c r="A183" s="320">
        <f t="shared" si="15"/>
        <v>41570</v>
      </c>
      <c r="C183" s="321">
        <f t="shared" si="17"/>
        <v>0</v>
      </c>
      <c r="D183" s="321">
        <f t="shared" si="18"/>
        <v>0</v>
      </c>
      <c r="E183" s="322">
        <f t="shared" si="19"/>
        <v>0</v>
      </c>
      <c r="G183" s="325">
        <f t="shared" si="21"/>
        <v>3.0000000000000001E-3</v>
      </c>
      <c r="H183" s="322">
        <f t="shared" si="20"/>
        <v>0</v>
      </c>
    </row>
    <row r="184" spans="1:14" ht="15" x14ac:dyDescent="0.2">
      <c r="A184" s="320">
        <f t="shared" si="15"/>
        <v>41571</v>
      </c>
      <c r="C184" s="321">
        <f t="shared" si="17"/>
        <v>0</v>
      </c>
      <c r="D184" s="321">
        <f t="shared" si="18"/>
        <v>0</v>
      </c>
      <c r="E184" s="322">
        <f t="shared" si="19"/>
        <v>0</v>
      </c>
      <c r="G184" s="325">
        <f t="shared" si="21"/>
        <v>3.0000000000000001E-3</v>
      </c>
      <c r="H184" s="322">
        <f t="shared" si="20"/>
        <v>0</v>
      </c>
    </row>
    <row r="185" spans="1:14" ht="15" x14ac:dyDescent="0.2">
      <c r="A185" s="320">
        <f t="shared" si="15"/>
        <v>41572</v>
      </c>
      <c r="C185" s="321">
        <f t="shared" si="17"/>
        <v>0</v>
      </c>
      <c r="D185" s="321">
        <f t="shared" si="18"/>
        <v>0</v>
      </c>
      <c r="E185" s="322">
        <f t="shared" si="19"/>
        <v>0</v>
      </c>
      <c r="G185" s="325">
        <f t="shared" si="21"/>
        <v>3.0000000000000001E-3</v>
      </c>
      <c r="H185" s="322">
        <f t="shared" si="20"/>
        <v>0</v>
      </c>
    </row>
    <row r="186" spans="1:14" ht="15" x14ac:dyDescent="0.2">
      <c r="A186" s="320">
        <f t="shared" si="15"/>
        <v>41573</v>
      </c>
      <c r="C186" s="321">
        <f t="shared" si="17"/>
        <v>0</v>
      </c>
      <c r="D186" s="321">
        <f t="shared" si="18"/>
        <v>0</v>
      </c>
      <c r="E186" s="322">
        <f t="shared" si="19"/>
        <v>0</v>
      </c>
      <c r="G186" s="325">
        <f t="shared" si="21"/>
        <v>3.0000000000000001E-3</v>
      </c>
      <c r="H186" s="322">
        <f t="shared" si="20"/>
        <v>0</v>
      </c>
    </row>
    <row r="187" spans="1:14" ht="15" x14ac:dyDescent="0.2">
      <c r="A187" s="320">
        <f t="shared" si="15"/>
        <v>41574</v>
      </c>
      <c r="C187" s="321">
        <f t="shared" si="17"/>
        <v>0</v>
      </c>
      <c r="D187" s="321">
        <f t="shared" si="18"/>
        <v>0</v>
      </c>
      <c r="E187" s="322">
        <f t="shared" si="19"/>
        <v>0</v>
      </c>
      <c r="G187" s="325">
        <f t="shared" si="21"/>
        <v>3.0000000000000001E-3</v>
      </c>
      <c r="H187" s="322">
        <f t="shared" si="20"/>
        <v>0</v>
      </c>
    </row>
    <row r="188" spans="1:14" ht="15" x14ac:dyDescent="0.2">
      <c r="A188" s="320">
        <f t="shared" si="15"/>
        <v>41575</v>
      </c>
      <c r="C188" s="321">
        <f t="shared" si="17"/>
        <v>0</v>
      </c>
      <c r="D188" s="321">
        <f t="shared" si="18"/>
        <v>0</v>
      </c>
      <c r="E188" s="322">
        <f t="shared" si="19"/>
        <v>0</v>
      </c>
      <c r="G188" s="325">
        <f t="shared" si="21"/>
        <v>3.0000000000000001E-3</v>
      </c>
      <c r="H188" s="322">
        <f t="shared" si="20"/>
        <v>0</v>
      </c>
    </row>
    <row r="189" spans="1:14" ht="15" x14ac:dyDescent="0.2">
      <c r="A189" s="320">
        <f t="shared" si="15"/>
        <v>41576</v>
      </c>
      <c r="C189" s="321">
        <f t="shared" si="17"/>
        <v>0</v>
      </c>
      <c r="D189" s="321">
        <f t="shared" si="18"/>
        <v>0</v>
      </c>
      <c r="E189" s="322">
        <f t="shared" si="19"/>
        <v>0</v>
      </c>
      <c r="G189" s="325">
        <f t="shared" si="21"/>
        <v>3.0000000000000001E-3</v>
      </c>
      <c r="H189" s="322">
        <f t="shared" si="20"/>
        <v>0</v>
      </c>
    </row>
    <row r="190" spans="1:14" ht="15" x14ac:dyDescent="0.2">
      <c r="A190" s="320">
        <f t="shared" si="15"/>
        <v>41577</v>
      </c>
      <c r="C190" s="321">
        <f t="shared" si="17"/>
        <v>0</v>
      </c>
      <c r="D190" s="321">
        <f t="shared" si="18"/>
        <v>0</v>
      </c>
      <c r="E190" s="322">
        <f t="shared" si="19"/>
        <v>0</v>
      </c>
      <c r="G190" s="325">
        <f t="shared" si="21"/>
        <v>3.0000000000000001E-3</v>
      </c>
      <c r="H190" s="322">
        <f t="shared" si="20"/>
        <v>0</v>
      </c>
    </row>
    <row r="191" spans="1:14" ht="15" x14ac:dyDescent="0.2">
      <c r="A191" s="320">
        <f t="shared" si="15"/>
        <v>41578</v>
      </c>
      <c r="C191" s="321">
        <f t="shared" si="17"/>
        <v>0</v>
      </c>
      <c r="D191" s="321">
        <f t="shared" si="18"/>
        <v>0</v>
      </c>
      <c r="E191" s="322">
        <f t="shared" si="19"/>
        <v>0</v>
      </c>
      <c r="G191" s="325">
        <f t="shared" si="21"/>
        <v>3.0000000000000001E-3</v>
      </c>
      <c r="H191" s="322">
        <f t="shared" si="20"/>
        <v>0</v>
      </c>
      <c r="I191" s="302">
        <f>SUM(H161:H191)</f>
        <v>0</v>
      </c>
      <c r="J191" s="303">
        <v>0</v>
      </c>
      <c r="K191" s="303">
        <f>AVERAGE(H161:H191)</f>
        <v>0</v>
      </c>
      <c r="L191" s="303">
        <f>AVERAGE(H8:H191)</f>
        <v>0</v>
      </c>
      <c r="M191" s="303">
        <f>AVERAGE(E161:E191)</f>
        <v>0</v>
      </c>
      <c r="N191" s="303">
        <f>AVERAGE(E8:E191)</f>
        <v>0</v>
      </c>
    </row>
  </sheetData>
  <mergeCells count="1">
    <mergeCell ref="C4:D4"/>
  </mergeCells>
  <pageMargins left="1" right="0.25" top="0.5" bottom="0.75" header="0.5" footer="0.25"/>
  <pageSetup scale="1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9"/>
  <dimension ref="A1"/>
  <sheetViews>
    <sheetView topLeftCell="A25" workbookViewId="0">
      <selection activeCell="B71" sqref="B71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11" shapeId="1251331" r:id="rId4">
          <objectPr defaultSize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9</xdr:col>
                <xdr:colOff>342900</xdr:colOff>
                <xdr:row>60</xdr:row>
                <xdr:rowOff>95250</xdr:rowOff>
              </to>
            </anchor>
          </objectPr>
        </oleObject>
      </mc:Choice>
      <mc:Fallback>
        <oleObject progId="AcroExch.Document.11" shapeId="125133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6">
    <pageSetUpPr fitToPage="1"/>
  </sheetPr>
  <dimension ref="A3:AL85"/>
  <sheetViews>
    <sheetView topLeftCell="A64" zoomScaleNormal="100" workbookViewId="0">
      <selection activeCell="N34" sqref="N34"/>
    </sheetView>
  </sheetViews>
  <sheetFormatPr defaultRowHeight="12.75" x14ac:dyDescent="0.2"/>
  <cols>
    <col min="1" max="1" width="22.85546875" customWidth="1"/>
    <col min="2" max="2" width="15.28515625" customWidth="1"/>
    <col min="3" max="3" width="6.28515625" customWidth="1"/>
    <col min="5" max="5" width="4.28515625" customWidth="1"/>
    <col min="6" max="6" width="11.28515625" customWidth="1"/>
    <col min="7" max="7" width="3.28515625" customWidth="1"/>
    <col min="8" max="8" width="9.7109375" customWidth="1"/>
    <col min="9" max="11" width="9.140625" hidden="1" customWidth="1"/>
    <col min="12" max="12" width="22.5703125" bestFit="1" customWidth="1"/>
    <col min="13" max="13" width="32.28515625" customWidth="1"/>
    <col min="14" max="14" width="21.28515625" customWidth="1"/>
    <col min="15" max="15" width="18.7109375" customWidth="1"/>
    <col min="17" max="17" width="26.7109375" customWidth="1"/>
    <col min="18" max="18" width="13.140625" customWidth="1"/>
    <col min="20" max="20" width="24.140625" customWidth="1"/>
    <col min="21" max="22" width="18.42578125" customWidth="1"/>
    <col min="23" max="23" width="23.85546875" customWidth="1"/>
    <col min="24" max="24" width="23.28515625" customWidth="1"/>
    <col min="25" max="25" width="22.7109375" customWidth="1"/>
    <col min="26" max="26" width="22.85546875" customWidth="1"/>
    <col min="27" max="27" width="22.5703125" customWidth="1"/>
    <col min="28" max="28" width="23.42578125" customWidth="1"/>
    <col min="29" max="31" width="22.140625" customWidth="1"/>
    <col min="32" max="32" width="22.7109375" customWidth="1"/>
    <col min="33" max="33" width="22.85546875" customWidth="1"/>
    <col min="34" max="34" width="22.5703125" customWidth="1"/>
    <col min="35" max="35" width="23.42578125" customWidth="1"/>
    <col min="36" max="38" width="22.140625" customWidth="1"/>
    <col min="257" max="257" width="22.85546875" customWidth="1"/>
    <col min="258" max="258" width="15.28515625" customWidth="1"/>
    <col min="259" max="259" width="6.28515625" customWidth="1"/>
    <col min="261" max="261" width="4.28515625" customWidth="1"/>
    <col min="262" max="262" width="11.28515625" customWidth="1"/>
    <col min="263" max="263" width="3.28515625" customWidth="1"/>
    <col min="264" max="264" width="9.7109375" customWidth="1"/>
    <col min="265" max="267" width="0" hidden="1" customWidth="1"/>
    <col min="268" max="268" width="22.5703125" bestFit="1" customWidth="1"/>
    <col min="269" max="269" width="32.28515625" customWidth="1"/>
    <col min="270" max="270" width="21.28515625" customWidth="1"/>
    <col min="271" max="271" width="18.7109375" customWidth="1"/>
    <col min="273" max="273" width="26.7109375" customWidth="1"/>
    <col min="274" max="274" width="13.140625" customWidth="1"/>
    <col min="276" max="276" width="24.140625" customWidth="1"/>
    <col min="277" max="278" width="18.42578125" customWidth="1"/>
    <col min="279" max="279" width="23.85546875" customWidth="1"/>
    <col min="280" max="280" width="23.28515625" customWidth="1"/>
    <col min="281" max="281" width="22.7109375" customWidth="1"/>
    <col min="282" max="282" width="22.85546875" customWidth="1"/>
    <col min="283" max="283" width="22.5703125" customWidth="1"/>
    <col min="284" max="284" width="23.42578125" customWidth="1"/>
    <col min="285" max="287" width="22.140625" customWidth="1"/>
    <col min="288" max="288" width="22.7109375" customWidth="1"/>
    <col min="289" max="289" width="22.85546875" customWidth="1"/>
    <col min="290" max="290" width="22.5703125" customWidth="1"/>
    <col min="291" max="291" width="23.42578125" customWidth="1"/>
    <col min="292" max="294" width="22.140625" customWidth="1"/>
    <col min="513" max="513" width="22.85546875" customWidth="1"/>
    <col min="514" max="514" width="15.28515625" customWidth="1"/>
    <col min="515" max="515" width="6.28515625" customWidth="1"/>
    <col min="517" max="517" width="4.28515625" customWidth="1"/>
    <col min="518" max="518" width="11.28515625" customWidth="1"/>
    <col min="519" max="519" width="3.28515625" customWidth="1"/>
    <col min="520" max="520" width="9.7109375" customWidth="1"/>
    <col min="521" max="523" width="0" hidden="1" customWidth="1"/>
    <col min="524" max="524" width="22.5703125" bestFit="1" customWidth="1"/>
    <col min="525" max="525" width="32.28515625" customWidth="1"/>
    <col min="526" max="526" width="21.28515625" customWidth="1"/>
    <col min="527" max="527" width="18.7109375" customWidth="1"/>
    <col min="529" max="529" width="26.7109375" customWidth="1"/>
    <col min="530" max="530" width="13.140625" customWidth="1"/>
    <col min="532" max="532" width="24.140625" customWidth="1"/>
    <col min="533" max="534" width="18.42578125" customWidth="1"/>
    <col min="535" max="535" width="23.85546875" customWidth="1"/>
    <col min="536" max="536" width="23.28515625" customWidth="1"/>
    <col min="537" max="537" width="22.7109375" customWidth="1"/>
    <col min="538" max="538" width="22.85546875" customWidth="1"/>
    <col min="539" max="539" width="22.5703125" customWidth="1"/>
    <col min="540" max="540" width="23.42578125" customWidth="1"/>
    <col min="541" max="543" width="22.140625" customWidth="1"/>
    <col min="544" max="544" width="22.7109375" customWidth="1"/>
    <col min="545" max="545" width="22.85546875" customWidth="1"/>
    <col min="546" max="546" width="22.5703125" customWidth="1"/>
    <col min="547" max="547" width="23.42578125" customWidth="1"/>
    <col min="548" max="550" width="22.140625" customWidth="1"/>
    <col min="769" max="769" width="22.85546875" customWidth="1"/>
    <col min="770" max="770" width="15.28515625" customWidth="1"/>
    <col min="771" max="771" width="6.28515625" customWidth="1"/>
    <col min="773" max="773" width="4.28515625" customWidth="1"/>
    <col min="774" max="774" width="11.28515625" customWidth="1"/>
    <col min="775" max="775" width="3.28515625" customWidth="1"/>
    <col min="776" max="776" width="9.7109375" customWidth="1"/>
    <col min="777" max="779" width="0" hidden="1" customWidth="1"/>
    <col min="780" max="780" width="22.5703125" bestFit="1" customWidth="1"/>
    <col min="781" max="781" width="32.28515625" customWidth="1"/>
    <col min="782" max="782" width="21.28515625" customWidth="1"/>
    <col min="783" max="783" width="18.7109375" customWidth="1"/>
    <col min="785" max="785" width="26.7109375" customWidth="1"/>
    <col min="786" max="786" width="13.140625" customWidth="1"/>
    <col min="788" max="788" width="24.140625" customWidth="1"/>
    <col min="789" max="790" width="18.42578125" customWidth="1"/>
    <col min="791" max="791" width="23.85546875" customWidth="1"/>
    <col min="792" max="792" width="23.28515625" customWidth="1"/>
    <col min="793" max="793" width="22.7109375" customWidth="1"/>
    <col min="794" max="794" width="22.85546875" customWidth="1"/>
    <col min="795" max="795" width="22.5703125" customWidth="1"/>
    <col min="796" max="796" width="23.42578125" customWidth="1"/>
    <col min="797" max="799" width="22.140625" customWidth="1"/>
    <col min="800" max="800" width="22.7109375" customWidth="1"/>
    <col min="801" max="801" width="22.85546875" customWidth="1"/>
    <col min="802" max="802" width="22.5703125" customWidth="1"/>
    <col min="803" max="803" width="23.42578125" customWidth="1"/>
    <col min="804" max="806" width="22.140625" customWidth="1"/>
    <col min="1025" max="1025" width="22.85546875" customWidth="1"/>
    <col min="1026" max="1026" width="15.28515625" customWidth="1"/>
    <col min="1027" max="1027" width="6.28515625" customWidth="1"/>
    <col min="1029" max="1029" width="4.28515625" customWidth="1"/>
    <col min="1030" max="1030" width="11.28515625" customWidth="1"/>
    <col min="1031" max="1031" width="3.28515625" customWidth="1"/>
    <col min="1032" max="1032" width="9.7109375" customWidth="1"/>
    <col min="1033" max="1035" width="0" hidden="1" customWidth="1"/>
    <col min="1036" max="1036" width="22.5703125" bestFit="1" customWidth="1"/>
    <col min="1037" max="1037" width="32.28515625" customWidth="1"/>
    <col min="1038" max="1038" width="21.28515625" customWidth="1"/>
    <col min="1039" max="1039" width="18.7109375" customWidth="1"/>
    <col min="1041" max="1041" width="26.7109375" customWidth="1"/>
    <col min="1042" max="1042" width="13.140625" customWidth="1"/>
    <col min="1044" max="1044" width="24.140625" customWidth="1"/>
    <col min="1045" max="1046" width="18.42578125" customWidth="1"/>
    <col min="1047" max="1047" width="23.85546875" customWidth="1"/>
    <col min="1048" max="1048" width="23.28515625" customWidth="1"/>
    <col min="1049" max="1049" width="22.7109375" customWidth="1"/>
    <col min="1050" max="1050" width="22.85546875" customWidth="1"/>
    <col min="1051" max="1051" width="22.5703125" customWidth="1"/>
    <col min="1052" max="1052" width="23.42578125" customWidth="1"/>
    <col min="1053" max="1055" width="22.140625" customWidth="1"/>
    <col min="1056" max="1056" width="22.7109375" customWidth="1"/>
    <col min="1057" max="1057" width="22.85546875" customWidth="1"/>
    <col min="1058" max="1058" width="22.5703125" customWidth="1"/>
    <col min="1059" max="1059" width="23.42578125" customWidth="1"/>
    <col min="1060" max="1062" width="22.140625" customWidth="1"/>
    <col min="1281" max="1281" width="22.85546875" customWidth="1"/>
    <col min="1282" max="1282" width="15.28515625" customWidth="1"/>
    <col min="1283" max="1283" width="6.28515625" customWidth="1"/>
    <col min="1285" max="1285" width="4.28515625" customWidth="1"/>
    <col min="1286" max="1286" width="11.28515625" customWidth="1"/>
    <col min="1287" max="1287" width="3.28515625" customWidth="1"/>
    <col min="1288" max="1288" width="9.7109375" customWidth="1"/>
    <col min="1289" max="1291" width="0" hidden="1" customWidth="1"/>
    <col min="1292" max="1292" width="22.5703125" bestFit="1" customWidth="1"/>
    <col min="1293" max="1293" width="32.28515625" customWidth="1"/>
    <col min="1294" max="1294" width="21.28515625" customWidth="1"/>
    <col min="1295" max="1295" width="18.7109375" customWidth="1"/>
    <col min="1297" max="1297" width="26.7109375" customWidth="1"/>
    <col min="1298" max="1298" width="13.140625" customWidth="1"/>
    <col min="1300" max="1300" width="24.140625" customWidth="1"/>
    <col min="1301" max="1302" width="18.42578125" customWidth="1"/>
    <col min="1303" max="1303" width="23.85546875" customWidth="1"/>
    <col min="1304" max="1304" width="23.28515625" customWidth="1"/>
    <col min="1305" max="1305" width="22.7109375" customWidth="1"/>
    <col min="1306" max="1306" width="22.85546875" customWidth="1"/>
    <col min="1307" max="1307" width="22.5703125" customWidth="1"/>
    <col min="1308" max="1308" width="23.42578125" customWidth="1"/>
    <col min="1309" max="1311" width="22.140625" customWidth="1"/>
    <col min="1312" max="1312" width="22.7109375" customWidth="1"/>
    <col min="1313" max="1313" width="22.85546875" customWidth="1"/>
    <col min="1314" max="1314" width="22.5703125" customWidth="1"/>
    <col min="1315" max="1315" width="23.42578125" customWidth="1"/>
    <col min="1316" max="1318" width="22.140625" customWidth="1"/>
    <col min="1537" max="1537" width="22.85546875" customWidth="1"/>
    <col min="1538" max="1538" width="15.28515625" customWidth="1"/>
    <col min="1539" max="1539" width="6.28515625" customWidth="1"/>
    <col min="1541" max="1541" width="4.28515625" customWidth="1"/>
    <col min="1542" max="1542" width="11.28515625" customWidth="1"/>
    <col min="1543" max="1543" width="3.28515625" customWidth="1"/>
    <col min="1544" max="1544" width="9.7109375" customWidth="1"/>
    <col min="1545" max="1547" width="0" hidden="1" customWidth="1"/>
    <col min="1548" max="1548" width="22.5703125" bestFit="1" customWidth="1"/>
    <col min="1549" max="1549" width="32.28515625" customWidth="1"/>
    <col min="1550" max="1550" width="21.28515625" customWidth="1"/>
    <col min="1551" max="1551" width="18.7109375" customWidth="1"/>
    <col min="1553" max="1553" width="26.7109375" customWidth="1"/>
    <col min="1554" max="1554" width="13.140625" customWidth="1"/>
    <col min="1556" max="1556" width="24.140625" customWidth="1"/>
    <col min="1557" max="1558" width="18.42578125" customWidth="1"/>
    <col min="1559" max="1559" width="23.85546875" customWidth="1"/>
    <col min="1560" max="1560" width="23.28515625" customWidth="1"/>
    <col min="1561" max="1561" width="22.7109375" customWidth="1"/>
    <col min="1562" max="1562" width="22.85546875" customWidth="1"/>
    <col min="1563" max="1563" width="22.5703125" customWidth="1"/>
    <col min="1564" max="1564" width="23.42578125" customWidth="1"/>
    <col min="1565" max="1567" width="22.140625" customWidth="1"/>
    <col min="1568" max="1568" width="22.7109375" customWidth="1"/>
    <col min="1569" max="1569" width="22.85546875" customWidth="1"/>
    <col min="1570" max="1570" width="22.5703125" customWidth="1"/>
    <col min="1571" max="1571" width="23.42578125" customWidth="1"/>
    <col min="1572" max="1574" width="22.140625" customWidth="1"/>
    <col min="1793" max="1793" width="22.85546875" customWidth="1"/>
    <col min="1794" max="1794" width="15.28515625" customWidth="1"/>
    <col min="1795" max="1795" width="6.28515625" customWidth="1"/>
    <col min="1797" max="1797" width="4.28515625" customWidth="1"/>
    <col min="1798" max="1798" width="11.28515625" customWidth="1"/>
    <col min="1799" max="1799" width="3.28515625" customWidth="1"/>
    <col min="1800" max="1800" width="9.7109375" customWidth="1"/>
    <col min="1801" max="1803" width="0" hidden="1" customWidth="1"/>
    <col min="1804" max="1804" width="22.5703125" bestFit="1" customWidth="1"/>
    <col min="1805" max="1805" width="32.28515625" customWidth="1"/>
    <col min="1806" max="1806" width="21.28515625" customWidth="1"/>
    <col min="1807" max="1807" width="18.7109375" customWidth="1"/>
    <col min="1809" max="1809" width="26.7109375" customWidth="1"/>
    <col min="1810" max="1810" width="13.140625" customWidth="1"/>
    <col min="1812" max="1812" width="24.140625" customWidth="1"/>
    <col min="1813" max="1814" width="18.42578125" customWidth="1"/>
    <col min="1815" max="1815" width="23.85546875" customWidth="1"/>
    <col min="1816" max="1816" width="23.28515625" customWidth="1"/>
    <col min="1817" max="1817" width="22.7109375" customWidth="1"/>
    <col min="1818" max="1818" width="22.85546875" customWidth="1"/>
    <col min="1819" max="1819" width="22.5703125" customWidth="1"/>
    <col min="1820" max="1820" width="23.42578125" customWidth="1"/>
    <col min="1821" max="1823" width="22.140625" customWidth="1"/>
    <col min="1824" max="1824" width="22.7109375" customWidth="1"/>
    <col min="1825" max="1825" width="22.85546875" customWidth="1"/>
    <col min="1826" max="1826" width="22.5703125" customWidth="1"/>
    <col min="1827" max="1827" width="23.42578125" customWidth="1"/>
    <col min="1828" max="1830" width="22.140625" customWidth="1"/>
    <col min="2049" max="2049" width="22.85546875" customWidth="1"/>
    <col min="2050" max="2050" width="15.28515625" customWidth="1"/>
    <col min="2051" max="2051" width="6.28515625" customWidth="1"/>
    <col min="2053" max="2053" width="4.28515625" customWidth="1"/>
    <col min="2054" max="2054" width="11.28515625" customWidth="1"/>
    <col min="2055" max="2055" width="3.28515625" customWidth="1"/>
    <col min="2056" max="2056" width="9.7109375" customWidth="1"/>
    <col min="2057" max="2059" width="0" hidden="1" customWidth="1"/>
    <col min="2060" max="2060" width="22.5703125" bestFit="1" customWidth="1"/>
    <col min="2061" max="2061" width="32.28515625" customWidth="1"/>
    <col min="2062" max="2062" width="21.28515625" customWidth="1"/>
    <col min="2063" max="2063" width="18.7109375" customWidth="1"/>
    <col min="2065" max="2065" width="26.7109375" customWidth="1"/>
    <col min="2066" max="2066" width="13.140625" customWidth="1"/>
    <col min="2068" max="2068" width="24.140625" customWidth="1"/>
    <col min="2069" max="2070" width="18.42578125" customWidth="1"/>
    <col min="2071" max="2071" width="23.85546875" customWidth="1"/>
    <col min="2072" max="2072" width="23.28515625" customWidth="1"/>
    <col min="2073" max="2073" width="22.7109375" customWidth="1"/>
    <col min="2074" max="2074" width="22.85546875" customWidth="1"/>
    <col min="2075" max="2075" width="22.5703125" customWidth="1"/>
    <col min="2076" max="2076" width="23.42578125" customWidth="1"/>
    <col min="2077" max="2079" width="22.140625" customWidth="1"/>
    <col min="2080" max="2080" width="22.7109375" customWidth="1"/>
    <col min="2081" max="2081" width="22.85546875" customWidth="1"/>
    <col min="2082" max="2082" width="22.5703125" customWidth="1"/>
    <col min="2083" max="2083" width="23.42578125" customWidth="1"/>
    <col min="2084" max="2086" width="22.140625" customWidth="1"/>
    <col min="2305" max="2305" width="22.85546875" customWidth="1"/>
    <col min="2306" max="2306" width="15.28515625" customWidth="1"/>
    <col min="2307" max="2307" width="6.28515625" customWidth="1"/>
    <col min="2309" max="2309" width="4.28515625" customWidth="1"/>
    <col min="2310" max="2310" width="11.28515625" customWidth="1"/>
    <col min="2311" max="2311" width="3.28515625" customWidth="1"/>
    <col min="2312" max="2312" width="9.7109375" customWidth="1"/>
    <col min="2313" max="2315" width="0" hidden="1" customWidth="1"/>
    <col min="2316" max="2316" width="22.5703125" bestFit="1" customWidth="1"/>
    <col min="2317" max="2317" width="32.28515625" customWidth="1"/>
    <col min="2318" max="2318" width="21.28515625" customWidth="1"/>
    <col min="2319" max="2319" width="18.7109375" customWidth="1"/>
    <col min="2321" max="2321" width="26.7109375" customWidth="1"/>
    <col min="2322" max="2322" width="13.140625" customWidth="1"/>
    <col min="2324" max="2324" width="24.140625" customWidth="1"/>
    <col min="2325" max="2326" width="18.42578125" customWidth="1"/>
    <col min="2327" max="2327" width="23.85546875" customWidth="1"/>
    <col min="2328" max="2328" width="23.28515625" customWidth="1"/>
    <col min="2329" max="2329" width="22.7109375" customWidth="1"/>
    <col min="2330" max="2330" width="22.85546875" customWidth="1"/>
    <col min="2331" max="2331" width="22.5703125" customWidth="1"/>
    <col min="2332" max="2332" width="23.42578125" customWidth="1"/>
    <col min="2333" max="2335" width="22.140625" customWidth="1"/>
    <col min="2336" max="2336" width="22.7109375" customWidth="1"/>
    <col min="2337" max="2337" width="22.85546875" customWidth="1"/>
    <col min="2338" max="2338" width="22.5703125" customWidth="1"/>
    <col min="2339" max="2339" width="23.42578125" customWidth="1"/>
    <col min="2340" max="2342" width="22.140625" customWidth="1"/>
    <col min="2561" max="2561" width="22.85546875" customWidth="1"/>
    <col min="2562" max="2562" width="15.28515625" customWidth="1"/>
    <col min="2563" max="2563" width="6.28515625" customWidth="1"/>
    <col min="2565" max="2565" width="4.28515625" customWidth="1"/>
    <col min="2566" max="2566" width="11.28515625" customWidth="1"/>
    <col min="2567" max="2567" width="3.28515625" customWidth="1"/>
    <col min="2568" max="2568" width="9.7109375" customWidth="1"/>
    <col min="2569" max="2571" width="0" hidden="1" customWidth="1"/>
    <col min="2572" max="2572" width="22.5703125" bestFit="1" customWidth="1"/>
    <col min="2573" max="2573" width="32.28515625" customWidth="1"/>
    <col min="2574" max="2574" width="21.28515625" customWidth="1"/>
    <col min="2575" max="2575" width="18.7109375" customWidth="1"/>
    <col min="2577" max="2577" width="26.7109375" customWidth="1"/>
    <col min="2578" max="2578" width="13.140625" customWidth="1"/>
    <col min="2580" max="2580" width="24.140625" customWidth="1"/>
    <col min="2581" max="2582" width="18.42578125" customWidth="1"/>
    <col min="2583" max="2583" width="23.85546875" customWidth="1"/>
    <col min="2584" max="2584" width="23.28515625" customWidth="1"/>
    <col min="2585" max="2585" width="22.7109375" customWidth="1"/>
    <col min="2586" max="2586" width="22.85546875" customWidth="1"/>
    <col min="2587" max="2587" width="22.5703125" customWidth="1"/>
    <col min="2588" max="2588" width="23.42578125" customWidth="1"/>
    <col min="2589" max="2591" width="22.140625" customWidth="1"/>
    <col min="2592" max="2592" width="22.7109375" customWidth="1"/>
    <col min="2593" max="2593" width="22.85546875" customWidth="1"/>
    <col min="2594" max="2594" width="22.5703125" customWidth="1"/>
    <col min="2595" max="2595" width="23.42578125" customWidth="1"/>
    <col min="2596" max="2598" width="22.140625" customWidth="1"/>
    <col min="2817" max="2817" width="22.85546875" customWidth="1"/>
    <col min="2818" max="2818" width="15.28515625" customWidth="1"/>
    <col min="2819" max="2819" width="6.28515625" customWidth="1"/>
    <col min="2821" max="2821" width="4.28515625" customWidth="1"/>
    <col min="2822" max="2822" width="11.28515625" customWidth="1"/>
    <col min="2823" max="2823" width="3.28515625" customWidth="1"/>
    <col min="2824" max="2824" width="9.7109375" customWidth="1"/>
    <col min="2825" max="2827" width="0" hidden="1" customWidth="1"/>
    <col min="2828" max="2828" width="22.5703125" bestFit="1" customWidth="1"/>
    <col min="2829" max="2829" width="32.28515625" customWidth="1"/>
    <col min="2830" max="2830" width="21.28515625" customWidth="1"/>
    <col min="2831" max="2831" width="18.7109375" customWidth="1"/>
    <col min="2833" max="2833" width="26.7109375" customWidth="1"/>
    <col min="2834" max="2834" width="13.140625" customWidth="1"/>
    <col min="2836" max="2836" width="24.140625" customWidth="1"/>
    <col min="2837" max="2838" width="18.42578125" customWidth="1"/>
    <col min="2839" max="2839" width="23.85546875" customWidth="1"/>
    <col min="2840" max="2840" width="23.28515625" customWidth="1"/>
    <col min="2841" max="2841" width="22.7109375" customWidth="1"/>
    <col min="2842" max="2842" width="22.85546875" customWidth="1"/>
    <col min="2843" max="2843" width="22.5703125" customWidth="1"/>
    <col min="2844" max="2844" width="23.42578125" customWidth="1"/>
    <col min="2845" max="2847" width="22.140625" customWidth="1"/>
    <col min="2848" max="2848" width="22.7109375" customWidth="1"/>
    <col min="2849" max="2849" width="22.85546875" customWidth="1"/>
    <col min="2850" max="2850" width="22.5703125" customWidth="1"/>
    <col min="2851" max="2851" width="23.42578125" customWidth="1"/>
    <col min="2852" max="2854" width="22.140625" customWidth="1"/>
    <col min="3073" max="3073" width="22.85546875" customWidth="1"/>
    <col min="3074" max="3074" width="15.28515625" customWidth="1"/>
    <col min="3075" max="3075" width="6.28515625" customWidth="1"/>
    <col min="3077" max="3077" width="4.28515625" customWidth="1"/>
    <col min="3078" max="3078" width="11.28515625" customWidth="1"/>
    <col min="3079" max="3079" width="3.28515625" customWidth="1"/>
    <col min="3080" max="3080" width="9.7109375" customWidth="1"/>
    <col min="3081" max="3083" width="0" hidden="1" customWidth="1"/>
    <col min="3084" max="3084" width="22.5703125" bestFit="1" customWidth="1"/>
    <col min="3085" max="3085" width="32.28515625" customWidth="1"/>
    <col min="3086" max="3086" width="21.28515625" customWidth="1"/>
    <col min="3087" max="3087" width="18.7109375" customWidth="1"/>
    <col min="3089" max="3089" width="26.7109375" customWidth="1"/>
    <col min="3090" max="3090" width="13.140625" customWidth="1"/>
    <col min="3092" max="3092" width="24.140625" customWidth="1"/>
    <col min="3093" max="3094" width="18.42578125" customWidth="1"/>
    <col min="3095" max="3095" width="23.85546875" customWidth="1"/>
    <col min="3096" max="3096" width="23.28515625" customWidth="1"/>
    <col min="3097" max="3097" width="22.7109375" customWidth="1"/>
    <col min="3098" max="3098" width="22.85546875" customWidth="1"/>
    <col min="3099" max="3099" width="22.5703125" customWidth="1"/>
    <col min="3100" max="3100" width="23.42578125" customWidth="1"/>
    <col min="3101" max="3103" width="22.140625" customWidth="1"/>
    <col min="3104" max="3104" width="22.7109375" customWidth="1"/>
    <col min="3105" max="3105" width="22.85546875" customWidth="1"/>
    <col min="3106" max="3106" width="22.5703125" customWidth="1"/>
    <col min="3107" max="3107" width="23.42578125" customWidth="1"/>
    <col min="3108" max="3110" width="22.140625" customWidth="1"/>
    <col min="3329" max="3329" width="22.85546875" customWidth="1"/>
    <col min="3330" max="3330" width="15.28515625" customWidth="1"/>
    <col min="3331" max="3331" width="6.28515625" customWidth="1"/>
    <col min="3333" max="3333" width="4.28515625" customWidth="1"/>
    <col min="3334" max="3334" width="11.28515625" customWidth="1"/>
    <col min="3335" max="3335" width="3.28515625" customWidth="1"/>
    <col min="3336" max="3336" width="9.7109375" customWidth="1"/>
    <col min="3337" max="3339" width="0" hidden="1" customWidth="1"/>
    <col min="3340" max="3340" width="22.5703125" bestFit="1" customWidth="1"/>
    <col min="3341" max="3341" width="32.28515625" customWidth="1"/>
    <col min="3342" max="3342" width="21.28515625" customWidth="1"/>
    <col min="3343" max="3343" width="18.7109375" customWidth="1"/>
    <col min="3345" max="3345" width="26.7109375" customWidth="1"/>
    <col min="3346" max="3346" width="13.140625" customWidth="1"/>
    <col min="3348" max="3348" width="24.140625" customWidth="1"/>
    <col min="3349" max="3350" width="18.42578125" customWidth="1"/>
    <col min="3351" max="3351" width="23.85546875" customWidth="1"/>
    <col min="3352" max="3352" width="23.28515625" customWidth="1"/>
    <col min="3353" max="3353" width="22.7109375" customWidth="1"/>
    <col min="3354" max="3354" width="22.85546875" customWidth="1"/>
    <col min="3355" max="3355" width="22.5703125" customWidth="1"/>
    <col min="3356" max="3356" width="23.42578125" customWidth="1"/>
    <col min="3357" max="3359" width="22.140625" customWidth="1"/>
    <col min="3360" max="3360" width="22.7109375" customWidth="1"/>
    <col min="3361" max="3361" width="22.85546875" customWidth="1"/>
    <col min="3362" max="3362" width="22.5703125" customWidth="1"/>
    <col min="3363" max="3363" width="23.42578125" customWidth="1"/>
    <col min="3364" max="3366" width="22.140625" customWidth="1"/>
    <col min="3585" max="3585" width="22.85546875" customWidth="1"/>
    <col min="3586" max="3586" width="15.28515625" customWidth="1"/>
    <col min="3587" max="3587" width="6.28515625" customWidth="1"/>
    <col min="3589" max="3589" width="4.28515625" customWidth="1"/>
    <col min="3590" max="3590" width="11.28515625" customWidth="1"/>
    <col min="3591" max="3591" width="3.28515625" customWidth="1"/>
    <col min="3592" max="3592" width="9.7109375" customWidth="1"/>
    <col min="3593" max="3595" width="0" hidden="1" customWidth="1"/>
    <col min="3596" max="3596" width="22.5703125" bestFit="1" customWidth="1"/>
    <col min="3597" max="3597" width="32.28515625" customWidth="1"/>
    <col min="3598" max="3598" width="21.28515625" customWidth="1"/>
    <col min="3599" max="3599" width="18.7109375" customWidth="1"/>
    <col min="3601" max="3601" width="26.7109375" customWidth="1"/>
    <col min="3602" max="3602" width="13.140625" customWidth="1"/>
    <col min="3604" max="3604" width="24.140625" customWidth="1"/>
    <col min="3605" max="3606" width="18.42578125" customWidth="1"/>
    <col min="3607" max="3607" width="23.85546875" customWidth="1"/>
    <col min="3608" max="3608" width="23.28515625" customWidth="1"/>
    <col min="3609" max="3609" width="22.7109375" customWidth="1"/>
    <col min="3610" max="3610" width="22.85546875" customWidth="1"/>
    <col min="3611" max="3611" width="22.5703125" customWidth="1"/>
    <col min="3612" max="3612" width="23.42578125" customWidth="1"/>
    <col min="3613" max="3615" width="22.140625" customWidth="1"/>
    <col min="3616" max="3616" width="22.7109375" customWidth="1"/>
    <col min="3617" max="3617" width="22.85546875" customWidth="1"/>
    <col min="3618" max="3618" width="22.5703125" customWidth="1"/>
    <col min="3619" max="3619" width="23.42578125" customWidth="1"/>
    <col min="3620" max="3622" width="22.140625" customWidth="1"/>
    <col min="3841" max="3841" width="22.85546875" customWidth="1"/>
    <col min="3842" max="3842" width="15.28515625" customWidth="1"/>
    <col min="3843" max="3843" width="6.28515625" customWidth="1"/>
    <col min="3845" max="3845" width="4.28515625" customWidth="1"/>
    <col min="3846" max="3846" width="11.28515625" customWidth="1"/>
    <col min="3847" max="3847" width="3.28515625" customWidth="1"/>
    <col min="3848" max="3848" width="9.7109375" customWidth="1"/>
    <col min="3849" max="3851" width="0" hidden="1" customWidth="1"/>
    <col min="3852" max="3852" width="22.5703125" bestFit="1" customWidth="1"/>
    <col min="3853" max="3853" width="32.28515625" customWidth="1"/>
    <col min="3854" max="3854" width="21.28515625" customWidth="1"/>
    <col min="3855" max="3855" width="18.7109375" customWidth="1"/>
    <col min="3857" max="3857" width="26.7109375" customWidth="1"/>
    <col min="3858" max="3858" width="13.140625" customWidth="1"/>
    <col min="3860" max="3860" width="24.140625" customWidth="1"/>
    <col min="3861" max="3862" width="18.42578125" customWidth="1"/>
    <col min="3863" max="3863" width="23.85546875" customWidth="1"/>
    <col min="3864" max="3864" width="23.28515625" customWidth="1"/>
    <col min="3865" max="3865" width="22.7109375" customWidth="1"/>
    <col min="3866" max="3866" width="22.85546875" customWidth="1"/>
    <col min="3867" max="3867" width="22.5703125" customWidth="1"/>
    <col min="3868" max="3868" width="23.42578125" customWidth="1"/>
    <col min="3869" max="3871" width="22.140625" customWidth="1"/>
    <col min="3872" max="3872" width="22.7109375" customWidth="1"/>
    <col min="3873" max="3873" width="22.85546875" customWidth="1"/>
    <col min="3874" max="3874" width="22.5703125" customWidth="1"/>
    <col min="3875" max="3875" width="23.42578125" customWidth="1"/>
    <col min="3876" max="3878" width="22.140625" customWidth="1"/>
    <col min="4097" max="4097" width="22.85546875" customWidth="1"/>
    <col min="4098" max="4098" width="15.28515625" customWidth="1"/>
    <col min="4099" max="4099" width="6.28515625" customWidth="1"/>
    <col min="4101" max="4101" width="4.28515625" customWidth="1"/>
    <col min="4102" max="4102" width="11.28515625" customWidth="1"/>
    <col min="4103" max="4103" width="3.28515625" customWidth="1"/>
    <col min="4104" max="4104" width="9.7109375" customWidth="1"/>
    <col min="4105" max="4107" width="0" hidden="1" customWidth="1"/>
    <col min="4108" max="4108" width="22.5703125" bestFit="1" customWidth="1"/>
    <col min="4109" max="4109" width="32.28515625" customWidth="1"/>
    <col min="4110" max="4110" width="21.28515625" customWidth="1"/>
    <col min="4111" max="4111" width="18.7109375" customWidth="1"/>
    <col min="4113" max="4113" width="26.7109375" customWidth="1"/>
    <col min="4114" max="4114" width="13.140625" customWidth="1"/>
    <col min="4116" max="4116" width="24.140625" customWidth="1"/>
    <col min="4117" max="4118" width="18.42578125" customWidth="1"/>
    <col min="4119" max="4119" width="23.85546875" customWidth="1"/>
    <col min="4120" max="4120" width="23.28515625" customWidth="1"/>
    <col min="4121" max="4121" width="22.7109375" customWidth="1"/>
    <col min="4122" max="4122" width="22.85546875" customWidth="1"/>
    <col min="4123" max="4123" width="22.5703125" customWidth="1"/>
    <col min="4124" max="4124" width="23.42578125" customWidth="1"/>
    <col min="4125" max="4127" width="22.140625" customWidth="1"/>
    <col min="4128" max="4128" width="22.7109375" customWidth="1"/>
    <col min="4129" max="4129" width="22.85546875" customWidth="1"/>
    <col min="4130" max="4130" width="22.5703125" customWidth="1"/>
    <col min="4131" max="4131" width="23.42578125" customWidth="1"/>
    <col min="4132" max="4134" width="22.140625" customWidth="1"/>
    <col min="4353" max="4353" width="22.85546875" customWidth="1"/>
    <col min="4354" max="4354" width="15.28515625" customWidth="1"/>
    <col min="4355" max="4355" width="6.28515625" customWidth="1"/>
    <col min="4357" max="4357" width="4.28515625" customWidth="1"/>
    <col min="4358" max="4358" width="11.28515625" customWidth="1"/>
    <col min="4359" max="4359" width="3.28515625" customWidth="1"/>
    <col min="4360" max="4360" width="9.7109375" customWidth="1"/>
    <col min="4361" max="4363" width="0" hidden="1" customWidth="1"/>
    <col min="4364" max="4364" width="22.5703125" bestFit="1" customWidth="1"/>
    <col min="4365" max="4365" width="32.28515625" customWidth="1"/>
    <col min="4366" max="4366" width="21.28515625" customWidth="1"/>
    <col min="4367" max="4367" width="18.7109375" customWidth="1"/>
    <col min="4369" max="4369" width="26.7109375" customWidth="1"/>
    <col min="4370" max="4370" width="13.140625" customWidth="1"/>
    <col min="4372" max="4372" width="24.140625" customWidth="1"/>
    <col min="4373" max="4374" width="18.42578125" customWidth="1"/>
    <col min="4375" max="4375" width="23.85546875" customWidth="1"/>
    <col min="4376" max="4376" width="23.28515625" customWidth="1"/>
    <col min="4377" max="4377" width="22.7109375" customWidth="1"/>
    <col min="4378" max="4378" width="22.85546875" customWidth="1"/>
    <col min="4379" max="4379" width="22.5703125" customWidth="1"/>
    <col min="4380" max="4380" width="23.42578125" customWidth="1"/>
    <col min="4381" max="4383" width="22.140625" customWidth="1"/>
    <col min="4384" max="4384" width="22.7109375" customWidth="1"/>
    <col min="4385" max="4385" width="22.85546875" customWidth="1"/>
    <col min="4386" max="4386" width="22.5703125" customWidth="1"/>
    <col min="4387" max="4387" width="23.42578125" customWidth="1"/>
    <col min="4388" max="4390" width="22.140625" customWidth="1"/>
    <col min="4609" max="4609" width="22.85546875" customWidth="1"/>
    <col min="4610" max="4610" width="15.28515625" customWidth="1"/>
    <col min="4611" max="4611" width="6.28515625" customWidth="1"/>
    <col min="4613" max="4613" width="4.28515625" customWidth="1"/>
    <col min="4614" max="4614" width="11.28515625" customWidth="1"/>
    <col min="4615" max="4615" width="3.28515625" customWidth="1"/>
    <col min="4616" max="4616" width="9.7109375" customWidth="1"/>
    <col min="4617" max="4619" width="0" hidden="1" customWidth="1"/>
    <col min="4620" max="4620" width="22.5703125" bestFit="1" customWidth="1"/>
    <col min="4621" max="4621" width="32.28515625" customWidth="1"/>
    <col min="4622" max="4622" width="21.28515625" customWidth="1"/>
    <col min="4623" max="4623" width="18.7109375" customWidth="1"/>
    <col min="4625" max="4625" width="26.7109375" customWidth="1"/>
    <col min="4626" max="4626" width="13.140625" customWidth="1"/>
    <col min="4628" max="4628" width="24.140625" customWidth="1"/>
    <col min="4629" max="4630" width="18.42578125" customWidth="1"/>
    <col min="4631" max="4631" width="23.85546875" customWidth="1"/>
    <col min="4632" max="4632" width="23.28515625" customWidth="1"/>
    <col min="4633" max="4633" width="22.7109375" customWidth="1"/>
    <col min="4634" max="4634" width="22.85546875" customWidth="1"/>
    <col min="4635" max="4635" width="22.5703125" customWidth="1"/>
    <col min="4636" max="4636" width="23.42578125" customWidth="1"/>
    <col min="4637" max="4639" width="22.140625" customWidth="1"/>
    <col min="4640" max="4640" width="22.7109375" customWidth="1"/>
    <col min="4641" max="4641" width="22.85546875" customWidth="1"/>
    <col min="4642" max="4642" width="22.5703125" customWidth="1"/>
    <col min="4643" max="4643" width="23.42578125" customWidth="1"/>
    <col min="4644" max="4646" width="22.140625" customWidth="1"/>
    <col min="4865" max="4865" width="22.85546875" customWidth="1"/>
    <col min="4866" max="4866" width="15.28515625" customWidth="1"/>
    <col min="4867" max="4867" width="6.28515625" customWidth="1"/>
    <col min="4869" max="4869" width="4.28515625" customWidth="1"/>
    <col min="4870" max="4870" width="11.28515625" customWidth="1"/>
    <col min="4871" max="4871" width="3.28515625" customWidth="1"/>
    <col min="4872" max="4872" width="9.7109375" customWidth="1"/>
    <col min="4873" max="4875" width="0" hidden="1" customWidth="1"/>
    <col min="4876" max="4876" width="22.5703125" bestFit="1" customWidth="1"/>
    <col min="4877" max="4877" width="32.28515625" customWidth="1"/>
    <col min="4878" max="4878" width="21.28515625" customWidth="1"/>
    <col min="4879" max="4879" width="18.7109375" customWidth="1"/>
    <col min="4881" max="4881" width="26.7109375" customWidth="1"/>
    <col min="4882" max="4882" width="13.140625" customWidth="1"/>
    <col min="4884" max="4884" width="24.140625" customWidth="1"/>
    <col min="4885" max="4886" width="18.42578125" customWidth="1"/>
    <col min="4887" max="4887" width="23.85546875" customWidth="1"/>
    <col min="4888" max="4888" width="23.28515625" customWidth="1"/>
    <col min="4889" max="4889" width="22.7109375" customWidth="1"/>
    <col min="4890" max="4890" width="22.85546875" customWidth="1"/>
    <col min="4891" max="4891" width="22.5703125" customWidth="1"/>
    <col min="4892" max="4892" width="23.42578125" customWidth="1"/>
    <col min="4893" max="4895" width="22.140625" customWidth="1"/>
    <col min="4896" max="4896" width="22.7109375" customWidth="1"/>
    <col min="4897" max="4897" width="22.85546875" customWidth="1"/>
    <col min="4898" max="4898" width="22.5703125" customWidth="1"/>
    <col min="4899" max="4899" width="23.42578125" customWidth="1"/>
    <col min="4900" max="4902" width="22.140625" customWidth="1"/>
    <col min="5121" max="5121" width="22.85546875" customWidth="1"/>
    <col min="5122" max="5122" width="15.28515625" customWidth="1"/>
    <col min="5123" max="5123" width="6.28515625" customWidth="1"/>
    <col min="5125" max="5125" width="4.28515625" customWidth="1"/>
    <col min="5126" max="5126" width="11.28515625" customWidth="1"/>
    <col min="5127" max="5127" width="3.28515625" customWidth="1"/>
    <col min="5128" max="5128" width="9.7109375" customWidth="1"/>
    <col min="5129" max="5131" width="0" hidden="1" customWidth="1"/>
    <col min="5132" max="5132" width="22.5703125" bestFit="1" customWidth="1"/>
    <col min="5133" max="5133" width="32.28515625" customWidth="1"/>
    <col min="5134" max="5134" width="21.28515625" customWidth="1"/>
    <col min="5135" max="5135" width="18.7109375" customWidth="1"/>
    <col min="5137" max="5137" width="26.7109375" customWidth="1"/>
    <col min="5138" max="5138" width="13.140625" customWidth="1"/>
    <col min="5140" max="5140" width="24.140625" customWidth="1"/>
    <col min="5141" max="5142" width="18.42578125" customWidth="1"/>
    <col min="5143" max="5143" width="23.85546875" customWidth="1"/>
    <col min="5144" max="5144" width="23.28515625" customWidth="1"/>
    <col min="5145" max="5145" width="22.7109375" customWidth="1"/>
    <col min="5146" max="5146" width="22.85546875" customWidth="1"/>
    <col min="5147" max="5147" width="22.5703125" customWidth="1"/>
    <col min="5148" max="5148" width="23.42578125" customWidth="1"/>
    <col min="5149" max="5151" width="22.140625" customWidth="1"/>
    <col min="5152" max="5152" width="22.7109375" customWidth="1"/>
    <col min="5153" max="5153" width="22.85546875" customWidth="1"/>
    <col min="5154" max="5154" width="22.5703125" customWidth="1"/>
    <col min="5155" max="5155" width="23.42578125" customWidth="1"/>
    <col min="5156" max="5158" width="22.140625" customWidth="1"/>
    <col min="5377" max="5377" width="22.85546875" customWidth="1"/>
    <col min="5378" max="5378" width="15.28515625" customWidth="1"/>
    <col min="5379" max="5379" width="6.28515625" customWidth="1"/>
    <col min="5381" max="5381" width="4.28515625" customWidth="1"/>
    <col min="5382" max="5382" width="11.28515625" customWidth="1"/>
    <col min="5383" max="5383" width="3.28515625" customWidth="1"/>
    <col min="5384" max="5384" width="9.7109375" customWidth="1"/>
    <col min="5385" max="5387" width="0" hidden="1" customWidth="1"/>
    <col min="5388" max="5388" width="22.5703125" bestFit="1" customWidth="1"/>
    <col min="5389" max="5389" width="32.28515625" customWidth="1"/>
    <col min="5390" max="5390" width="21.28515625" customWidth="1"/>
    <col min="5391" max="5391" width="18.7109375" customWidth="1"/>
    <col min="5393" max="5393" width="26.7109375" customWidth="1"/>
    <col min="5394" max="5394" width="13.140625" customWidth="1"/>
    <col min="5396" max="5396" width="24.140625" customWidth="1"/>
    <col min="5397" max="5398" width="18.42578125" customWidth="1"/>
    <col min="5399" max="5399" width="23.85546875" customWidth="1"/>
    <col min="5400" max="5400" width="23.28515625" customWidth="1"/>
    <col min="5401" max="5401" width="22.7109375" customWidth="1"/>
    <col min="5402" max="5402" width="22.85546875" customWidth="1"/>
    <col min="5403" max="5403" width="22.5703125" customWidth="1"/>
    <col min="5404" max="5404" width="23.42578125" customWidth="1"/>
    <col min="5405" max="5407" width="22.140625" customWidth="1"/>
    <col min="5408" max="5408" width="22.7109375" customWidth="1"/>
    <col min="5409" max="5409" width="22.85546875" customWidth="1"/>
    <col min="5410" max="5410" width="22.5703125" customWidth="1"/>
    <col min="5411" max="5411" width="23.42578125" customWidth="1"/>
    <col min="5412" max="5414" width="22.140625" customWidth="1"/>
    <col min="5633" max="5633" width="22.85546875" customWidth="1"/>
    <col min="5634" max="5634" width="15.28515625" customWidth="1"/>
    <col min="5635" max="5635" width="6.28515625" customWidth="1"/>
    <col min="5637" max="5637" width="4.28515625" customWidth="1"/>
    <col min="5638" max="5638" width="11.28515625" customWidth="1"/>
    <col min="5639" max="5639" width="3.28515625" customWidth="1"/>
    <col min="5640" max="5640" width="9.7109375" customWidth="1"/>
    <col min="5641" max="5643" width="0" hidden="1" customWidth="1"/>
    <col min="5644" max="5644" width="22.5703125" bestFit="1" customWidth="1"/>
    <col min="5645" max="5645" width="32.28515625" customWidth="1"/>
    <col min="5646" max="5646" width="21.28515625" customWidth="1"/>
    <col min="5647" max="5647" width="18.7109375" customWidth="1"/>
    <col min="5649" max="5649" width="26.7109375" customWidth="1"/>
    <col min="5650" max="5650" width="13.140625" customWidth="1"/>
    <col min="5652" max="5652" width="24.140625" customWidth="1"/>
    <col min="5653" max="5654" width="18.42578125" customWidth="1"/>
    <col min="5655" max="5655" width="23.85546875" customWidth="1"/>
    <col min="5656" max="5656" width="23.28515625" customWidth="1"/>
    <col min="5657" max="5657" width="22.7109375" customWidth="1"/>
    <col min="5658" max="5658" width="22.85546875" customWidth="1"/>
    <col min="5659" max="5659" width="22.5703125" customWidth="1"/>
    <col min="5660" max="5660" width="23.42578125" customWidth="1"/>
    <col min="5661" max="5663" width="22.140625" customWidth="1"/>
    <col min="5664" max="5664" width="22.7109375" customWidth="1"/>
    <col min="5665" max="5665" width="22.85546875" customWidth="1"/>
    <col min="5666" max="5666" width="22.5703125" customWidth="1"/>
    <col min="5667" max="5667" width="23.42578125" customWidth="1"/>
    <col min="5668" max="5670" width="22.140625" customWidth="1"/>
    <col min="5889" max="5889" width="22.85546875" customWidth="1"/>
    <col min="5890" max="5890" width="15.28515625" customWidth="1"/>
    <col min="5891" max="5891" width="6.28515625" customWidth="1"/>
    <col min="5893" max="5893" width="4.28515625" customWidth="1"/>
    <col min="5894" max="5894" width="11.28515625" customWidth="1"/>
    <col min="5895" max="5895" width="3.28515625" customWidth="1"/>
    <col min="5896" max="5896" width="9.7109375" customWidth="1"/>
    <col min="5897" max="5899" width="0" hidden="1" customWidth="1"/>
    <col min="5900" max="5900" width="22.5703125" bestFit="1" customWidth="1"/>
    <col min="5901" max="5901" width="32.28515625" customWidth="1"/>
    <col min="5902" max="5902" width="21.28515625" customWidth="1"/>
    <col min="5903" max="5903" width="18.7109375" customWidth="1"/>
    <col min="5905" max="5905" width="26.7109375" customWidth="1"/>
    <col min="5906" max="5906" width="13.140625" customWidth="1"/>
    <col min="5908" max="5908" width="24.140625" customWidth="1"/>
    <col min="5909" max="5910" width="18.42578125" customWidth="1"/>
    <col min="5911" max="5911" width="23.85546875" customWidth="1"/>
    <col min="5912" max="5912" width="23.28515625" customWidth="1"/>
    <col min="5913" max="5913" width="22.7109375" customWidth="1"/>
    <col min="5914" max="5914" width="22.85546875" customWidth="1"/>
    <col min="5915" max="5915" width="22.5703125" customWidth="1"/>
    <col min="5916" max="5916" width="23.42578125" customWidth="1"/>
    <col min="5917" max="5919" width="22.140625" customWidth="1"/>
    <col min="5920" max="5920" width="22.7109375" customWidth="1"/>
    <col min="5921" max="5921" width="22.85546875" customWidth="1"/>
    <col min="5922" max="5922" width="22.5703125" customWidth="1"/>
    <col min="5923" max="5923" width="23.42578125" customWidth="1"/>
    <col min="5924" max="5926" width="22.140625" customWidth="1"/>
    <col min="6145" max="6145" width="22.85546875" customWidth="1"/>
    <col min="6146" max="6146" width="15.28515625" customWidth="1"/>
    <col min="6147" max="6147" width="6.28515625" customWidth="1"/>
    <col min="6149" max="6149" width="4.28515625" customWidth="1"/>
    <col min="6150" max="6150" width="11.28515625" customWidth="1"/>
    <col min="6151" max="6151" width="3.28515625" customWidth="1"/>
    <col min="6152" max="6152" width="9.7109375" customWidth="1"/>
    <col min="6153" max="6155" width="0" hidden="1" customWidth="1"/>
    <col min="6156" max="6156" width="22.5703125" bestFit="1" customWidth="1"/>
    <col min="6157" max="6157" width="32.28515625" customWidth="1"/>
    <col min="6158" max="6158" width="21.28515625" customWidth="1"/>
    <col min="6159" max="6159" width="18.7109375" customWidth="1"/>
    <col min="6161" max="6161" width="26.7109375" customWidth="1"/>
    <col min="6162" max="6162" width="13.140625" customWidth="1"/>
    <col min="6164" max="6164" width="24.140625" customWidth="1"/>
    <col min="6165" max="6166" width="18.42578125" customWidth="1"/>
    <col min="6167" max="6167" width="23.85546875" customWidth="1"/>
    <col min="6168" max="6168" width="23.28515625" customWidth="1"/>
    <col min="6169" max="6169" width="22.7109375" customWidth="1"/>
    <col min="6170" max="6170" width="22.85546875" customWidth="1"/>
    <col min="6171" max="6171" width="22.5703125" customWidth="1"/>
    <col min="6172" max="6172" width="23.42578125" customWidth="1"/>
    <col min="6173" max="6175" width="22.140625" customWidth="1"/>
    <col min="6176" max="6176" width="22.7109375" customWidth="1"/>
    <col min="6177" max="6177" width="22.85546875" customWidth="1"/>
    <col min="6178" max="6178" width="22.5703125" customWidth="1"/>
    <col min="6179" max="6179" width="23.42578125" customWidth="1"/>
    <col min="6180" max="6182" width="22.140625" customWidth="1"/>
    <col min="6401" max="6401" width="22.85546875" customWidth="1"/>
    <col min="6402" max="6402" width="15.28515625" customWidth="1"/>
    <col min="6403" max="6403" width="6.28515625" customWidth="1"/>
    <col min="6405" max="6405" width="4.28515625" customWidth="1"/>
    <col min="6406" max="6406" width="11.28515625" customWidth="1"/>
    <col min="6407" max="6407" width="3.28515625" customWidth="1"/>
    <col min="6408" max="6408" width="9.7109375" customWidth="1"/>
    <col min="6409" max="6411" width="0" hidden="1" customWidth="1"/>
    <col min="6412" max="6412" width="22.5703125" bestFit="1" customWidth="1"/>
    <col min="6413" max="6413" width="32.28515625" customWidth="1"/>
    <col min="6414" max="6414" width="21.28515625" customWidth="1"/>
    <col min="6415" max="6415" width="18.7109375" customWidth="1"/>
    <col min="6417" max="6417" width="26.7109375" customWidth="1"/>
    <col min="6418" max="6418" width="13.140625" customWidth="1"/>
    <col min="6420" max="6420" width="24.140625" customWidth="1"/>
    <col min="6421" max="6422" width="18.42578125" customWidth="1"/>
    <col min="6423" max="6423" width="23.85546875" customWidth="1"/>
    <col min="6424" max="6424" width="23.28515625" customWidth="1"/>
    <col min="6425" max="6425" width="22.7109375" customWidth="1"/>
    <col min="6426" max="6426" width="22.85546875" customWidth="1"/>
    <col min="6427" max="6427" width="22.5703125" customWidth="1"/>
    <col min="6428" max="6428" width="23.42578125" customWidth="1"/>
    <col min="6429" max="6431" width="22.140625" customWidth="1"/>
    <col min="6432" max="6432" width="22.7109375" customWidth="1"/>
    <col min="6433" max="6433" width="22.85546875" customWidth="1"/>
    <col min="6434" max="6434" width="22.5703125" customWidth="1"/>
    <col min="6435" max="6435" width="23.42578125" customWidth="1"/>
    <col min="6436" max="6438" width="22.140625" customWidth="1"/>
    <col min="6657" max="6657" width="22.85546875" customWidth="1"/>
    <col min="6658" max="6658" width="15.28515625" customWidth="1"/>
    <col min="6659" max="6659" width="6.28515625" customWidth="1"/>
    <col min="6661" max="6661" width="4.28515625" customWidth="1"/>
    <col min="6662" max="6662" width="11.28515625" customWidth="1"/>
    <col min="6663" max="6663" width="3.28515625" customWidth="1"/>
    <col min="6664" max="6664" width="9.7109375" customWidth="1"/>
    <col min="6665" max="6667" width="0" hidden="1" customWidth="1"/>
    <col min="6668" max="6668" width="22.5703125" bestFit="1" customWidth="1"/>
    <col min="6669" max="6669" width="32.28515625" customWidth="1"/>
    <col min="6670" max="6670" width="21.28515625" customWidth="1"/>
    <col min="6671" max="6671" width="18.7109375" customWidth="1"/>
    <col min="6673" max="6673" width="26.7109375" customWidth="1"/>
    <col min="6674" max="6674" width="13.140625" customWidth="1"/>
    <col min="6676" max="6676" width="24.140625" customWidth="1"/>
    <col min="6677" max="6678" width="18.42578125" customWidth="1"/>
    <col min="6679" max="6679" width="23.85546875" customWidth="1"/>
    <col min="6680" max="6680" width="23.28515625" customWidth="1"/>
    <col min="6681" max="6681" width="22.7109375" customWidth="1"/>
    <col min="6682" max="6682" width="22.85546875" customWidth="1"/>
    <col min="6683" max="6683" width="22.5703125" customWidth="1"/>
    <col min="6684" max="6684" width="23.42578125" customWidth="1"/>
    <col min="6685" max="6687" width="22.140625" customWidth="1"/>
    <col min="6688" max="6688" width="22.7109375" customWidth="1"/>
    <col min="6689" max="6689" width="22.85546875" customWidth="1"/>
    <col min="6690" max="6690" width="22.5703125" customWidth="1"/>
    <col min="6691" max="6691" width="23.42578125" customWidth="1"/>
    <col min="6692" max="6694" width="22.140625" customWidth="1"/>
    <col min="6913" max="6913" width="22.85546875" customWidth="1"/>
    <col min="6914" max="6914" width="15.28515625" customWidth="1"/>
    <col min="6915" max="6915" width="6.28515625" customWidth="1"/>
    <col min="6917" max="6917" width="4.28515625" customWidth="1"/>
    <col min="6918" max="6918" width="11.28515625" customWidth="1"/>
    <col min="6919" max="6919" width="3.28515625" customWidth="1"/>
    <col min="6920" max="6920" width="9.7109375" customWidth="1"/>
    <col min="6921" max="6923" width="0" hidden="1" customWidth="1"/>
    <col min="6924" max="6924" width="22.5703125" bestFit="1" customWidth="1"/>
    <col min="6925" max="6925" width="32.28515625" customWidth="1"/>
    <col min="6926" max="6926" width="21.28515625" customWidth="1"/>
    <col min="6927" max="6927" width="18.7109375" customWidth="1"/>
    <col min="6929" max="6929" width="26.7109375" customWidth="1"/>
    <col min="6930" max="6930" width="13.140625" customWidth="1"/>
    <col min="6932" max="6932" width="24.140625" customWidth="1"/>
    <col min="6933" max="6934" width="18.42578125" customWidth="1"/>
    <col min="6935" max="6935" width="23.85546875" customWidth="1"/>
    <col min="6936" max="6936" width="23.28515625" customWidth="1"/>
    <col min="6937" max="6937" width="22.7109375" customWidth="1"/>
    <col min="6938" max="6938" width="22.85546875" customWidth="1"/>
    <col min="6939" max="6939" width="22.5703125" customWidth="1"/>
    <col min="6940" max="6940" width="23.42578125" customWidth="1"/>
    <col min="6941" max="6943" width="22.140625" customWidth="1"/>
    <col min="6944" max="6944" width="22.7109375" customWidth="1"/>
    <col min="6945" max="6945" width="22.85546875" customWidth="1"/>
    <col min="6946" max="6946" width="22.5703125" customWidth="1"/>
    <col min="6947" max="6947" width="23.42578125" customWidth="1"/>
    <col min="6948" max="6950" width="22.140625" customWidth="1"/>
    <col min="7169" max="7169" width="22.85546875" customWidth="1"/>
    <col min="7170" max="7170" width="15.28515625" customWidth="1"/>
    <col min="7171" max="7171" width="6.28515625" customWidth="1"/>
    <col min="7173" max="7173" width="4.28515625" customWidth="1"/>
    <col min="7174" max="7174" width="11.28515625" customWidth="1"/>
    <col min="7175" max="7175" width="3.28515625" customWidth="1"/>
    <col min="7176" max="7176" width="9.7109375" customWidth="1"/>
    <col min="7177" max="7179" width="0" hidden="1" customWidth="1"/>
    <col min="7180" max="7180" width="22.5703125" bestFit="1" customWidth="1"/>
    <col min="7181" max="7181" width="32.28515625" customWidth="1"/>
    <col min="7182" max="7182" width="21.28515625" customWidth="1"/>
    <col min="7183" max="7183" width="18.7109375" customWidth="1"/>
    <col min="7185" max="7185" width="26.7109375" customWidth="1"/>
    <col min="7186" max="7186" width="13.140625" customWidth="1"/>
    <col min="7188" max="7188" width="24.140625" customWidth="1"/>
    <col min="7189" max="7190" width="18.42578125" customWidth="1"/>
    <col min="7191" max="7191" width="23.85546875" customWidth="1"/>
    <col min="7192" max="7192" width="23.28515625" customWidth="1"/>
    <col min="7193" max="7193" width="22.7109375" customWidth="1"/>
    <col min="7194" max="7194" width="22.85546875" customWidth="1"/>
    <col min="7195" max="7195" width="22.5703125" customWidth="1"/>
    <col min="7196" max="7196" width="23.42578125" customWidth="1"/>
    <col min="7197" max="7199" width="22.140625" customWidth="1"/>
    <col min="7200" max="7200" width="22.7109375" customWidth="1"/>
    <col min="7201" max="7201" width="22.85546875" customWidth="1"/>
    <col min="7202" max="7202" width="22.5703125" customWidth="1"/>
    <col min="7203" max="7203" width="23.42578125" customWidth="1"/>
    <col min="7204" max="7206" width="22.140625" customWidth="1"/>
    <col min="7425" max="7425" width="22.85546875" customWidth="1"/>
    <col min="7426" max="7426" width="15.28515625" customWidth="1"/>
    <col min="7427" max="7427" width="6.28515625" customWidth="1"/>
    <col min="7429" max="7429" width="4.28515625" customWidth="1"/>
    <col min="7430" max="7430" width="11.28515625" customWidth="1"/>
    <col min="7431" max="7431" width="3.28515625" customWidth="1"/>
    <col min="7432" max="7432" width="9.7109375" customWidth="1"/>
    <col min="7433" max="7435" width="0" hidden="1" customWidth="1"/>
    <col min="7436" max="7436" width="22.5703125" bestFit="1" customWidth="1"/>
    <col min="7437" max="7437" width="32.28515625" customWidth="1"/>
    <col min="7438" max="7438" width="21.28515625" customWidth="1"/>
    <col min="7439" max="7439" width="18.7109375" customWidth="1"/>
    <col min="7441" max="7441" width="26.7109375" customWidth="1"/>
    <col min="7442" max="7442" width="13.140625" customWidth="1"/>
    <col min="7444" max="7444" width="24.140625" customWidth="1"/>
    <col min="7445" max="7446" width="18.42578125" customWidth="1"/>
    <col min="7447" max="7447" width="23.85546875" customWidth="1"/>
    <col min="7448" max="7448" width="23.28515625" customWidth="1"/>
    <col min="7449" max="7449" width="22.7109375" customWidth="1"/>
    <col min="7450" max="7450" width="22.85546875" customWidth="1"/>
    <col min="7451" max="7451" width="22.5703125" customWidth="1"/>
    <col min="7452" max="7452" width="23.42578125" customWidth="1"/>
    <col min="7453" max="7455" width="22.140625" customWidth="1"/>
    <col min="7456" max="7456" width="22.7109375" customWidth="1"/>
    <col min="7457" max="7457" width="22.85546875" customWidth="1"/>
    <col min="7458" max="7458" width="22.5703125" customWidth="1"/>
    <col min="7459" max="7459" width="23.42578125" customWidth="1"/>
    <col min="7460" max="7462" width="22.140625" customWidth="1"/>
    <col min="7681" max="7681" width="22.85546875" customWidth="1"/>
    <col min="7682" max="7682" width="15.28515625" customWidth="1"/>
    <col min="7683" max="7683" width="6.28515625" customWidth="1"/>
    <col min="7685" max="7685" width="4.28515625" customWidth="1"/>
    <col min="7686" max="7686" width="11.28515625" customWidth="1"/>
    <col min="7687" max="7687" width="3.28515625" customWidth="1"/>
    <col min="7688" max="7688" width="9.7109375" customWidth="1"/>
    <col min="7689" max="7691" width="0" hidden="1" customWidth="1"/>
    <col min="7692" max="7692" width="22.5703125" bestFit="1" customWidth="1"/>
    <col min="7693" max="7693" width="32.28515625" customWidth="1"/>
    <col min="7694" max="7694" width="21.28515625" customWidth="1"/>
    <col min="7695" max="7695" width="18.7109375" customWidth="1"/>
    <col min="7697" max="7697" width="26.7109375" customWidth="1"/>
    <col min="7698" max="7698" width="13.140625" customWidth="1"/>
    <col min="7700" max="7700" width="24.140625" customWidth="1"/>
    <col min="7701" max="7702" width="18.42578125" customWidth="1"/>
    <col min="7703" max="7703" width="23.85546875" customWidth="1"/>
    <col min="7704" max="7704" width="23.28515625" customWidth="1"/>
    <col min="7705" max="7705" width="22.7109375" customWidth="1"/>
    <col min="7706" max="7706" width="22.85546875" customWidth="1"/>
    <col min="7707" max="7707" width="22.5703125" customWidth="1"/>
    <col min="7708" max="7708" width="23.42578125" customWidth="1"/>
    <col min="7709" max="7711" width="22.140625" customWidth="1"/>
    <col min="7712" max="7712" width="22.7109375" customWidth="1"/>
    <col min="7713" max="7713" width="22.85546875" customWidth="1"/>
    <col min="7714" max="7714" width="22.5703125" customWidth="1"/>
    <col min="7715" max="7715" width="23.42578125" customWidth="1"/>
    <col min="7716" max="7718" width="22.140625" customWidth="1"/>
    <col min="7937" max="7937" width="22.85546875" customWidth="1"/>
    <col min="7938" max="7938" width="15.28515625" customWidth="1"/>
    <col min="7939" max="7939" width="6.28515625" customWidth="1"/>
    <col min="7941" max="7941" width="4.28515625" customWidth="1"/>
    <col min="7942" max="7942" width="11.28515625" customWidth="1"/>
    <col min="7943" max="7943" width="3.28515625" customWidth="1"/>
    <col min="7944" max="7944" width="9.7109375" customWidth="1"/>
    <col min="7945" max="7947" width="0" hidden="1" customWidth="1"/>
    <col min="7948" max="7948" width="22.5703125" bestFit="1" customWidth="1"/>
    <col min="7949" max="7949" width="32.28515625" customWidth="1"/>
    <col min="7950" max="7950" width="21.28515625" customWidth="1"/>
    <col min="7951" max="7951" width="18.7109375" customWidth="1"/>
    <col min="7953" max="7953" width="26.7109375" customWidth="1"/>
    <col min="7954" max="7954" width="13.140625" customWidth="1"/>
    <col min="7956" max="7956" width="24.140625" customWidth="1"/>
    <col min="7957" max="7958" width="18.42578125" customWidth="1"/>
    <col min="7959" max="7959" width="23.85546875" customWidth="1"/>
    <col min="7960" max="7960" width="23.28515625" customWidth="1"/>
    <col min="7961" max="7961" width="22.7109375" customWidth="1"/>
    <col min="7962" max="7962" width="22.85546875" customWidth="1"/>
    <col min="7963" max="7963" width="22.5703125" customWidth="1"/>
    <col min="7964" max="7964" width="23.42578125" customWidth="1"/>
    <col min="7965" max="7967" width="22.140625" customWidth="1"/>
    <col min="7968" max="7968" width="22.7109375" customWidth="1"/>
    <col min="7969" max="7969" width="22.85546875" customWidth="1"/>
    <col min="7970" max="7970" width="22.5703125" customWidth="1"/>
    <col min="7971" max="7971" width="23.42578125" customWidth="1"/>
    <col min="7972" max="7974" width="22.140625" customWidth="1"/>
    <col min="8193" max="8193" width="22.85546875" customWidth="1"/>
    <col min="8194" max="8194" width="15.28515625" customWidth="1"/>
    <col min="8195" max="8195" width="6.28515625" customWidth="1"/>
    <col min="8197" max="8197" width="4.28515625" customWidth="1"/>
    <col min="8198" max="8198" width="11.28515625" customWidth="1"/>
    <col min="8199" max="8199" width="3.28515625" customWidth="1"/>
    <col min="8200" max="8200" width="9.7109375" customWidth="1"/>
    <col min="8201" max="8203" width="0" hidden="1" customWidth="1"/>
    <col min="8204" max="8204" width="22.5703125" bestFit="1" customWidth="1"/>
    <col min="8205" max="8205" width="32.28515625" customWidth="1"/>
    <col min="8206" max="8206" width="21.28515625" customWidth="1"/>
    <col min="8207" max="8207" width="18.7109375" customWidth="1"/>
    <col min="8209" max="8209" width="26.7109375" customWidth="1"/>
    <col min="8210" max="8210" width="13.140625" customWidth="1"/>
    <col min="8212" max="8212" width="24.140625" customWidth="1"/>
    <col min="8213" max="8214" width="18.42578125" customWidth="1"/>
    <col min="8215" max="8215" width="23.85546875" customWidth="1"/>
    <col min="8216" max="8216" width="23.28515625" customWidth="1"/>
    <col min="8217" max="8217" width="22.7109375" customWidth="1"/>
    <col min="8218" max="8218" width="22.85546875" customWidth="1"/>
    <col min="8219" max="8219" width="22.5703125" customWidth="1"/>
    <col min="8220" max="8220" width="23.42578125" customWidth="1"/>
    <col min="8221" max="8223" width="22.140625" customWidth="1"/>
    <col min="8224" max="8224" width="22.7109375" customWidth="1"/>
    <col min="8225" max="8225" width="22.85546875" customWidth="1"/>
    <col min="8226" max="8226" width="22.5703125" customWidth="1"/>
    <col min="8227" max="8227" width="23.42578125" customWidth="1"/>
    <col min="8228" max="8230" width="22.140625" customWidth="1"/>
    <col min="8449" max="8449" width="22.85546875" customWidth="1"/>
    <col min="8450" max="8450" width="15.28515625" customWidth="1"/>
    <col min="8451" max="8451" width="6.28515625" customWidth="1"/>
    <col min="8453" max="8453" width="4.28515625" customWidth="1"/>
    <col min="8454" max="8454" width="11.28515625" customWidth="1"/>
    <col min="8455" max="8455" width="3.28515625" customWidth="1"/>
    <col min="8456" max="8456" width="9.7109375" customWidth="1"/>
    <col min="8457" max="8459" width="0" hidden="1" customWidth="1"/>
    <col min="8460" max="8460" width="22.5703125" bestFit="1" customWidth="1"/>
    <col min="8461" max="8461" width="32.28515625" customWidth="1"/>
    <col min="8462" max="8462" width="21.28515625" customWidth="1"/>
    <col min="8463" max="8463" width="18.7109375" customWidth="1"/>
    <col min="8465" max="8465" width="26.7109375" customWidth="1"/>
    <col min="8466" max="8466" width="13.140625" customWidth="1"/>
    <col min="8468" max="8468" width="24.140625" customWidth="1"/>
    <col min="8469" max="8470" width="18.42578125" customWidth="1"/>
    <col min="8471" max="8471" width="23.85546875" customWidth="1"/>
    <col min="8472" max="8472" width="23.28515625" customWidth="1"/>
    <col min="8473" max="8473" width="22.7109375" customWidth="1"/>
    <col min="8474" max="8474" width="22.85546875" customWidth="1"/>
    <col min="8475" max="8475" width="22.5703125" customWidth="1"/>
    <col min="8476" max="8476" width="23.42578125" customWidth="1"/>
    <col min="8477" max="8479" width="22.140625" customWidth="1"/>
    <col min="8480" max="8480" width="22.7109375" customWidth="1"/>
    <col min="8481" max="8481" width="22.85546875" customWidth="1"/>
    <col min="8482" max="8482" width="22.5703125" customWidth="1"/>
    <col min="8483" max="8483" width="23.42578125" customWidth="1"/>
    <col min="8484" max="8486" width="22.140625" customWidth="1"/>
    <col min="8705" max="8705" width="22.85546875" customWidth="1"/>
    <col min="8706" max="8706" width="15.28515625" customWidth="1"/>
    <col min="8707" max="8707" width="6.28515625" customWidth="1"/>
    <col min="8709" max="8709" width="4.28515625" customWidth="1"/>
    <col min="8710" max="8710" width="11.28515625" customWidth="1"/>
    <col min="8711" max="8711" width="3.28515625" customWidth="1"/>
    <col min="8712" max="8712" width="9.7109375" customWidth="1"/>
    <col min="8713" max="8715" width="0" hidden="1" customWidth="1"/>
    <col min="8716" max="8716" width="22.5703125" bestFit="1" customWidth="1"/>
    <col min="8717" max="8717" width="32.28515625" customWidth="1"/>
    <col min="8718" max="8718" width="21.28515625" customWidth="1"/>
    <col min="8719" max="8719" width="18.7109375" customWidth="1"/>
    <col min="8721" max="8721" width="26.7109375" customWidth="1"/>
    <col min="8722" max="8722" width="13.140625" customWidth="1"/>
    <col min="8724" max="8724" width="24.140625" customWidth="1"/>
    <col min="8725" max="8726" width="18.42578125" customWidth="1"/>
    <col min="8727" max="8727" width="23.85546875" customWidth="1"/>
    <col min="8728" max="8728" width="23.28515625" customWidth="1"/>
    <col min="8729" max="8729" width="22.7109375" customWidth="1"/>
    <col min="8730" max="8730" width="22.85546875" customWidth="1"/>
    <col min="8731" max="8731" width="22.5703125" customWidth="1"/>
    <col min="8732" max="8732" width="23.42578125" customWidth="1"/>
    <col min="8733" max="8735" width="22.140625" customWidth="1"/>
    <col min="8736" max="8736" width="22.7109375" customWidth="1"/>
    <col min="8737" max="8737" width="22.85546875" customWidth="1"/>
    <col min="8738" max="8738" width="22.5703125" customWidth="1"/>
    <col min="8739" max="8739" width="23.42578125" customWidth="1"/>
    <col min="8740" max="8742" width="22.140625" customWidth="1"/>
    <col min="8961" max="8961" width="22.85546875" customWidth="1"/>
    <col min="8962" max="8962" width="15.28515625" customWidth="1"/>
    <col min="8963" max="8963" width="6.28515625" customWidth="1"/>
    <col min="8965" max="8965" width="4.28515625" customWidth="1"/>
    <col min="8966" max="8966" width="11.28515625" customWidth="1"/>
    <col min="8967" max="8967" width="3.28515625" customWidth="1"/>
    <col min="8968" max="8968" width="9.7109375" customWidth="1"/>
    <col min="8969" max="8971" width="0" hidden="1" customWidth="1"/>
    <col min="8972" max="8972" width="22.5703125" bestFit="1" customWidth="1"/>
    <col min="8973" max="8973" width="32.28515625" customWidth="1"/>
    <col min="8974" max="8974" width="21.28515625" customWidth="1"/>
    <col min="8975" max="8975" width="18.7109375" customWidth="1"/>
    <col min="8977" max="8977" width="26.7109375" customWidth="1"/>
    <col min="8978" max="8978" width="13.140625" customWidth="1"/>
    <col min="8980" max="8980" width="24.140625" customWidth="1"/>
    <col min="8981" max="8982" width="18.42578125" customWidth="1"/>
    <col min="8983" max="8983" width="23.85546875" customWidth="1"/>
    <col min="8984" max="8984" width="23.28515625" customWidth="1"/>
    <col min="8985" max="8985" width="22.7109375" customWidth="1"/>
    <col min="8986" max="8986" width="22.85546875" customWidth="1"/>
    <col min="8987" max="8987" width="22.5703125" customWidth="1"/>
    <col min="8988" max="8988" width="23.42578125" customWidth="1"/>
    <col min="8989" max="8991" width="22.140625" customWidth="1"/>
    <col min="8992" max="8992" width="22.7109375" customWidth="1"/>
    <col min="8993" max="8993" width="22.85546875" customWidth="1"/>
    <col min="8994" max="8994" width="22.5703125" customWidth="1"/>
    <col min="8995" max="8995" width="23.42578125" customWidth="1"/>
    <col min="8996" max="8998" width="22.140625" customWidth="1"/>
    <col min="9217" max="9217" width="22.85546875" customWidth="1"/>
    <col min="9218" max="9218" width="15.28515625" customWidth="1"/>
    <col min="9219" max="9219" width="6.28515625" customWidth="1"/>
    <col min="9221" max="9221" width="4.28515625" customWidth="1"/>
    <col min="9222" max="9222" width="11.28515625" customWidth="1"/>
    <col min="9223" max="9223" width="3.28515625" customWidth="1"/>
    <col min="9224" max="9224" width="9.7109375" customWidth="1"/>
    <col min="9225" max="9227" width="0" hidden="1" customWidth="1"/>
    <col min="9228" max="9228" width="22.5703125" bestFit="1" customWidth="1"/>
    <col min="9229" max="9229" width="32.28515625" customWidth="1"/>
    <col min="9230" max="9230" width="21.28515625" customWidth="1"/>
    <col min="9231" max="9231" width="18.7109375" customWidth="1"/>
    <col min="9233" max="9233" width="26.7109375" customWidth="1"/>
    <col min="9234" max="9234" width="13.140625" customWidth="1"/>
    <col min="9236" max="9236" width="24.140625" customWidth="1"/>
    <col min="9237" max="9238" width="18.42578125" customWidth="1"/>
    <col min="9239" max="9239" width="23.85546875" customWidth="1"/>
    <col min="9240" max="9240" width="23.28515625" customWidth="1"/>
    <col min="9241" max="9241" width="22.7109375" customWidth="1"/>
    <col min="9242" max="9242" width="22.85546875" customWidth="1"/>
    <col min="9243" max="9243" width="22.5703125" customWidth="1"/>
    <col min="9244" max="9244" width="23.42578125" customWidth="1"/>
    <col min="9245" max="9247" width="22.140625" customWidth="1"/>
    <col min="9248" max="9248" width="22.7109375" customWidth="1"/>
    <col min="9249" max="9249" width="22.85546875" customWidth="1"/>
    <col min="9250" max="9250" width="22.5703125" customWidth="1"/>
    <col min="9251" max="9251" width="23.42578125" customWidth="1"/>
    <col min="9252" max="9254" width="22.140625" customWidth="1"/>
    <col min="9473" max="9473" width="22.85546875" customWidth="1"/>
    <col min="9474" max="9474" width="15.28515625" customWidth="1"/>
    <col min="9475" max="9475" width="6.28515625" customWidth="1"/>
    <col min="9477" max="9477" width="4.28515625" customWidth="1"/>
    <col min="9478" max="9478" width="11.28515625" customWidth="1"/>
    <col min="9479" max="9479" width="3.28515625" customWidth="1"/>
    <col min="9480" max="9480" width="9.7109375" customWidth="1"/>
    <col min="9481" max="9483" width="0" hidden="1" customWidth="1"/>
    <col min="9484" max="9484" width="22.5703125" bestFit="1" customWidth="1"/>
    <col min="9485" max="9485" width="32.28515625" customWidth="1"/>
    <col min="9486" max="9486" width="21.28515625" customWidth="1"/>
    <col min="9487" max="9487" width="18.7109375" customWidth="1"/>
    <col min="9489" max="9489" width="26.7109375" customWidth="1"/>
    <col min="9490" max="9490" width="13.140625" customWidth="1"/>
    <col min="9492" max="9492" width="24.140625" customWidth="1"/>
    <col min="9493" max="9494" width="18.42578125" customWidth="1"/>
    <col min="9495" max="9495" width="23.85546875" customWidth="1"/>
    <col min="9496" max="9496" width="23.28515625" customWidth="1"/>
    <col min="9497" max="9497" width="22.7109375" customWidth="1"/>
    <col min="9498" max="9498" width="22.85546875" customWidth="1"/>
    <col min="9499" max="9499" width="22.5703125" customWidth="1"/>
    <col min="9500" max="9500" width="23.42578125" customWidth="1"/>
    <col min="9501" max="9503" width="22.140625" customWidth="1"/>
    <col min="9504" max="9504" width="22.7109375" customWidth="1"/>
    <col min="9505" max="9505" width="22.85546875" customWidth="1"/>
    <col min="9506" max="9506" width="22.5703125" customWidth="1"/>
    <col min="9507" max="9507" width="23.42578125" customWidth="1"/>
    <col min="9508" max="9510" width="22.140625" customWidth="1"/>
    <col min="9729" max="9729" width="22.85546875" customWidth="1"/>
    <col min="9730" max="9730" width="15.28515625" customWidth="1"/>
    <col min="9731" max="9731" width="6.28515625" customWidth="1"/>
    <col min="9733" max="9733" width="4.28515625" customWidth="1"/>
    <col min="9734" max="9734" width="11.28515625" customWidth="1"/>
    <col min="9735" max="9735" width="3.28515625" customWidth="1"/>
    <col min="9736" max="9736" width="9.7109375" customWidth="1"/>
    <col min="9737" max="9739" width="0" hidden="1" customWidth="1"/>
    <col min="9740" max="9740" width="22.5703125" bestFit="1" customWidth="1"/>
    <col min="9741" max="9741" width="32.28515625" customWidth="1"/>
    <col min="9742" max="9742" width="21.28515625" customWidth="1"/>
    <col min="9743" max="9743" width="18.7109375" customWidth="1"/>
    <col min="9745" max="9745" width="26.7109375" customWidth="1"/>
    <col min="9746" max="9746" width="13.140625" customWidth="1"/>
    <col min="9748" max="9748" width="24.140625" customWidth="1"/>
    <col min="9749" max="9750" width="18.42578125" customWidth="1"/>
    <col min="9751" max="9751" width="23.85546875" customWidth="1"/>
    <col min="9752" max="9752" width="23.28515625" customWidth="1"/>
    <col min="9753" max="9753" width="22.7109375" customWidth="1"/>
    <col min="9754" max="9754" width="22.85546875" customWidth="1"/>
    <col min="9755" max="9755" width="22.5703125" customWidth="1"/>
    <col min="9756" max="9756" width="23.42578125" customWidth="1"/>
    <col min="9757" max="9759" width="22.140625" customWidth="1"/>
    <col min="9760" max="9760" width="22.7109375" customWidth="1"/>
    <col min="9761" max="9761" width="22.85546875" customWidth="1"/>
    <col min="9762" max="9762" width="22.5703125" customWidth="1"/>
    <col min="9763" max="9763" width="23.42578125" customWidth="1"/>
    <col min="9764" max="9766" width="22.140625" customWidth="1"/>
    <col min="9985" max="9985" width="22.85546875" customWidth="1"/>
    <col min="9986" max="9986" width="15.28515625" customWidth="1"/>
    <col min="9987" max="9987" width="6.28515625" customWidth="1"/>
    <col min="9989" max="9989" width="4.28515625" customWidth="1"/>
    <col min="9990" max="9990" width="11.28515625" customWidth="1"/>
    <col min="9991" max="9991" width="3.28515625" customWidth="1"/>
    <col min="9992" max="9992" width="9.7109375" customWidth="1"/>
    <col min="9993" max="9995" width="0" hidden="1" customWidth="1"/>
    <col min="9996" max="9996" width="22.5703125" bestFit="1" customWidth="1"/>
    <col min="9997" max="9997" width="32.28515625" customWidth="1"/>
    <col min="9998" max="9998" width="21.28515625" customWidth="1"/>
    <col min="9999" max="9999" width="18.7109375" customWidth="1"/>
    <col min="10001" max="10001" width="26.7109375" customWidth="1"/>
    <col min="10002" max="10002" width="13.140625" customWidth="1"/>
    <col min="10004" max="10004" width="24.140625" customWidth="1"/>
    <col min="10005" max="10006" width="18.42578125" customWidth="1"/>
    <col min="10007" max="10007" width="23.85546875" customWidth="1"/>
    <col min="10008" max="10008" width="23.28515625" customWidth="1"/>
    <col min="10009" max="10009" width="22.7109375" customWidth="1"/>
    <col min="10010" max="10010" width="22.85546875" customWidth="1"/>
    <col min="10011" max="10011" width="22.5703125" customWidth="1"/>
    <col min="10012" max="10012" width="23.42578125" customWidth="1"/>
    <col min="10013" max="10015" width="22.140625" customWidth="1"/>
    <col min="10016" max="10016" width="22.7109375" customWidth="1"/>
    <col min="10017" max="10017" width="22.85546875" customWidth="1"/>
    <col min="10018" max="10018" width="22.5703125" customWidth="1"/>
    <col min="10019" max="10019" width="23.42578125" customWidth="1"/>
    <col min="10020" max="10022" width="22.140625" customWidth="1"/>
    <col min="10241" max="10241" width="22.85546875" customWidth="1"/>
    <col min="10242" max="10242" width="15.28515625" customWidth="1"/>
    <col min="10243" max="10243" width="6.28515625" customWidth="1"/>
    <col min="10245" max="10245" width="4.28515625" customWidth="1"/>
    <col min="10246" max="10246" width="11.28515625" customWidth="1"/>
    <col min="10247" max="10247" width="3.28515625" customWidth="1"/>
    <col min="10248" max="10248" width="9.7109375" customWidth="1"/>
    <col min="10249" max="10251" width="0" hidden="1" customWidth="1"/>
    <col min="10252" max="10252" width="22.5703125" bestFit="1" customWidth="1"/>
    <col min="10253" max="10253" width="32.28515625" customWidth="1"/>
    <col min="10254" max="10254" width="21.28515625" customWidth="1"/>
    <col min="10255" max="10255" width="18.7109375" customWidth="1"/>
    <col min="10257" max="10257" width="26.7109375" customWidth="1"/>
    <col min="10258" max="10258" width="13.140625" customWidth="1"/>
    <col min="10260" max="10260" width="24.140625" customWidth="1"/>
    <col min="10261" max="10262" width="18.42578125" customWidth="1"/>
    <col min="10263" max="10263" width="23.85546875" customWidth="1"/>
    <col min="10264" max="10264" width="23.28515625" customWidth="1"/>
    <col min="10265" max="10265" width="22.7109375" customWidth="1"/>
    <col min="10266" max="10266" width="22.85546875" customWidth="1"/>
    <col min="10267" max="10267" width="22.5703125" customWidth="1"/>
    <col min="10268" max="10268" width="23.42578125" customWidth="1"/>
    <col min="10269" max="10271" width="22.140625" customWidth="1"/>
    <col min="10272" max="10272" width="22.7109375" customWidth="1"/>
    <col min="10273" max="10273" width="22.85546875" customWidth="1"/>
    <col min="10274" max="10274" width="22.5703125" customWidth="1"/>
    <col min="10275" max="10275" width="23.42578125" customWidth="1"/>
    <col min="10276" max="10278" width="22.140625" customWidth="1"/>
    <col min="10497" max="10497" width="22.85546875" customWidth="1"/>
    <col min="10498" max="10498" width="15.28515625" customWidth="1"/>
    <col min="10499" max="10499" width="6.28515625" customWidth="1"/>
    <col min="10501" max="10501" width="4.28515625" customWidth="1"/>
    <col min="10502" max="10502" width="11.28515625" customWidth="1"/>
    <col min="10503" max="10503" width="3.28515625" customWidth="1"/>
    <col min="10504" max="10504" width="9.7109375" customWidth="1"/>
    <col min="10505" max="10507" width="0" hidden="1" customWidth="1"/>
    <col min="10508" max="10508" width="22.5703125" bestFit="1" customWidth="1"/>
    <col min="10509" max="10509" width="32.28515625" customWidth="1"/>
    <col min="10510" max="10510" width="21.28515625" customWidth="1"/>
    <col min="10511" max="10511" width="18.7109375" customWidth="1"/>
    <col min="10513" max="10513" width="26.7109375" customWidth="1"/>
    <col min="10514" max="10514" width="13.140625" customWidth="1"/>
    <col min="10516" max="10516" width="24.140625" customWidth="1"/>
    <col min="10517" max="10518" width="18.42578125" customWidth="1"/>
    <col min="10519" max="10519" width="23.85546875" customWidth="1"/>
    <col min="10520" max="10520" width="23.28515625" customWidth="1"/>
    <col min="10521" max="10521" width="22.7109375" customWidth="1"/>
    <col min="10522" max="10522" width="22.85546875" customWidth="1"/>
    <col min="10523" max="10523" width="22.5703125" customWidth="1"/>
    <col min="10524" max="10524" width="23.42578125" customWidth="1"/>
    <col min="10525" max="10527" width="22.140625" customWidth="1"/>
    <col min="10528" max="10528" width="22.7109375" customWidth="1"/>
    <col min="10529" max="10529" width="22.85546875" customWidth="1"/>
    <col min="10530" max="10530" width="22.5703125" customWidth="1"/>
    <col min="10531" max="10531" width="23.42578125" customWidth="1"/>
    <col min="10532" max="10534" width="22.140625" customWidth="1"/>
    <col min="10753" max="10753" width="22.85546875" customWidth="1"/>
    <col min="10754" max="10754" width="15.28515625" customWidth="1"/>
    <col min="10755" max="10755" width="6.28515625" customWidth="1"/>
    <col min="10757" max="10757" width="4.28515625" customWidth="1"/>
    <col min="10758" max="10758" width="11.28515625" customWidth="1"/>
    <col min="10759" max="10759" width="3.28515625" customWidth="1"/>
    <col min="10760" max="10760" width="9.7109375" customWidth="1"/>
    <col min="10761" max="10763" width="0" hidden="1" customWidth="1"/>
    <col min="10764" max="10764" width="22.5703125" bestFit="1" customWidth="1"/>
    <col min="10765" max="10765" width="32.28515625" customWidth="1"/>
    <col min="10766" max="10766" width="21.28515625" customWidth="1"/>
    <col min="10767" max="10767" width="18.7109375" customWidth="1"/>
    <col min="10769" max="10769" width="26.7109375" customWidth="1"/>
    <col min="10770" max="10770" width="13.140625" customWidth="1"/>
    <col min="10772" max="10772" width="24.140625" customWidth="1"/>
    <col min="10773" max="10774" width="18.42578125" customWidth="1"/>
    <col min="10775" max="10775" width="23.85546875" customWidth="1"/>
    <col min="10776" max="10776" width="23.28515625" customWidth="1"/>
    <col min="10777" max="10777" width="22.7109375" customWidth="1"/>
    <col min="10778" max="10778" width="22.85546875" customWidth="1"/>
    <col min="10779" max="10779" width="22.5703125" customWidth="1"/>
    <col min="10780" max="10780" width="23.42578125" customWidth="1"/>
    <col min="10781" max="10783" width="22.140625" customWidth="1"/>
    <col min="10784" max="10784" width="22.7109375" customWidth="1"/>
    <col min="10785" max="10785" width="22.85546875" customWidth="1"/>
    <col min="10786" max="10786" width="22.5703125" customWidth="1"/>
    <col min="10787" max="10787" width="23.42578125" customWidth="1"/>
    <col min="10788" max="10790" width="22.140625" customWidth="1"/>
    <col min="11009" max="11009" width="22.85546875" customWidth="1"/>
    <col min="11010" max="11010" width="15.28515625" customWidth="1"/>
    <col min="11011" max="11011" width="6.28515625" customWidth="1"/>
    <col min="11013" max="11013" width="4.28515625" customWidth="1"/>
    <col min="11014" max="11014" width="11.28515625" customWidth="1"/>
    <col min="11015" max="11015" width="3.28515625" customWidth="1"/>
    <col min="11016" max="11016" width="9.7109375" customWidth="1"/>
    <col min="11017" max="11019" width="0" hidden="1" customWidth="1"/>
    <col min="11020" max="11020" width="22.5703125" bestFit="1" customWidth="1"/>
    <col min="11021" max="11021" width="32.28515625" customWidth="1"/>
    <col min="11022" max="11022" width="21.28515625" customWidth="1"/>
    <col min="11023" max="11023" width="18.7109375" customWidth="1"/>
    <col min="11025" max="11025" width="26.7109375" customWidth="1"/>
    <col min="11026" max="11026" width="13.140625" customWidth="1"/>
    <col min="11028" max="11028" width="24.140625" customWidth="1"/>
    <col min="11029" max="11030" width="18.42578125" customWidth="1"/>
    <col min="11031" max="11031" width="23.85546875" customWidth="1"/>
    <col min="11032" max="11032" width="23.28515625" customWidth="1"/>
    <col min="11033" max="11033" width="22.7109375" customWidth="1"/>
    <col min="11034" max="11034" width="22.85546875" customWidth="1"/>
    <col min="11035" max="11035" width="22.5703125" customWidth="1"/>
    <col min="11036" max="11036" width="23.42578125" customWidth="1"/>
    <col min="11037" max="11039" width="22.140625" customWidth="1"/>
    <col min="11040" max="11040" width="22.7109375" customWidth="1"/>
    <col min="11041" max="11041" width="22.85546875" customWidth="1"/>
    <col min="11042" max="11042" width="22.5703125" customWidth="1"/>
    <col min="11043" max="11043" width="23.42578125" customWidth="1"/>
    <col min="11044" max="11046" width="22.140625" customWidth="1"/>
    <col min="11265" max="11265" width="22.85546875" customWidth="1"/>
    <col min="11266" max="11266" width="15.28515625" customWidth="1"/>
    <col min="11267" max="11267" width="6.28515625" customWidth="1"/>
    <col min="11269" max="11269" width="4.28515625" customWidth="1"/>
    <col min="11270" max="11270" width="11.28515625" customWidth="1"/>
    <col min="11271" max="11271" width="3.28515625" customWidth="1"/>
    <col min="11272" max="11272" width="9.7109375" customWidth="1"/>
    <col min="11273" max="11275" width="0" hidden="1" customWidth="1"/>
    <col min="11276" max="11276" width="22.5703125" bestFit="1" customWidth="1"/>
    <col min="11277" max="11277" width="32.28515625" customWidth="1"/>
    <col min="11278" max="11278" width="21.28515625" customWidth="1"/>
    <col min="11279" max="11279" width="18.7109375" customWidth="1"/>
    <col min="11281" max="11281" width="26.7109375" customWidth="1"/>
    <col min="11282" max="11282" width="13.140625" customWidth="1"/>
    <col min="11284" max="11284" width="24.140625" customWidth="1"/>
    <col min="11285" max="11286" width="18.42578125" customWidth="1"/>
    <col min="11287" max="11287" width="23.85546875" customWidth="1"/>
    <col min="11288" max="11288" width="23.28515625" customWidth="1"/>
    <col min="11289" max="11289" width="22.7109375" customWidth="1"/>
    <col min="11290" max="11290" width="22.85546875" customWidth="1"/>
    <col min="11291" max="11291" width="22.5703125" customWidth="1"/>
    <col min="11292" max="11292" width="23.42578125" customWidth="1"/>
    <col min="11293" max="11295" width="22.140625" customWidth="1"/>
    <col min="11296" max="11296" width="22.7109375" customWidth="1"/>
    <col min="11297" max="11297" width="22.85546875" customWidth="1"/>
    <col min="11298" max="11298" width="22.5703125" customWidth="1"/>
    <col min="11299" max="11299" width="23.42578125" customWidth="1"/>
    <col min="11300" max="11302" width="22.140625" customWidth="1"/>
    <col min="11521" max="11521" width="22.85546875" customWidth="1"/>
    <col min="11522" max="11522" width="15.28515625" customWidth="1"/>
    <col min="11523" max="11523" width="6.28515625" customWidth="1"/>
    <col min="11525" max="11525" width="4.28515625" customWidth="1"/>
    <col min="11526" max="11526" width="11.28515625" customWidth="1"/>
    <col min="11527" max="11527" width="3.28515625" customWidth="1"/>
    <col min="11528" max="11528" width="9.7109375" customWidth="1"/>
    <col min="11529" max="11531" width="0" hidden="1" customWidth="1"/>
    <col min="11532" max="11532" width="22.5703125" bestFit="1" customWidth="1"/>
    <col min="11533" max="11533" width="32.28515625" customWidth="1"/>
    <col min="11534" max="11534" width="21.28515625" customWidth="1"/>
    <col min="11535" max="11535" width="18.7109375" customWidth="1"/>
    <col min="11537" max="11537" width="26.7109375" customWidth="1"/>
    <col min="11538" max="11538" width="13.140625" customWidth="1"/>
    <col min="11540" max="11540" width="24.140625" customWidth="1"/>
    <col min="11541" max="11542" width="18.42578125" customWidth="1"/>
    <col min="11543" max="11543" width="23.85546875" customWidth="1"/>
    <col min="11544" max="11544" width="23.28515625" customWidth="1"/>
    <col min="11545" max="11545" width="22.7109375" customWidth="1"/>
    <col min="11546" max="11546" width="22.85546875" customWidth="1"/>
    <col min="11547" max="11547" width="22.5703125" customWidth="1"/>
    <col min="11548" max="11548" width="23.42578125" customWidth="1"/>
    <col min="11549" max="11551" width="22.140625" customWidth="1"/>
    <col min="11552" max="11552" width="22.7109375" customWidth="1"/>
    <col min="11553" max="11553" width="22.85546875" customWidth="1"/>
    <col min="11554" max="11554" width="22.5703125" customWidth="1"/>
    <col min="11555" max="11555" width="23.42578125" customWidth="1"/>
    <col min="11556" max="11558" width="22.140625" customWidth="1"/>
    <col min="11777" max="11777" width="22.85546875" customWidth="1"/>
    <col min="11778" max="11778" width="15.28515625" customWidth="1"/>
    <col min="11779" max="11779" width="6.28515625" customWidth="1"/>
    <col min="11781" max="11781" width="4.28515625" customWidth="1"/>
    <col min="11782" max="11782" width="11.28515625" customWidth="1"/>
    <col min="11783" max="11783" width="3.28515625" customWidth="1"/>
    <col min="11784" max="11784" width="9.7109375" customWidth="1"/>
    <col min="11785" max="11787" width="0" hidden="1" customWidth="1"/>
    <col min="11788" max="11788" width="22.5703125" bestFit="1" customWidth="1"/>
    <col min="11789" max="11789" width="32.28515625" customWidth="1"/>
    <col min="11790" max="11790" width="21.28515625" customWidth="1"/>
    <col min="11791" max="11791" width="18.7109375" customWidth="1"/>
    <col min="11793" max="11793" width="26.7109375" customWidth="1"/>
    <col min="11794" max="11794" width="13.140625" customWidth="1"/>
    <col min="11796" max="11796" width="24.140625" customWidth="1"/>
    <col min="11797" max="11798" width="18.42578125" customWidth="1"/>
    <col min="11799" max="11799" width="23.85546875" customWidth="1"/>
    <col min="11800" max="11800" width="23.28515625" customWidth="1"/>
    <col min="11801" max="11801" width="22.7109375" customWidth="1"/>
    <col min="11802" max="11802" width="22.85546875" customWidth="1"/>
    <col min="11803" max="11803" width="22.5703125" customWidth="1"/>
    <col min="11804" max="11804" width="23.42578125" customWidth="1"/>
    <col min="11805" max="11807" width="22.140625" customWidth="1"/>
    <col min="11808" max="11808" width="22.7109375" customWidth="1"/>
    <col min="11809" max="11809" width="22.85546875" customWidth="1"/>
    <col min="11810" max="11810" width="22.5703125" customWidth="1"/>
    <col min="11811" max="11811" width="23.42578125" customWidth="1"/>
    <col min="11812" max="11814" width="22.140625" customWidth="1"/>
    <col min="12033" max="12033" width="22.85546875" customWidth="1"/>
    <col min="12034" max="12034" width="15.28515625" customWidth="1"/>
    <col min="12035" max="12035" width="6.28515625" customWidth="1"/>
    <col min="12037" max="12037" width="4.28515625" customWidth="1"/>
    <col min="12038" max="12038" width="11.28515625" customWidth="1"/>
    <col min="12039" max="12039" width="3.28515625" customWidth="1"/>
    <col min="12040" max="12040" width="9.7109375" customWidth="1"/>
    <col min="12041" max="12043" width="0" hidden="1" customWidth="1"/>
    <col min="12044" max="12044" width="22.5703125" bestFit="1" customWidth="1"/>
    <col min="12045" max="12045" width="32.28515625" customWidth="1"/>
    <col min="12046" max="12046" width="21.28515625" customWidth="1"/>
    <col min="12047" max="12047" width="18.7109375" customWidth="1"/>
    <col min="12049" max="12049" width="26.7109375" customWidth="1"/>
    <col min="12050" max="12050" width="13.140625" customWidth="1"/>
    <col min="12052" max="12052" width="24.140625" customWidth="1"/>
    <col min="12053" max="12054" width="18.42578125" customWidth="1"/>
    <col min="12055" max="12055" width="23.85546875" customWidth="1"/>
    <col min="12056" max="12056" width="23.28515625" customWidth="1"/>
    <col min="12057" max="12057" width="22.7109375" customWidth="1"/>
    <col min="12058" max="12058" width="22.85546875" customWidth="1"/>
    <col min="12059" max="12059" width="22.5703125" customWidth="1"/>
    <col min="12060" max="12060" width="23.42578125" customWidth="1"/>
    <col min="12061" max="12063" width="22.140625" customWidth="1"/>
    <col min="12064" max="12064" width="22.7109375" customWidth="1"/>
    <col min="12065" max="12065" width="22.85546875" customWidth="1"/>
    <col min="12066" max="12066" width="22.5703125" customWidth="1"/>
    <col min="12067" max="12067" width="23.42578125" customWidth="1"/>
    <col min="12068" max="12070" width="22.140625" customWidth="1"/>
    <col min="12289" max="12289" width="22.85546875" customWidth="1"/>
    <col min="12290" max="12290" width="15.28515625" customWidth="1"/>
    <col min="12291" max="12291" width="6.28515625" customWidth="1"/>
    <col min="12293" max="12293" width="4.28515625" customWidth="1"/>
    <col min="12294" max="12294" width="11.28515625" customWidth="1"/>
    <col min="12295" max="12295" width="3.28515625" customWidth="1"/>
    <col min="12296" max="12296" width="9.7109375" customWidth="1"/>
    <col min="12297" max="12299" width="0" hidden="1" customWidth="1"/>
    <col min="12300" max="12300" width="22.5703125" bestFit="1" customWidth="1"/>
    <col min="12301" max="12301" width="32.28515625" customWidth="1"/>
    <col min="12302" max="12302" width="21.28515625" customWidth="1"/>
    <col min="12303" max="12303" width="18.7109375" customWidth="1"/>
    <col min="12305" max="12305" width="26.7109375" customWidth="1"/>
    <col min="12306" max="12306" width="13.140625" customWidth="1"/>
    <col min="12308" max="12308" width="24.140625" customWidth="1"/>
    <col min="12309" max="12310" width="18.42578125" customWidth="1"/>
    <col min="12311" max="12311" width="23.85546875" customWidth="1"/>
    <col min="12312" max="12312" width="23.28515625" customWidth="1"/>
    <col min="12313" max="12313" width="22.7109375" customWidth="1"/>
    <col min="12314" max="12314" width="22.85546875" customWidth="1"/>
    <col min="12315" max="12315" width="22.5703125" customWidth="1"/>
    <col min="12316" max="12316" width="23.42578125" customWidth="1"/>
    <col min="12317" max="12319" width="22.140625" customWidth="1"/>
    <col min="12320" max="12320" width="22.7109375" customWidth="1"/>
    <col min="12321" max="12321" width="22.85546875" customWidth="1"/>
    <col min="12322" max="12322" width="22.5703125" customWidth="1"/>
    <col min="12323" max="12323" width="23.42578125" customWidth="1"/>
    <col min="12324" max="12326" width="22.140625" customWidth="1"/>
    <col min="12545" max="12545" width="22.85546875" customWidth="1"/>
    <col min="12546" max="12546" width="15.28515625" customWidth="1"/>
    <col min="12547" max="12547" width="6.28515625" customWidth="1"/>
    <col min="12549" max="12549" width="4.28515625" customWidth="1"/>
    <col min="12550" max="12550" width="11.28515625" customWidth="1"/>
    <col min="12551" max="12551" width="3.28515625" customWidth="1"/>
    <col min="12552" max="12552" width="9.7109375" customWidth="1"/>
    <col min="12553" max="12555" width="0" hidden="1" customWidth="1"/>
    <col min="12556" max="12556" width="22.5703125" bestFit="1" customWidth="1"/>
    <col min="12557" max="12557" width="32.28515625" customWidth="1"/>
    <col min="12558" max="12558" width="21.28515625" customWidth="1"/>
    <col min="12559" max="12559" width="18.7109375" customWidth="1"/>
    <col min="12561" max="12561" width="26.7109375" customWidth="1"/>
    <col min="12562" max="12562" width="13.140625" customWidth="1"/>
    <col min="12564" max="12564" width="24.140625" customWidth="1"/>
    <col min="12565" max="12566" width="18.42578125" customWidth="1"/>
    <col min="12567" max="12567" width="23.85546875" customWidth="1"/>
    <col min="12568" max="12568" width="23.28515625" customWidth="1"/>
    <col min="12569" max="12569" width="22.7109375" customWidth="1"/>
    <col min="12570" max="12570" width="22.85546875" customWidth="1"/>
    <col min="12571" max="12571" width="22.5703125" customWidth="1"/>
    <col min="12572" max="12572" width="23.42578125" customWidth="1"/>
    <col min="12573" max="12575" width="22.140625" customWidth="1"/>
    <col min="12576" max="12576" width="22.7109375" customWidth="1"/>
    <col min="12577" max="12577" width="22.85546875" customWidth="1"/>
    <col min="12578" max="12578" width="22.5703125" customWidth="1"/>
    <col min="12579" max="12579" width="23.42578125" customWidth="1"/>
    <col min="12580" max="12582" width="22.140625" customWidth="1"/>
    <col min="12801" max="12801" width="22.85546875" customWidth="1"/>
    <col min="12802" max="12802" width="15.28515625" customWidth="1"/>
    <col min="12803" max="12803" width="6.28515625" customWidth="1"/>
    <col min="12805" max="12805" width="4.28515625" customWidth="1"/>
    <col min="12806" max="12806" width="11.28515625" customWidth="1"/>
    <col min="12807" max="12807" width="3.28515625" customWidth="1"/>
    <col min="12808" max="12808" width="9.7109375" customWidth="1"/>
    <col min="12809" max="12811" width="0" hidden="1" customWidth="1"/>
    <col min="12812" max="12812" width="22.5703125" bestFit="1" customWidth="1"/>
    <col min="12813" max="12813" width="32.28515625" customWidth="1"/>
    <col min="12814" max="12814" width="21.28515625" customWidth="1"/>
    <col min="12815" max="12815" width="18.7109375" customWidth="1"/>
    <col min="12817" max="12817" width="26.7109375" customWidth="1"/>
    <col min="12818" max="12818" width="13.140625" customWidth="1"/>
    <col min="12820" max="12820" width="24.140625" customWidth="1"/>
    <col min="12821" max="12822" width="18.42578125" customWidth="1"/>
    <col min="12823" max="12823" width="23.85546875" customWidth="1"/>
    <col min="12824" max="12824" width="23.28515625" customWidth="1"/>
    <col min="12825" max="12825" width="22.7109375" customWidth="1"/>
    <col min="12826" max="12826" width="22.85546875" customWidth="1"/>
    <col min="12827" max="12827" width="22.5703125" customWidth="1"/>
    <col min="12828" max="12828" width="23.42578125" customWidth="1"/>
    <col min="12829" max="12831" width="22.140625" customWidth="1"/>
    <col min="12832" max="12832" width="22.7109375" customWidth="1"/>
    <col min="12833" max="12833" width="22.85546875" customWidth="1"/>
    <col min="12834" max="12834" width="22.5703125" customWidth="1"/>
    <col min="12835" max="12835" width="23.42578125" customWidth="1"/>
    <col min="12836" max="12838" width="22.140625" customWidth="1"/>
    <col min="13057" max="13057" width="22.85546875" customWidth="1"/>
    <col min="13058" max="13058" width="15.28515625" customWidth="1"/>
    <col min="13059" max="13059" width="6.28515625" customWidth="1"/>
    <col min="13061" max="13061" width="4.28515625" customWidth="1"/>
    <col min="13062" max="13062" width="11.28515625" customWidth="1"/>
    <col min="13063" max="13063" width="3.28515625" customWidth="1"/>
    <col min="13064" max="13064" width="9.7109375" customWidth="1"/>
    <col min="13065" max="13067" width="0" hidden="1" customWidth="1"/>
    <col min="13068" max="13068" width="22.5703125" bestFit="1" customWidth="1"/>
    <col min="13069" max="13069" width="32.28515625" customWidth="1"/>
    <col min="13070" max="13070" width="21.28515625" customWidth="1"/>
    <col min="13071" max="13071" width="18.7109375" customWidth="1"/>
    <col min="13073" max="13073" width="26.7109375" customWidth="1"/>
    <col min="13074" max="13074" width="13.140625" customWidth="1"/>
    <col min="13076" max="13076" width="24.140625" customWidth="1"/>
    <col min="13077" max="13078" width="18.42578125" customWidth="1"/>
    <col min="13079" max="13079" width="23.85546875" customWidth="1"/>
    <col min="13080" max="13080" width="23.28515625" customWidth="1"/>
    <col min="13081" max="13081" width="22.7109375" customWidth="1"/>
    <col min="13082" max="13082" width="22.85546875" customWidth="1"/>
    <col min="13083" max="13083" width="22.5703125" customWidth="1"/>
    <col min="13084" max="13084" width="23.42578125" customWidth="1"/>
    <col min="13085" max="13087" width="22.140625" customWidth="1"/>
    <col min="13088" max="13088" width="22.7109375" customWidth="1"/>
    <col min="13089" max="13089" width="22.85546875" customWidth="1"/>
    <col min="13090" max="13090" width="22.5703125" customWidth="1"/>
    <col min="13091" max="13091" width="23.42578125" customWidth="1"/>
    <col min="13092" max="13094" width="22.140625" customWidth="1"/>
    <col min="13313" max="13313" width="22.85546875" customWidth="1"/>
    <col min="13314" max="13314" width="15.28515625" customWidth="1"/>
    <col min="13315" max="13315" width="6.28515625" customWidth="1"/>
    <col min="13317" max="13317" width="4.28515625" customWidth="1"/>
    <col min="13318" max="13318" width="11.28515625" customWidth="1"/>
    <col min="13319" max="13319" width="3.28515625" customWidth="1"/>
    <col min="13320" max="13320" width="9.7109375" customWidth="1"/>
    <col min="13321" max="13323" width="0" hidden="1" customWidth="1"/>
    <col min="13324" max="13324" width="22.5703125" bestFit="1" customWidth="1"/>
    <col min="13325" max="13325" width="32.28515625" customWidth="1"/>
    <col min="13326" max="13326" width="21.28515625" customWidth="1"/>
    <col min="13327" max="13327" width="18.7109375" customWidth="1"/>
    <col min="13329" max="13329" width="26.7109375" customWidth="1"/>
    <col min="13330" max="13330" width="13.140625" customWidth="1"/>
    <col min="13332" max="13332" width="24.140625" customWidth="1"/>
    <col min="13333" max="13334" width="18.42578125" customWidth="1"/>
    <col min="13335" max="13335" width="23.85546875" customWidth="1"/>
    <col min="13336" max="13336" width="23.28515625" customWidth="1"/>
    <col min="13337" max="13337" width="22.7109375" customWidth="1"/>
    <col min="13338" max="13338" width="22.85546875" customWidth="1"/>
    <col min="13339" max="13339" width="22.5703125" customWidth="1"/>
    <col min="13340" max="13340" width="23.42578125" customWidth="1"/>
    <col min="13341" max="13343" width="22.140625" customWidth="1"/>
    <col min="13344" max="13344" width="22.7109375" customWidth="1"/>
    <col min="13345" max="13345" width="22.85546875" customWidth="1"/>
    <col min="13346" max="13346" width="22.5703125" customWidth="1"/>
    <col min="13347" max="13347" width="23.42578125" customWidth="1"/>
    <col min="13348" max="13350" width="22.140625" customWidth="1"/>
    <col min="13569" max="13569" width="22.85546875" customWidth="1"/>
    <col min="13570" max="13570" width="15.28515625" customWidth="1"/>
    <col min="13571" max="13571" width="6.28515625" customWidth="1"/>
    <col min="13573" max="13573" width="4.28515625" customWidth="1"/>
    <col min="13574" max="13574" width="11.28515625" customWidth="1"/>
    <col min="13575" max="13575" width="3.28515625" customWidth="1"/>
    <col min="13576" max="13576" width="9.7109375" customWidth="1"/>
    <col min="13577" max="13579" width="0" hidden="1" customWidth="1"/>
    <col min="13580" max="13580" width="22.5703125" bestFit="1" customWidth="1"/>
    <col min="13581" max="13581" width="32.28515625" customWidth="1"/>
    <col min="13582" max="13582" width="21.28515625" customWidth="1"/>
    <col min="13583" max="13583" width="18.7109375" customWidth="1"/>
    <col min="13585" max="13585" width="26.7109375" customWidth="1"/>
    <col min="13586" max="13586" width="13.140625" customWidth="1"/>
    <col min="13588" max="13588" width="24.140625" customWidth="1"/>
    <col min="13589" max="13590" width="18.42578125" customWidth="1"/>
    <col min="13591" max="13591" width="23.85546875" customWidth="1"/>
    <col min="13592" max="13592" width="23.28515625" customWidth="1"/>
    <col min="13593" max="13593" width="22.7109375" customWidth="1"/>
    <col min="13594" max="13594" width="22.85546875" customWidth="1"/>
    <col min="13595" max="13595" width="22.5703125" customWidth="1"/>
    <col min="13596" max="13596" width="23.42578125" customWidth="1"/>
    <col min="13597" max="13599" width="22.140625" customWidth="1"/>
    <col min="13600" max="13600" width="22.7109375" customWidth="1"/>
    <col min="13601" max="13601" width="22.85546875" customWidth="1"/>
    <col min="13602" max="13602" width="22.5703125" customWidth="1"/>
    <col min="13603" max="13603" width="23.42578125" customWidth="1"/>
    <col min="13604" max="13606" width="22.140625" customWidth="1"/>
    <col min="13825" max="13825" width="22.85546875" customWidth="1"/>
    <col min="13826" max="13826" width="15.28515625" customWidth="1"/>
    <col min="13827" max="13827" width="6.28515625" customWidth="1"/>
    <col min="13829" max="13829" width="4.28515625" customWidth="1"/>
    <col min="13830" max="13830" width="11.28515625" customWidth="1"/>
    <col min="13831" max="13831" width="3.28515625" customWidth="1"/>
    <col min="13832" max="13832" width="9.7109375" customWidth="1"/>
    <col min="13833" max="13835" width="0" hidden="1" customWidth="1"/>
    <col min="13836" max="13836" width="22.5703125" bestFit="1" customWidth="1"/>
    <col min="13837" max="13837" width="32.28515625" customWidth="1"/>
    <col min="13838" max="13838" width="21.28515625" customWidth="1"/>
    <col min="13839" max="13839" width="18.7109375" customWidth="1"/>
    <col min="13841" max="13841" width="26.7109375" customWidth="1"/>
    <col min="13842" max="13842" width="13.140625" customWidth="1"/>
    <col min="13844" max="13844" width="24.140625" customWidth="1"/>
    <col min="13845" max="13846" width="18.42578125" customWidth="1"/>
    <col min="13847" max="13847" width="23.85546875" customWidth="1"/>
    <col min="13848" max="13848" width="23.28515625" customWidth="1"/>
    <col min="13849" max="13849" width="22.7109375" customWidth="1"/>
    <col min="13850" max="13850" width="22.85546875" customWidth="1"/>
    <col min="13851" max="13851" width="22.5703125" customWidth="1"/>
    <col min="13852" max="13852" width="23.42578125" customWidth="1"/>
    <col min="13853" max="13855" width="22.140625" customWidth="1"/>
    <col min="13856" max="13856" width="22.7109375" customWidth="1"/>
    <col min="13857" max="13857" width="22.85546875" customWidth="1"/>
    <col min="13858" max="13858" width="22.5703125" customWidth="1"/>
    <col min="13859" max="13859" width="23.42578125" customWidth="1"/>
    <col min="13860" max="13862" width="22.140625" customWidth="1"/>
    <col min="14081" max="14081" width="22.85546875" customWidth="1"/>
    <col min="14082" max="14082" width="15.28515625" customWidth="1"/>
    <col min="14083" max="14083" width="6.28515625" customWidth="1"/>
    <col min="14085" max="14085" width="4.28515625" customWidth="1"/>
    <col min="14086" max="14086" width="11.28515625" customWidth="1"/>
    <col min="14087" max="14087" width="3.28515625" customWidth="1"/>
    <col min="14088" max="14088" width="9.7109375" customWidth="1"/>
    <col min="14089" max="14091" width="0" hidden="1" customWidth="1"/>
    <col min="14092" max="14092" width="22.5703125" bestFit="1" customWidth="1"/>
    <col min="14093" max="14093" width="32.28515625" customWidth="1"/>
    <col min="14094" max="14094" width="21.28515625" customWidth="1"/>
    <col min="14095" max="14095" width="18.7109375" customWidth="1"/>
    <col min="14097" max="14097" width="26.7109375" customWidth="1"/>
    <col min="14098" max="14098" width="13.140625" customWidth="1"/>
    <col min="14100" max="14100" width="24.140625" customWidth="1"/>
    <col min="14101" max="14102" width="18.42578125" customWidth="1"/>
    <col min="14103" max="14103" width="23.85546875" customWidth="1"/>
    <col min="14104" max="14104" width="23.28515625" customWidth="1"/>
    <col min="14105" max="14105" width="22.7109375" customWidth="1"/>
    <col min="14106" max="14106" width="22.85546875" customWidth="1"/>
    <col min="14107" max="14107" width="22.5703125" customWidth="1"/>
    <col min="14108" max="14108" width="23.42578125" customWidth="1"/>
    <col min="14109" max="14111" width="22.140625" customWidth="1"/>
    <col min="14112" max="14112" width="22.7109375" customWidth="1"/>
    <col min="14113" max="14113" width="22.85546875" customWidth="1"/>
    <col min="14114" max="14114" width="22.5703125" customWidth="1"/>
    <col min="14115" max="14115" width="23.42578125" customWidth="1"/>
    <col min="14116" max="14118" width="22.140625" customWidth="1"/>
    <col min="14337" max="14337" width="22.85546875" customWidth="1"/>
    <col min="14338" max="14338" width="15.28515625" customWidth="1"/>
    <col min="14339" max="14339" width="6.28515625" customWidth="1"/>
    <col min="14341" max="14341" width="4.28515625" customWidth="1"/>
    <col min="14342" max="14342" width="11.28515625" customWidth="1"/>
    <col min="14343" max="14343" width="3.28515625" customWidth="1"/>
    <col min="14344" max="14344" width="9.7109375" customWidth="1"/>
    <col min="14345" max="14347" width="0" hidden="1" customWidth="1"/>
    <col min="14348" max="14348" width="22.5703125" bestFit="1" customWidth="1"/>
    <col min="14349" max="14349" width="32.28515625" customWidth="1"/>
    <col min="14350" max="14350" width="21.28515625" customWidth="1"/>
    <col min="14351" max="14351" width="18.7109375" customWidth="1"/>
    <col min="14353" max="14353" width="26.7109375" customWidth="1"/>
    <col min="14354" max="14354" width="13.140625" customWidth="1"/>
    <col min="14356" max="14356" width="24.140625" customWidth="1"/>
    <col min="14357" max="14358" width="18.42578125" customWidth="1"/>
    <col min="14359" max="14359" width="23.85546875" customWidth="1"/>
    <col min="14360" max="14360" width="23.28515625" customWidth="1"/>
    <col min="14361" max="14361" width="22.7109375" customWidth="1"/>
    <col min="14362" max="14362" width="22.85546875" customWidth="1"/>
    <col min="14363" max="14363" width="22.5703125" customWidth="1"/>
    <col min="14364" max="14364" width="23.42578125" customWidth="1"/>
    <col min="14365" max="14367" width="22.140625" customWidth="1"/>
    <col min="14368" max="14368" width="22.7109375" customWidth="1"/>
    <col min="14369" max="14369" width="22.85546875" customWidth="1"/>
    <col min="14370" max="14370" width="22.5703125" customWidth="1"/>
    <col min="14371" max="14371" width="23.42578125" customWidth="1"/>
    <col min="14372" max="14374" width="22.140625" customWidth="1"/>
    <col min="14593" max="14593" width="22.85546875" customWidth="1"/>
    <col min="14594" max="14594" width="15.28515625" customWidth="1"/>
    <col min="14595" max="14595" width="6.28515625" customWidth="1"/>
    <col min="14597" max="14597" width="4.28515625" customWidth="1"/>
    <col min="14598" max="14598" width="11.28515625" customWidth="1"/>
    <col min="14599" max="14599" width="3.28515625" customWidth="1"/>
    <col min="14600" max="14600" width="9.7109375" customWidth="1"/>
    <col min="14601" max="14603" width="0" hidden="1" customWidth="1"/>
    <col min="14604" max="14604" width="22.5703125" bestFit="1" customWidth="1"/>
    <col min="14605" max="14605" width="32.28515625" customWidth="1"/>
    <col min="14606" max="14606" width="21.28515625" customWidth="1"/>
    <col min="14607" max="14607" width="18.7109375" customWidth="1"/>
    <col min="14609" max="14609" width="26.7109375" customWidth="1"/>
    <col min="14610" max="14610" width="13.140625" customWidth="1"/>
    <col min="14612" max="14612" width="24.140625" customWidth="1"/>
    <col min="14613" max="14614" width="18.42578125" customWidth="1"/>
    <col min="14615" max="14615" width="23.85546875" customWidth="1"/>
    <col min="14616" max="14616" width="23.28515625" customWidth="1"/>
    <col min="14617" max="14617" width="22.7109375" customWidth="1"/>
    <col min="14618" max="14618" width="22.85546875" customWidth="1"/>
    <col min="14619" max="14619" width="22.5703125" customWidth="1"/>
    <col min="14620" max="14620" width="23.42578125" customWidth="1"/>
    <col min="14621" max="14623" width="22.140625" customWidth="1"/>
    <col min="14624" max="14624" width="22.7109375" customWidth="1"/>
    <col min="14625" max="14625" width="22.85546875" customWidth="1"/>
    <col min="14626" max="14626" width="22.5703125" customWidth="1"/>
    <col min="14627" max="14627" width="23.42578125" customWidth="1"/>
    <col min="14628" max="14630" width="22.140625" customWidth="1"/>
    <col min="14849" max="14849" width="22.85546875" customWidth="1"/>
    <col min="14850" max="14850" width="15.28515625" customWidth="1"/>
    <col min="14851" max="14851" width="6.28515625" customWidth="1"/>
    <col min="14853" max="14853" width="4.28515625" customWidth="1"/>
    <col min="14854" max="14854" width="11.28515625" customWidth="1"/>
    <col min="14855" max="14855" width="3.28515625" customWidth="1"/>
    <col min="14856" max="14856" width="9.7109375" customWidth="1"/>
    <col min="14857" max="14859" width="0" hidden="1" customWidth="1"/>
    <col min="14860" max="14860" width="22.5703125" bestFit="1" customWidth="1"/>
    <col min="14861" max="14861" width="32.28515625" customWidth="1"/>
    <col min="14862" max="14862" width="21.28515625" customWidth="1"/>
    <col min="14863" max="14863" width="18.7109375" customWidth="1"/>
    <col min="14865" max="14865" width="26.7109375" customWidth="1"/>
    <col min="14866" max="14866" width="13.140625" customWidth="1"/>
    <col min="14868" max="14868" width="24.140625" customWidth="1"/>
    <col min="14869" max="14870" width="18.42578125" customWidth="1"/>
    <col min="14871" max="14871" width="23.85546875" customWidth="1"/>
    <col min="14872" max="14872" width="23.28515625" customWidth="1"/>
    <col min="14873" max="14873" width="22.7109375" customWidth="1"/>
    <col min="14874" max="14874" width="22.85546875" customWidth="1"/>
    <col min="14875" max="14875" width="22.5703125" customWidth="1"/>
    <col min="14876" max="14876" width="23.42578125" customWidth="1"/>
    <col min="14877" max="14879" width="22.140625" customWidth="1"/>
    <col min="14880" max="14880" width="22.7109375" customWidth="1"/>
    <col min="14881" max="14881" width="22.85546875" customWidth="1"/>
    <col min="14882" max="14882" width="22.5703125" customWidth="1"/>
    <col min="14883" max="14883" width="23.42578125" customWidth="1"/>
    <col min="14884" max="14886" width="22.140625" customWidth="1"/>
    <col min="15105" max="15105" width="22.85546875" customWidth="1"/>
    <col min="15106" max="15106" width="15.28515625" customWidth="1"/>
    <col min="15107" max="15107" width="6.28515625" customWidth="1"/>
    <col min="15109" max="15109" width="4.28515625" customWidth="1"/>
    <col min="15110" max="15110" width="11.28515625" customWidth="1"/>
    <col min="15111" max="15111" width="3.28515625" customWidth="1"/>
    <col min="15112" max="15112" width="9.7109375" customWidth="1"/>
    <col min="15113" max="15115" width="0" hidden="1" customWidth="1"/>
    <col min="15116" max="15116" width="22.5703125" bestFit="1" customWidth="1"/>
    <col min="15117" max="15117" width="32.28515625" customWidth="1"/>
    <col min="15118" max="15118" width="21.28515625" customWidth="1"/>
    <col min="15119" max="15119" width="18.7109375" customWidth="1"/>
    <col min="15121" max="15121" width="26.7109375" customWidth="1"/>
    <col min="15122" max="15122" width="13.140625" customWidth="1"/>
    <col min="15124" max="15124" width="24.140625" customWidth="1"/>
    <col min="15125" max="15126" width="18.42578125" customWidth="1"/>
    <col min="15127" max="15127" width="23.85546875" customWidth="1"/>
    <col min="15128" max="15128" width="23.28515625" customWidth="1"/>
    <col min="15129" max="15129" width="22.7109375" customWidth="1"/>
    <col min="15130" max="15130" width="22.85546875" customWidth="1"/>
    <col min="15131" max="15131" width="22.5703125" customWidth="1"/>
    <col min="15132" max="15132" width="23.42578125" customWidth="1"/>
    <col min="15133" max="15135" width="22.140625" customWidth="1"/>
    <col min="15136" max="15136" width="22.7109375" customWidth="1"/>
    <col min="15137" max="15137" width="22.85546875" customWidth="1"/>
    <col min="15138" max="15138" width="22.5703125" customWidth="1"/>
    <col min="15139" max="15139" width="23.42578125" customWidth="1"/>
    <col min="15140" max="15142" width="22.140625" customWidth="1"/>
    <col min="15361" max="15361" width="22.85546875" customWidth="1"/>
    <col min="15362" max="15362" width="15.28515625" customWidth="1"/>
    <col min="15363" max="15363" width="6.28515625" customWidth="1"/>
    <col min="15365" max="15365" width="4.28515625" customWidth="1"/>
    <col min="15366" max="15366" width="11.28515625" customWidth="1"/>
    <col min="15367" max="15367" width="3.28515625" customWidth="1"/>
    <col min="15368" max="15368" width="9.7109375" customWidth="1"/>
    <col min="15369" max="15371" width="0" hidden="1" customWidth="1"/>
    <col min="15372" max="15372" width="22.5703125" bestFit="1" customWidth="1"/>
    <col min="15373" max="15373" width="32.28515625" customWidth="1"/>
    <col min="15374" max="15374" width="21.28515625" customWidth="1"/>
    <col min="15375" max="15375" width="18.7109375" customWidth="1"/>
    <col min="15377" max="15377" width="26.7109375" customWidth="1"/>
    <col min="15378" max="15378" width="13.140625" customWidth="1"/>
    <col min="15380" max="15380" width="24.140625" customWidth="1"/>
    <col min="15381" max="15382" width="18.42578125" customWidth="1"/>
    <col min="15383" max="15383" width="23.85546875" customWidth="1"/>
    <col min="15384" max="15384" width="23.28515625" customWidth="1"/>
    <col min="15385" max="15385" width="22.7109375" customWidth="1"/>
    <col min="15386" max="15386" width="22.85546875" customWidth="1"/>
    <col min="15387" max="15387" width="22.5703125" customWidth="1"/>
    <col min="15388" max="15388" width="23.42578125" customWidth="1"/>
    <col min="15389" max="15391" width="22.140625" customWidth="1"/>
    <col min="15392" max="15392" width="22.7109375" customWidth="1"/>
    <col min="15393" max="15393" width="22.85546875" customWidth="1"/>
    <col min="15394" max="15394" width="22.5703125" customWidth="1"/>
    <col min="15395" max="15395" width="23.42578125" customWidth="1"/>
    <col min="15396" max="15398" width="22.140625" customWidth="1"/>
    <col min="15617" max="15617" width="22.85546875" customWidth="1"/>
    <col min="15618" max="15618" width="15.28515625" customWidth="1"/>
    <col min="15619" max="15619" width="6.28515625" customWidth="1"/>
    <col min="15621" max="15621" width="4.28515625" customWidth="1"/>
    <col min="15622" max="15622" width="11.28515625" customWidth="1"/>
    <col min="15623" max="15623" width="3.28515625" customWidth="1"/>
    <col min="15624" max="15624" width="9.7109375" customWidth="1"/>
    <col min="15625" max="15627" width="0" hidden="1" customWidth="1"/>
    <col min="15628" max="15628" width="22.5703125" bestFit="1" customWidth="1"/>
    <col min="15629" max="15629" width="32.28515625" customWidth="1"/>
    <col min="15630" max="15630" width="21.28515625" customWidth="1"/>
    <col min="15631" max="15631" width="18.7109375" customWidth="1"/>
    <col min="15633" max="15633" width="26.7109375" customWidth="1"/>
    <col min="15634" max="15634" width="13.140625" customWidth="1"/>
    <col min="15636" max="15636" width="24.140625" customWidth="1"/>
    <col min="15637" max="15638" width="18.42578125" customWidth="1"/>
    <col min="15639" max="15639" width="23.85546875" customWidth="1"/>
    <col min="15640" max="15640" width="23.28515625" customWidth="1"/>
    <col min="15641" max="15641" width="22.7109375" customWidth="1"/>
    <col min="15642" max="15642" width="22.85546875" customWidth="1"/>
    <col min="15643" max="15643" width="22.5703125" customWidth="1"/>
    <col min="15644" max="15644" width="23.42578125" customWidth="1"/>
    <col min="15645" max="15647" width="22.140625" customWidth="1"/>
    <col min="15648" max="15648" width="22.7109375" customWidth="1"/>
    <col min="15649" max="15649" width="22.85546875" customWidth="1"/>
    <col min="15650" max="15650" width="22.5703125" customWidth="1"/>
    <col min="15651" max="15651" width="23.42578125" customWidth="1"/>
    <col min="15652" max="15654" width="22.140625" customWidth="1"/>
    <col min="15873" max="15873" width="22.85546875" customWidth="1"/>
    <col min="15874" max="15874" width="15.28515625" customWidth="1"/>
    <col min="15875" max="15875" width="6.28515625" customWidth="1"/>
    <col min="15877" max="15877" width="4.28515625" customWidth="1"/>
    <col min="15878" max="15878" width="11.28515625" customWidth="1"/>
    <col min="15879" max="15879" width="3.28515625" customWidth="1"/>
    <col min="15880" max="15880" width="9.7109375" customWidth="1"/>
    <col min="15881" max="15883" width="0" hidden="1" customWidth="1"/>
    <col min="15884" max="15884" width="22.5703125" bestFit="1" customWidth="1"/>
    <col min="15885" max="15885" width="32.28515625" customWidth="1"/>
    <col min="15886" max="15886" width="21.28515625" customWidth="1"/>
    <col min="15887" max="15887" width="18.7109375" customWidth="1"/>
    <col min="15889" max="15889" width="26.7109375" customWidth="1"/>
    <col min="15890" max="15890" width="13.140625" customWidth="1"/>
    <col min="15892" max="15892" width="24.140625" customWidth="1"/>
    <col min="15893" max="15894" width="18.42578125" customWidth="1"/>
    <col min="15895" max="15895" width="23.85546875" customWidth="1"/>
    <col min="15896" max="15896" width="23.28515625" customWidth="1"/>
    <col min="15897" max="15897" width="22.7109375" customWidth="1"/>
    <col min="15898" max="15898" width="22.85546875" customWidth="1"/>
    <col min="15899" max="15899" width="22.5703125" customWidth="1"/>
    <col min="15900" max="15900" width="23.42578125" customWidth="1"/>
    <col min="15901" max="15903" width="22.140625" customWidth="1"/>
    <col min="15904" max="15904" width="22.7109375" customWidth="1"/>
    <col min="15905" max="15905" width="22.85546875" customWidth="1"/>
    <col min="15906" max="15906" width="22.5703125" customWidth="1"/>
    <col min="15907" max="15907" width="23.42578125" customWidth="1"/>
    <col min="15908" max="15910" width="22.140625" customWidth="1"/>
    <col min="16129" max="16129" width="22.85546875" customWidth="1"/>
    <col min="16130" max="16130" width="15.28515625" customWidth="1"/>
    <col min="16131" max="16131" width="6.28515625" customWidth="1"/>
    <col min="16133" max="16133" width="4.28515625" customWidth="1"/>
    <col min="16134" max="16134" width="11.28515625" customWidth="1"/>
    <col min="16135" max="16135" width="3.28515625" customWidth="1"/>
    <col min="16136" max="16136" width="9.7109375" customWidth="1"/>
    <col min="16137" max="16139" width="0" hidden="1" customWidth="1"/>
    <col min="16140" max="16140" width="22.5703125" bestFit="1" customWidth="1"/>
    <col min="16141" max="16141" width="32.28515625" customWidth="1"/>
    <col min="16142" max="16142" width="21.28515625" customWidth="1"/>
    <col min="16143" max="16143" width="18.7109375" customWidth="1"/>
    <col min="16145" max="16145" width="26.7109375" customWidth="1"/>
    <col min="16146" max="16146" width="13.140625" customWidth="1"/>
    <col min="16148" max="16148" width="24.140625" customWidth="1"/>
    <col min="16149" max="16150" width="18.42578125" customWidth="1"/>
    <col min="16151" max="16151" width="23.85546875" customWidth="1"/>
    <col min="16152" max="16152" width="23.28515625" customWidth="1"/>
    <col min="16153" max="16153" width="22.7109375" customWidth="1"/>
    <col min="16154" max="16154" width="22.85546875" customWidth="1"/>
    <col min="16155" max="16155" width="22.5703125" customWidth="1"/>
    <col min="16156" max="16156" width="23.42578125" customWidth="1"/>
    <col min="16157" max="16159" width="22.140625" customWidth="1"/>
    <col min="16160" max="16160" width="22.7109375" customWidth="1"/>
    <col min="16161" max="16161" width="22.85546875" customWidth="1"/>
    <col min="16162" max="16162" width="22.5703125" customWidth="1"/>
    <col min="16163" max="16163" width="23.42578125" customWidth="1"/>
    <col min="16164" max="16166" width="22.140625" customWidth="1"/>
  </cols>
  <sheetData>
    <row r="3" spans="1:38" ht="18.75" thickBot="1" x14ac:dyDescent="0.3">
      <c r="A3" s="329" t="s">
        <v>198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38" ht="18" x14ac:dyDescent="0.25">
      <c r="A4" s="329" t="s">
        <v>199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T4" t="s">
        <v>200</v>
      </c>
      <c r="Y4" s="512" t="s">
        <v>201</v>
      </c>
      <c r="Z4" s="513"/>
      <c r="AA4" s="513"/>
      <c r="AB4" s="513"/>
      <c r="AC4" s="513"/>
      <c r="AD4" s="513"/>
      <c r="AE4" s="514"/>
      <c r="AF4" s="515" t="s">
        <v>202</v>
      </c>
      <c r="AG4" s="516"/>
      <c r="AH4" s="516"/>
      <c r="AI4" s="516"/>
      <c r="AJ4" s="516"/>
      <c r="AK4" s="516"/>
      <c r="AL4" s="517"/>
    </row>
    <row r="5" spans="1:38" x14ac:dyDescent="0.2">
      <c r="T5" t="s">
        <v>22</v>
      </c>
      <c r="Y5" s="331"/>
      <c r="Z5" s="518" t="s">
        <v>203</v>
      </c>
      <c r="AA5" s="518"/>
      <c r="AB5" s="518" t="s">
        <v>204</v>
      </c>
      <c r="AC5" s="518"/>
      <c r="AD5" s="332" t="s">
        <v>205</v>
      </c>
      <c r="AE5" s="333" t="s">
        <v>206</v>
      </c>
      <c r="AF5" s="334"/>
      <c r="AG5" s="519" t="s">
        <v>203</v>
      </c>
      <c r="AH5" s="519"/>
      <c r="AI5" s="519" t="s">
        <v>204</v>
      </c>
      <c r="AJ5" s="519"/>
      <c r="AK5" s="335" t="s">
        <v>205</v>
      </c>
      <c r="AL5" s="336" t="s">
        <v>204</v>
      </c>
    </row>
    <row r="6" spans="1:38" ht="15.75" x14ac:dyDescent="0.25">
      <c r="A6" s="337" t="s">
        <v>207</v>
      </c>
      <c r="L6" s="338">
        <v>41670</v>
      </c>
      <c r="M6" s="338"/>
      <c r="P6" s="339" t="s">
        <v>208</v>
      </c>
      <c r="Q6" s="327" t="s">
        <v>209</v>
      </c>
      <c r="T6" t="s">
        <v>210</v>
      </c>
      <c r="U6" s="327" t="s">
        <v>211</v>
      </c>
      <c r="V6" s="327" t="s">
        <v>212</v>
      </c>
      <c r="W6" s="327" t="s">
        <v>21</v>
      </c>
      <c r="X6" s="327" t="s">
        <v>213</v>
      </c>
      <c r="Y6" s="340" t="s">
        <v>214</v>
      </c>
      <c r="Z6" s="341" t="s">
        <v>215</v>
      </c>
      <c r="AA6" s="341" t="s">
        <v>216</v>
      </c>
      <c r="AB6" s="341" t="s">
        <v>215</v>
      </c>
      <c r="AC6" s="341" t="s">
        <v>216</v>
      </c>
      <c r="AD6" s="341" t="s">
        <v>215</v>
      </c>
      <c r="AE6" s="342" t="s">
        <v>215</v>
      </c>
      <c r="AF6" s="343" t="s">
        <v>214</v>
      </c>
      <c r="AG6" s="344" t="s">
        <v>215</v>
      </c>
      <c r="AH6" s="344" t="s">
        <v>216</v>
      </c>
      <c r="AI6" s="344" t="s">
        <v>215</v>
      </c>
      <c r="AJ6" s="344" t="s">
        <v>216</v>
      </c>
      <c r="AK6" s="344" t="s">
        <v>215</v>
      </c>
      <c r="AL6" s="345" t="s">
        <v>215</v>
      </c>
    </row>
    <row r="7" spans="1:38" x14ac:dyDescent="0.2">
      <c r="B7" s="346" t="s">
        <v>217</v>
      </c>
      <c r="F7" s="346" t="s">
        <v>218</v>
      </c>
      <c r="H7" s="346" t="s">
        <v>219</v>
      </c>
      <c r="I7" s="346"/>
      <c r="J7" s="346"/>
      <c r="K7" s="346" t="s">
        <v>8</v>
      </c>
      <c r="L7" s="346" t="s">
        <v>220</v>
      </c>
      <c r="M7" s="346"/>
      <c r="N7" s="346" t="s">
        <v>221</v>
      </c>
      <c r="O7" s="346" t="s">
        <v>222</v>
      </c>
      <c r="P7" s="346" t="s">
        <v>223</v>
      </c>
      <c r="Q7" s="346" t="s">
        <v>224</v>
      </c>
      <c r="W7" s="339" t="s">
        <v>225</v>
      </c>
      <c r="X7" s="327" t="s">
        <v>225</v>
      </c>
      <c r="Y7" s="340" t="s">
        <v>225</v>
      </c>
      <c r="Z7" s="347" t="s">
        <v>225</v>
      </c>
      <c r="AA7" s="347" t="s">
        <v>225</v>
      </c>
      <c r="AB7" s="347" t="s">
        <v>225</v>
      </c>
      <c r="AC7" s="347" t="s">
        <v>225</v>
      </c>
      <c r="AD7" s="347" t="s">
        <v>225</v>
      </c>
      <c r="AE7" s="348" t="s">
        <v>225</v>
      </c>
      <c r="AF7" s="349" t="s">
        <v>225</v>
      </c>
      <c r="AG7" s="350" t="s">
        <v>225</v>
      </c>
      <c r="AH7" s="350" t="s">
        <v>225</v>
      </c>
      <c r="AI7" s="350" t="s">
        <v>225</v>
      </c>
      <c r="AJ7" s="350" t="s">
        <v>225</v>
      </c>
      <c r="AK7" s="350" t="s">
        <v>225</v>
      </c>
      <c r="AL7" s="351" t="s">
        <v>225</v>
      </c>
    </row>
    <row r="8" spans="1:38" x14ac:dyDescent="0.2">
      <c r="A8" s="352" t="s">
        <v>152</v>
      </c>
      <c r="B8" s="352"/>
      <c r="Y8" s="331"/>
      <c r="Z8" s="353"/>
      <c r="AA8" s="353"/>
      <c r="AB8" s="353"/>
      <c r="AC8" s="353"/>
      <c r="AD8" s="353"/>
      <c r="AE8" s="354"/>
      <c r="AF8" s="334"/>
      <c r="AG8" s="355"/>
      <c r="AH8" s="355"/>
      <c r="AI8" s="355"/>
      <c r="AJ8" s="355"/>
      <c r="AK8" s="355"/>
      <c r="AL8" s="356"/>
    </row>
    <row r="9" spans="1:38" ht="15" customHeight="1" x14ac:dyDescent="0.2">
      <c r="A9" s="357" t="s">
        <v>226</v>
      </c>
      <c r="B9" s="338">
        <v>40498</v>
      </c>
      <c r="F9" s="339" t="s">
        <v>227</v>
      </c>
      <c r="H9" s="358">
        <v>1.6250000000000001E-2</v>
      </c>
      <c r="I9" s="358"/>
      <c r="L9" s="359">
        <v>250000000</v>
      </c>
      <c r="M9" s="359"/>
      <c r="O9" s="360"/>
      <c r="P9" s="339" t="s">
        <v>228</v>
      </c>
      <c r="T9" s="361"/>
      <c r="U9" s="361"/>
      <c r="V9" s="361"/>
      <c r="W9" s="361"/>
      <c r="X9" s="361"/>
      <c r="Y9" s="362"/>
      <c r="Z9" s="353"/>
      <c r="AA9" s="353"/>
      <c r="AB9" s="353"/>
      <c r="AC9" s="353"/>
      <c r="AD9" s="353"/>
      <c r="AE9" s="354"/>
      <c r="AF9" s="363"/>
      <c r="AG9" s="355"/>
      <c r="AH9" s="355"/>
      <c r="AI9" s="355"/>
      <c r="AJ9" s="355"/>
      <c r="AK9" s="355"/>
      <c r="AL9" s="356"/>
    </row>
    <row r="10" spans="1:38" ht="15" customHeight="1" x14ac:dyDescent="0.35">
      <c r="A10" s="357" t="s">
        <v>229</v>
      </c>
      <c r="B10" s="338">
        <v>40498</v>
      </c>
      <c r="F10" s="339" t="s">
        <v>230</v>
      </c>
      <c r="H10" s="358">
        <v>5.1249999999999997E-2</v>
      </c>
      <c r="I10" s="358"/>
      <c r="L10" s="359">
        <v>285000000</v>
      </c>
      <c r="M10" s="364"/>
      <c r="O10" s="365"/>
      <c r="P10" s="339" t="s">
        <v>231</v>
      </c>
      <c r="T10" s="366" t="s">
        <v>232</v>
      </c>
      <c r="U10" s="361"/>
      <c r="V10" s="361"/>
      <c r="W10" s="361"/>
      <c r="X10" s="361"/>
      <c r="Y10" s="362"/>
      <c r="Z10" s="353"/>
      <c r="AA10" s="353"/>
      <c r="AB10" s="353"/>
      <c r="AC10" s="353"/>
      <c r="AD10" s="353"/>
      <c r="AE10" s="354"/>
      <c r="AF10" s="363"/>
      <c r="AG10" s="355"/>
      <c r="AH10" s="355"/>
      <c r="AI10" s="355"/>
      <c r="AJ10" s="355"/>
      <c r="AK10" s="355"/>
      <c r="AL10" s="356"/>
    </row>
    <row r="11" spans="1:38" ht="15" customHeight="1" x14ac:dyDescent="0.35">
      <c r="A11" s="357" t="s">
        <v>233</v>
      </c>
      <c r="B11" s="367">
        <v>41592</v>
      </c>
      <c r="F11" s="339" t="s">
        <v>234</v>
      </c>
      <c r="H11" s="358">
        <v>4.65E-2</v>
      </c>
      <c r="I11" s="358"/>
      <c r="L11" s="364">
        <v>250000000</v>
      </c>
      <c r="M11" s="364"/>
      <c r="O11" s="365"/>
      <c r="P11" s="339"/>
      <c r="T11" s="366"/>
      <c r="U11" s="361"/>
      <c r="V11" s="361"/>
      <c r="W11" s="361"/>
      <c r="X11" s="361"/>
      <c r="Y11" s="362"/>
      <c r="Z11" s="353"/>
      <c r="AA11" s="353"/>
      <c r="AB11" s="353"/>
      <c r="AC11" s="353"/>
      <c r="AD11" s="353"/>
      <c r="AE11" s="354"/>
      <c r="AF11" s="363"/>
      <c r="AG11" s="355"/>
      <c r="AH11" s="355"/>
      <c r="AI11" s="355"/>
      <c r="AJ11" s="355"/>
      <c r="AK11" s="355"/>
      <c r="AL11" s="356"/>
    </row>
    <row r="12" spans="1:38" ht="15" customHeight="1" x14ac:dyDescent="0.2">
      <c r="A12" s="368"/>
      <c r="H12" s="369" t="s">
        <v>235</v>
      </c>
      <c r="I12" s="358"/>
      <c r="L12" s="359">
        <f>SUM(L9:L11)</f>
        <v>785000000</v>
      </c>
      <c r="M12" s="359"/>
      <c r="O12" s="360"/>
      <c r="T12" s="361"/>
      <c r="U12" s="361"/>
      <c r="V12" s="361"/>
      <c r="W12" s="361"/>
      <c r="X12" s="361"/>
      <c r="Y12" s="362"/>
      <c r="Z12" s="353"/>
      <c r="AA12" s="353"/>
      <c r="AB12" s="353"/>
      <c r="AC12" s="353"/>
      <c r="AD12" s="353"/>
      <c r="AE12" s="354"/>
      <c r="AF12" s="363"/>
      <c r="AG12" s="355"/>
      <c r="AH12" s="355"/>
      <c r="AI12" s="355"/>
      <c r="AJ12" s="355"/>
      <c r="AK12" s="355"/>
      <c r="AL12" s="356"/>
    </row>
    <row r="13" spans="1:38" ht="15" customHeight="1" x14ac:dyDescent="0.2">
      <c r="A13" s="368"/>
      <c r="F13" s="327"/>
      <c r="H13" s="358"/>
      <c r="I13" s="358"/>
      <c r="L13" s="359"/>
      <c r="M13" s="359"/>
      <c r="O13" s="360"/>
      <c r="T13" s="361"/>
      <c r="U13" s="361"/>
      <c r="V13" s="361"/>
      <c r="W13" s="361"/>
      <c r="X13" s="361"/>
      <c r="Y13" s="362"/>
      <c r="Z13" s="353"/>
      <c r="AA13" s="353"/>
      <c r="AB13" s="353"/>
      <c r="AC13" s="353"/>
      <c r="AD13" s="353"/>
      <c r="AE13" s="354"/>
      <c r="AF13" s="363"/>
      <c r="AG13" s="355"/>
      <c r="AH13" s="355"/>
      <c r="AI13" s="355"/>
      <c r="AJ13" s="355"/>
      <c r="AK13" s="355"/>
      <c r="AL13" s="356"/>
    </row>
    <row r="14" spans="1:38" ht="15" x14ac:dyDescent="0.2">
      <c r="A14" s="370" t="s">
        <v>236</v>
      </c>
      <c r="F14" s="327"/>
      <c r="L14" s="359"/>
      <c r="M14" s="359"/>
      <c r="O14" s="360"/>
      <c r="T14" s="361"/>
      <c r="U14" s="361"/>
      <c r="V14" s="361"/>
      <c r="W14" s="361"/>
      <c r="X14" s="361"/>
      <c r="Y14" s="371"/>
      <c r="Z14" s="353"/>
      <c r="AA14" s="372"/>
      <c r="AB14" s="353"/>
      <c r="AC14" s="353"/>
      <c r="AD14" s="353"/>
      <c r="AE14" s="354"/>
      <c r="AF14" s="373"/>
      <c r="AG14" s="355"/>
      <c r="AH14" s="374"/>
      <c r="AI14" s="355"/>
      <c r="AJ14" s="355"/>
      <c r="AK14" s="355"/>
      <c r="AL14" s="356"/>
    </row>
    <row r="15" spans="1:38" ht="15" x14ac:dyDescent="0.2">
      <c r="A15" s="375" t="s">
        <v>237</v>
      </c>
      <c r="B15" s="338">
        <v>36665</v>
      </c>
      <c r="D15" t="s">
        <v>238</v>
      </c>
      <c r="F15" s="327"/>
      <c r="H15" s="376" t="s">
        <v>20</v>
      </c>
      <c r="I15" s="377">
        <f>(0.0475*18+0.0445*3)/21</f>
        <v>4.707142857142857E-2</v>
      </c>
      <c r="J15">
        <f>I15*L15/L$79</f>
        <v>2.4556870463854423E-4</v>
      </c>
      <c r="K15" s="378"/>
      <c r="L15" s="359">
        <v>25000000</v>
      </c>
      <c r="M15" s="25" t="s">
        <v>239</v>
      </c>
      <c r="N15" t="s">
        <v>240</v>
      </c>
      <c r="O15" s="365">
        <v>42704</v>
      </c>
      <c r="Q15" s="379" t="s">
        <v>241</v>
      </c>
      <c r="S15" t="s">
        <v>242</v>
      </c>
      <c r="T15" s="361"/>
      <c r="U15" s="380"/>
      <c r="V15" s="380">
        <f>L15</f>
        <v>25000000</v>
      </c>
      <c r="W15" s="381" t="str">
        <f>H15</f>
        <v>Variable</v>
      </c>
      <c r="X15" s="381"/>
      <c r="Y15" s="382" t="e">
        <f t="shared" ref="Y15:Y27" si="0">$L15*($W15+$X15)/L$79</f>
        <v>#VALUE!</v>
      </c>
      <c r="Z15" s="372"/>
      <c r="AA15" s="372" t="e">
        <f>($U15+$V15)*($W15+$X15)/($V$34)</f>
        <v>#VALUE!</v>
      </c>
      <c r="AB15" s="372"/>
      <c r="AC15" s="372" t="e">
        <f>($U15+$V15)*($W15+$X15)/($V$79)</f>
        <v>#VALUE!</v>
      </c>
      <c r="AD15" s="372"/>
      <c r="AE15" s="383"/>
      <c r="AF15" s="384" t="e">
        <f>$L15*($W15+$X15)/#REF!</f>
        <v>#VALUE!</v>
      </c>
      <c r="AG15" s="374"/>
      <c r="AH15" s="374" t="e">
        <f>($U15+$V15)*($W15+$X15)/($V$35)</f>
        <v>#VALUE!</v>
      </c>
      <c r="AI15" s="374"/>
      <c r="AJ15" s="374" t="e">
        <f>($U15+$V15)*($W15+$X15)/(#REF!)</f>
        <v>#VALUE!</v>
      </c>
      <c r="AK15" s="374"/>
      <c r="AL15" s="385"/>
    </row>
    <row r="16" spans="1:38" ht="15" x14ac:dyDescent="0.2">
      <c r="A16" s="386">
        <v>47696</v>
      </c>
      <c r="B16" s="338">
        <v>36747</v>
      </c>
      <c r="D16" t="s">
        <v>243</v>
      </c>
      <c r="F16" s="327" t="s">
        <v>244</v>
      </c>
      <c r="H16" s="377" t="s">
        <v>20</v>
      </c>
      <c r="I16" s="377">
        <f>(0.0455*16+0.048*5)/21</f>
        <v>4.6095238095238092E-2</v>
      </c>
      <c r="J16">
        <f>I16*L16/L$79</f>
        <v>8.0160263126026845E-4</v>
      </c>
      <c r="K16" s="378">
        <v>5.0000000000000001E-3</v>
      </c>
      <c r="L16" s="359">
        <v>83335000</v>
      </c>
      <c r="M16" s="25" t="s">
        <v>245</v>
      </c>
      <c r="N16" t="s">
        <v>246</v>
      </c>
      <c r="O16" s="327" t="s">
        <v>28</v>
      </c>
      <c r="Q16" t="s">
        <v>247</v>
      </c>
      <c r="S16" t="s">
        <v>248</v>
      </c>
      <c r="T16" s="387">
        <v>44136</v>
      </c>
      <c r="U16" s="380"/>
      <c r="V16" s="380">
        <f>L16</f>
        <v>83335000</v>
      </c>
      <c r="W16" s="381"/>
      <c r="X16" s="388">
        <v>5.4949999999999999E-2</v>
      </c>
      <c r="Y16" s="382">
        <f t="shared" si="0"/>
        <v>9.5558817804006896E-4</v>
      </c>
      <c r="Z16" s="372"/>
      <c r="AA16" s="372">
        <f>($U16+$V16)*($W16+$X16)/($V$34)</f>
        <v>1.0079722498591251E-2</v>
      </c>
      <c r="AB16" s="372"/>
      <c r="AC16" s="372" t="e">
        <f>($U16+$V16)*($W16+$X16)/($V$79)</f>
        <v>#REF!</v>
      </c>
      <c r="AD16" s="372"/>
      <c r="AE16" s="383"/>
      <c r="AF16" s="384" t="e">
        <f>$L16*($W16+$X16)/#REF!</f>
        <v>#REF!</v>
      </c>
      <c r="AG16" s="374"/>
      <c r="AH16" s="374">
        <f>($U16+$V16)*($W16+$X16)/($V$35)</f>
        <v>1.5730660691711553E-2</v>
      </c>
      <c r="AI16" s="374"/>
      <c r="AJ16" s="374" t="e">
        <f>($U16+$V16)*($W16+$X16)/(#REF!)</f>
        <v>#REF!</v>
      </c>
      <c r="AK16" s="374"/>
      <c r="AL16" s="385"/>
    </row>
    <row r="17" spans="1:38" ht="15" x14ac:dyDescent="0.2">
      <c r="A17" s="375" t="s">
        <v>249</v>
      </c>
      <c r="B17" s="338">
        <v>37145</v>
      </c>
      <c r="D17" t="s">
        <v>250</v>
      </c>
      <c r="F17" s="327" t="s">
        <v>251</v>
      </c>
      <c r="H17" s="377" t="s">
        <v>20</v>
      </c>
      <c r="I17" s="358"/>
      <c r="K17" s="378">
        <v>5.0000000000000001E-3</v>
      </c>
      <c r="L17" s="359">
        <v>10104000</v>
      </c>
      <c r="M17" s="25" t="s">
        <v>252</v>
      </c>
      <c r="N17" t="s">
        <v>246</v>
      </c>
      <c r="O17" s="389"/>
      <c r="Q17" t="s">
        <v>253</v>
      </c>
      <c r="S17" t="s">
        <v>248</v>
      </c>
      <c r="T17" s="361"/>
      <c r="U17" s="380"/>
      <c r="V17" s="380">
        <f>L17</f>
        <v>10104000</v>
      </c>
      <c r="W17" s="381"/>
      <c r="X17" s="390">
        <v>1.4000000000000002E-3</v>
      </c>
      <c r="Y17" s="382">
        <f t="shared" si="0"/>
        <v>2.9518684890251827E-6</v>
      </c>
      <c r="Z17" s="372"/>
      <c r="AA17" s="372">
        <f>($U17+$V17)*($W17+$X17)/($V$34)</f>
        <v>3.1136859899978874E-5</v>
      </c>
      <c r="AB17" s="372"/>
      <c r="AC17" s="372" t="e">
        <f>($U17+$V17)*($W17+$X17)/($V$79)</f>
        <v>#REF!</v>
      </c>
      <c r="AD17" s="372"/>
      <c r="AE17" s="383"/>
      <c r="AF17" s="384" t="e">
        <f>$L17*($W17+$X17)/#REF!</f>
        <v>#REF!</v>
      </c>
      <c r="AG17" s="374"/>
      <c r="AH17" s="374">
        <f>($U17+$V17)*($W17+$X17)/($V$35)</f>
        <v>4.8592942728371995E-5</v>
      </c>
      <c r="AI17" s="374"/>
      <c r="AJ17" s="374" t="e">
        <f>($U17+$V17)*($W17+$X17)/(#REF!)</f>
        <v>#REF!</v>
      </c>
      <c r="AK17" s="374"/>
      <c r="AL17" s="385"/>
    </row>
    <row r="18" spans="1:38" ht="15" x14ac:dyDescent="0.2">
      <c r="A18" s="375" t="s">
        <v>254</v>
      </c>
      <c r="B18" s="338">
        <v>37321</v>
      </c>
      <c r="D18" t="s">
        <v>255</v>
      </c>
      <c r="F18" s="327" t="s">
        <v>256</v>
      </c>
      <c r="H18" s="27" t="s">
        <v>20</v>
      </c>
      <c r="I18" s="27">
        <v>4.7219999999999998E-2</v>
      </c>
      <c r="J18">
        <f>I18*L18/L$79</f>
        <v>2.2170941325675862E-4</v>
      </c>
      <c r="K18" s="378">
        <v>1.2500000000000001E-2</v>
      </c>
      <c r="L18" s="359">
        <v>22500000</v>
      </c>
      <c r="M18" t="s">
        <v>252</v>
      </c>
      <c r="N18" t="s">
        <v>240</v>
      </c>
      <c r="O18" s="327"/>
      <c r="Q18" s="379" t="s">
        <v>257</v>
      </c>
      <c r="S18" t="s">
        <v>242</v>
      </c>
      <c r="T18" s="361"/>
      <c r="U18" s="380">
        <f>L18</f>
        <v>22500000</v>
      </c>
      <c r="V18" s="380"/>
      <c r="W18" s="391"/>
      <c r="X18" s="392">
        <v>6.0000000000000001E-3</v>
      </c>
      <c r="Y18" s="382">
        <f t="shared" si="0"/>
        <v>2.8171462929702494E-5</v>
      </c>
      <c r="Z18" s="393">
        <f>($U18+$V18)*($W18+$X18)/($U$34)</f>
        <v>1.1249999999999999E-3</v>
      </c>
      <c r="AA18" s="353"/>
      <c r="AB18" s="372" t="e">
        <f>($U18+$V18)*($W18+$X18)/($U$79)</f>
        <v>#REF!</v>
      </c>
      <c r="AC18" s="372"/>
      <c r="AD18" s="372">
        <f>($U18+$V18)*($W18+$X18)/($AD$82)</f>
        <v>3.8795622376688508E-4</v>
      </c>
      <c r="AE18" s="354"/>
      <c r="AF18" s="384" t="e">
        <f>$L18*($W18+$X18)/#REF!</f>
        <v>#REF!</v>
      </c>
      <c r="AG18" s="374">
        <f>($U18+$V18)*($W18+$X18)/($U$34)</f>
        <v>1.1249999999999999E-3</v>
      </c>
      <c r="AH18" s="355"/>
      <c r="AI18" s="374" t="e">
        <f>($U18+$V18)*($W18+$X18)/(#REF!)</f>
        <v>#REF!</v>
      </c>
      <c r="AJ18" s="374"/>
      <c r="AK18" s="374">
        <f>($U18+$V18)*($W18+$X18)/($AK$82)</f>
        <v>3.8795622376688508E-4</v>
      </c>
      <c r="AL18" s="356"/>
    </row>
    <row r="19" spans="1:38" ht="15" x14ac:dyDescent="0.2">
      <c r="A19" s="375" t="s">
        <v>254</v>
      </c>
      <c r="B19" s="338">
        <v>37321</v>
      </c>
      <c r="D19" t="s">
        <v>258</v>
      </c>
      <c r="F19" s="327" t="s">
        <v>259</v>
      </c>
      <c r="H19" s="27" t="s">
        <v>20</v>
      </c>
      <c r="I19" s="27">
        <v>4.7219999999999998E-2</v>
      </c>
      <c r="J19">
        <f>I19*L19/L$79</f>
        <v>2.7097817175826056E-4</v>
      </c>
      <c r="K19" s="378">
        <v>1.2500000000000001E-2</v>
      </c>
      <c r="L19" s="359">
        <v>27500000</v>
      </c>
      <c r="M19" t="s">
        <v>260</v>
      </c>
      <c r="N19" t="s">
        <v>240</v>
      </c>
      <c r="O19" s="327"/>
      <c r="Q19" s="379" t="s">
        <v>257</v>
      </c>
      <c r="S19" t="s">
        <v>242</v>
      </c>
      <c r="T19" s="361"/>
      <c r="U19" s="380">
        <f>L19</f>
        <v>27500000</v>
      </c>
      <c r="V19" s="380"/>
      <c r="W19" s="391"/>
      <c r="X19" s="392">
        <v>8.9999999999999993E-3</v>
      </c>
      <c r="Y19" s="382">
        <f t="shared" si="0"/>
        <v>5.1647682037787896E-5</v>
      </c>
      <c r="Z19" s="393">
        <f>($U19+$V19)*($W19+$X19)/($U$34)</f>
        <v>2.0624999999999997E-3</v>
      </c>
      <c r="AA19" s="353"/>
      <c r="AB19" s="372" t="e">
        <f>($U19+$V19)*($W19+$X19)/($U$79)</f>
        <v>#REF!</v>
      </c>
      <c r="AC19" s="372"/>
      <c r="AD19" s="372">
        <f>($U19+$V19)*($W19+$X19)/($AD$82)</f>
        <v>7.112530769059559E-4</v>
      </c>
      <c r="AE19" s="354"/>
      <c r="AF19" s="384" t="e">
        <f>$L19*($W19+$X19)/#REF!</f>
        <v>#REF!</v>
      </c>
      <c r="AG19" s="374">
        <f>($U19+$V19)*($W19+$X19)/($U$34)</f>
        <v>2.0624999999999997E-3</v>
      </c>
      <c r="AH19" s="355"/>
      <c r="AI19" s="374" t="e">
        <f>($U19+$V19)*($W19+$X19)/(#REF!)</f>
        <v>#REF!</v>
      </c>
      <c r="AJ19" s="374"/>
      <c r="AK19" s="374">
        <f>($U19+$V19)*($W19+$X19)/($AK$82)</f>
        <v>7.112530769059559E-4</v>
      </c>
      <c r="AL19" s="356"/>
    </row>
    <row r="20" spans="1:38" ht="15" x14ac:dyDescent="0.2">
      <c r="A20" s="375" t="s">
        <v>261</v>
      </c>
      <c r="B20" s="338">
        <v>37337</v>
      </c>
      <c r="D20" t="s">
        <v>262</v>
      </c>
      <c r="F20" s="327" t="s">
        <v>263</v>
      </c>
      <c r="H20" s="27" t="s">
        <v>20</v>
      </c>
      <c r="I20" s="27">
        <v>4.7219999999999998E-2</v>
      </c>
      <c r="J20">
        <f>I20*L20/L$79</f>
        <v>3.4488130951051342E-4</v>
      </c>
      <c r="K20" s="378">
        <v>9.4999999999999998E-3</v>
      </c>
      <c r="L20" s="394">
        <v>35000000</v>
      </c>
      <c r="M20" t="s">
        <v>264</v>
      </c>
      <c r="N20" t="s">
        <v>240</v>
      </c>
      <c r="O20" s="327"/>
      <c r="Q20" s="379" t="s">
        <v>253</v>
      </c>
      <c r="S20" t="s">
        <v>248</v>
      </c>
      <c r="T20" s="387"/>
      <c r="U20" s="380">
        <f>L20</f>
        <v>35000000</v>
      </c>
      <c r="V20" s="380"/>
      <c r="W20" s="381"/>
      <c r="X20" s="390">
        <v>7.4999999999999997E-3</v>
      </c>
      <c r="Y20" s="382">
        <f t="shared" si="0"/>
        <v>5.4777844585532629E-5</v>
      </c>
      <c r="Z20" s="393">
        <f>($U20+$V20)*($W20+$X20)/($U$34)</f>
        <v>2.1875000000000002E-3</v>
      </c>
      <c r="AA20" s="372"/>
      <c r="AB20" s="372" t="e">
        <f>($U20+$V20)*($W20+$X20)/($U$79)</f>
        <v>#REF!</v>
      </c>
      <c r="AC20" s="372"/>
      <c r="AD20" s="372">
        <f>($U20+$V20)*($W20+$X20)/($AD$82)</f>
        <v>7.5435932399116551E-4</v>
      </c>
      <c r="AE20" s="383"/>
      <c r="AF20" s="384" t="e">
        <f>$L20*($W20+$X20)/#REF!</f>
        <v>#REF!</v>
      </c>
      <c r="AG20" s="374">
        <f>($U20+$V20)*($W20+$X20)/($U$34)</f>
        <v>2.1875000000000002E-3</v>
      </c>
      <c r="AH20" s="374"/>
      <c r="AI20" s="374" t="e">
        <f>($U20+$V20)*($W20+$X20)/(#REF!)</f>
        <v>#REF!</v>
      </c>
      <c r="AJ20" s="374"/>
      <c r="AK20" s="374">
        <f>($U20+$V20)*($W20+$X20)/($AK$82)</f>
        <v>7.5435932399116551E-4</v>
      </c>
      <c r="AL20" s="385"/>
    </row>
    <row r="21" spans="1:38" ht="15" x14ac:dyDescent="0.2">
      <c r="A21" s="375" t="s">
        <v>261</v>
      </c>
      <c r="B21" s="338">
        <v>37337</v>
      </c>
      <c r="D21" t="s">
        <v>265</v>
      </c>
      <c r="F21" s="327" t="s">
        <v>266</v>
      </c>
      <c r="H21" s="27" t="s">
        <v>20</v>
      </c>
      <c r="I21" s="27">
        <v>4.7219999999999998E-2</v>
      </c>
      <c r="J21">
        <f>I21*L21/L$79</f>
        <v>3.4488130951051342E-4</v>
      </c>
      <c r="K21" s="378">
        <v>9.4999999999999998E-3</v>
      </c>
      <c r="L21" s="359">
        <v>35000000</v>
      </c>
      <c r="M21" t="s">
        <v>267</v>
      </c>
      <c r="N21" t="s">
        <v>240</v>
      </c>
      <c r="O21" s="327"/>
      <c r="Q21" s="379" t="s">
        <v>253</v>
      </c>
      <c r="S21" t="s">
        <v>248</v>
      </c>
      <c r="T21" s="387"/>
      <c r="U21" s="380">
        <f>L21</f>
        <v>35000000</v>
      </c>
      <c r="V21" s="380"/>
      <c r="W21" s="381"/>
      <c r="X21" s="390">
        <v>7.4999999999999997E-3</v>
      </c>
      <c r="Y21" s="382">
        <f t="shared" si="0"/>
        <v>5.4777844585532629E-5</v>
      </c>
      <c r="Z21" s="393">
        <f>($U21+$V21)*($W21+$X21)/($U$34)</f>
        <v>2.1875000000000002E-3</v>
      </c>
      <c r="AA21" s="372"/>
      <c r="AB21" s="372" t="e">
        <f>($U21+$V21)*($W21+$X21)/($U$79)</f>
        <v>#REF!</v>
      </c>
      <c r="AC21" s="372"/>
      <c r="AD21" s="372">
        <f>($U21+$V21)*($W21+$X21)/($AD$82)</f>
        <v>7.5435932399116551E-4</v>
      </c>
      <c r="AE21" s="383"/>
      <c r="AF21" s="384" t="e">
        <f>$L21*($W21+$X21)/#REF!</f>
        <v>#REF!</v>
      </c>
      <c r="AG21" s="374">
        <f>($U21+$V21)*($W21+$X21)/($U$34)</f>
        <v>2.1875000000000002E-3</v>
      </c>
      <c r="AH21" s="374"/>
      <c r="AI21" s="374" t="e">
        <f>($U21+$V21)*($W21+$X21)/(#REF!)</f>
        <v>#REF!</v>
      </c>
      <c r="AJ21" s="374"/>
      <c r="AK21" s="374">
        <f>($U21+$V21)*($W21+$X21)/($AK$82)</f>
        <v>7.5435932399116551E-4</v>
      </c>
      <c r="AL21" s="385"/>
    </row>
    <row r="22" spans="1:38" ht="15" x14ac:dyDescent="0.2">
      <c r="A22" s="375" t="s">
        <v>268</v>
      </c>
      <c r="B22" s="338">
        <v>37552</v>
      </c>
      <c r="D22" t="s">
        <v>269</v>
      </c>
      <c r="F22" s="327" t="s">
        <v>270</v>
      </c>
      <c r="H22" s="27" t="s">
        <v>20</v>
      </c>
      <c r="I22" s="358">
        <v>6.5500000000000003E-2</v>
      </c>
      <c r="J22">
        <f>I22*L22/L$79</f>
        <v>5.6949290514278939E-4</v>
      </c>
      <c r="K22" s="378">
        <v>8.2699999999999996E-3</v>
      </c>
      <c r="L22" s="359">
        <v>41665000</v>
      </c>
      <c r="M22" s="25" t="s">
        <v>271</v>
      </c>
      <c r="N22" t="s">
        <v>246</v>
      </c>
      <c r="O22" s="389"/>
      <c r="Q22" t="s">
        <v>272</v>
      </c>
      <c r="S22" t="s">
        <v>248</v>
      </c>
      <c r="T22" s="361"/>
      <c r="U22" s="380"/>
      <c r="V22" s="380">
        <f t="shared" ref="V22:V27" si="1">L22</f>
        <v>41665000</v>
      </c>
      <c r="W22" s="381"/>
      <c r="X22" s="381">
        <v>1.97E-3</v>
      </c>
      <c r="Y22" s="382">
        <f t="shared" si="0"/>
        <v>1.7128259895134276E-5</v>
      </c>
      <c r="Z22" s="372"/>
      <c r="AA22" s="372">
        <f t="shared" ref="AA22:AA27" si="2">($U22+$V22)*($W22+$X22)/($V$34)</f>
        <v>1.8067208301049517E-4</v>
      </c>
      <c r="AB22" s="372"/>
      <c r="AC22" s="372" t="e">
        <f t="shared" ref="AC22:AC27" si="3">($U22+$V22)*($W22+$X22)/($V$79)</f>
        <v>#REF!</v>
      </c>
      <c r="AD22" s="372"/>
      <c r="AE22" s="383"/>
      <c r="AF22" s="384" t="e">
        <f>$L22*($W22+$X22)/#REF!</f>
        <v>#REF!</v>
      </c>
      <c r="AG22" s="374"/>
      <c r="AH22" s="374">
        <f>($U22+$V22)*($W22+$X22)/($V$35)</f>
        <v>2.8196125783225241E-4</v>
      </c>
      <c r="AI22" s="374"/>
      <c r="AJ22" s="374" t="e">
        <f>($U22+$V22)*($W22+$X22)/(#REF!)</f>
        <v>#REF!</v>
      </c>
      <c r="AK22" s="374"/>
      <c r="AL22" s="385"/>
    </row>
    <row r="23" spans="1:38" ht="15" x14ac:dyDescent="0.2">
      <c r="A23" s="395" t="s">
        <v>273</v>
      </c>
      <c r="B23" s="396">
        <v>37945</v>
      </c>
      <c r="C23" s="397"/>
      <c r="D23" s="397" t="s">
        <v>274</v>
      </c>
      <c r="E23" s="397"/>
      <c r="F23" s="398" t="s">
        <v>275</v>
      </c>
      <c r="G23" s="397"/>
      <c r="H23" s="399">
        <v>1.6500000000000001E-2</v>
      </c>
      <c r="I23" s="400"/>
      <c r="J23" s="397"/>
      <c r="K23" s="401">
        <v>9.4999999999999998E-3</v>
      </c>
      <c r="L23" s="402">
        <v>128000000</v>
      </c>
      <c r="M23" s="25" t="s">
        <v>276</v>
      </c>
      <c r="N23" t="s">
        <v>240</v>
      </c>
      <c r="O23" s="403">
        <v>42828</v>
      </c>
      <c r="Q23" s="379" t="s">
        <v>253</v>
      </c>
      <c r="S23" t="s">
        <v>242</v>
      </c>
      <c r="T23" s="404" t="s">
        <v>273</v>
      </c>
      <c r="U23" s="380"/>
      <c r="V23" s="380">
        <f t="shared" si="1"/>
        <v>128000000</v>
      </c>
      <c r="W23" s="381"/>
      <c r="X23" s="388">
        <v>3.6656666666666664E-2</v>
      </c>
      <c r="Y23" s="382">
        <f t="shared" si="0"/>
        <v>9.7912597440138528E-4</v>
      </c>
      <c r="Z23" s="372"/>
      <c r="AA23" s="372">
        <f t="shared" si="2"/>
        <v>1.0328003568829095E-2</v>
      </c>
      <c r="AB23" s="372"/>
      <c r="AC23" s="372" t="e">
        <f t="shared" si="3"/>
        <v>#REF!</v>
      </c>
      <c r="AD23" s="372"/>
      <c r="AE23" s="383"/>
      <c r="AF23" s="384"/>
      <c r="AG23" s="374"/>
      <c r="AH23" s="374"/>
      <c r="AI23" s="374"/>
      <c r="AJ23" s="374"/>
      <c r="AK23" s="374"/>
      <c r="AL23" s="385"/>
    </row>
    <row r="24" spans="1:38" ht="15" x14ac:dyDescent="0.2">
      <c r="A24" s="405" t="s">
        <v>277</v>
      </c>
      <c r="B24" s="338">
        <v>38455</v>
      </c>
      <c r="D24" t="s">
        <v>278</v>
      </c>
      <c r="F24" s="406" t="s">
        <v>279</v>
      </c>
      <c r="H24" s="407">
        <v>2.1999999999999999E-2</v>
      </c>
      <c r="I24" s="358"/>
      <c r="K24" s="378">
        <v>5.7500000000000002E-2</v>
      </c>
      <c r="L24" s="359">
        <v>40000000</v>
      </c>
      <c r="M24" s="25" t="s">
        <v>280</v>
      </c>
      <c r="N24" t="s">
        <v>240</v>
      </c>
      <c r="O24" s="403">
        <v>43677</v>
      </c>
      <c r="Q24" t="s">
        <v>281</v>
      </c>
      <c r="S24" t="s">
        <v>242</v>
      </c>
      <c r="T24" s="361"/>
      <c r="U24" s="380"/>
      <c r="V24" s="380">
        <f t="shared" si="1"/>
        <v>40000000</v>
      </c>
      <c r="W24" s="381">
        <f>H24</f>
        <v>2.1999999999999999E-2</v>
      </c>
      <c r="X24" s="381"/>
      <c r="Y24" s="382">
        <f t="shared" si="0"/>
        <v>1.8363620280102366E-4</v>
      </c>
      <c r="Z24" s="372"/>
      <c r="AA24" s="372">
        <f t="shared" si="2"/>
        <v>1.9370289497781222E-3</v>
      </c>
      <c r="AB24" s="372"/>
      <c r="AC24" s="372" t="e">
        <f t="shared" si="3"/>
        <v>#REF!</v>
      </c>
      <c r="AD24" s="372"/>
      <c r="AE24" s="383"/>
      <c r="AF24" s="384" t="e">
        <f>$L24*($W24+$X24)/#REF!</f>
        <v>#REF!</v>
      </c>
      <c r="AG24" s="374"/>
      <c r="AH24" s="374">
        <f>($U24+$V24)*($W24+$X24)/($V$35)</f>
        <v>3.0229746070133011E-3</v>
      </c>
      <c r="AI24" s="374"/>
      <c r="AJ24" s="374" t="e">
        <f>($U24+$V24)*($W24+$X24)/(#REF!)</f>
        <v>#REF!</v>
      </c>
      <c r="AK24" s="374"/>
      <c r="AL24" s="385"/>
    </row>
    <row r="25" spans="1:38" s="25" customFormat="1" ht="15" x14ac:dyDescent="0.2">
      <c r="A25" s="408" t="s">
        <v>282</v>
      </c>
      <c r="B25" s="409">
        <v>39198</v>
      </c>
      <c r="F25" s="328" t="s">
        <v>283</v>
      </c>
      <c r="H25" s="410">
        <v>4.5999999999999999E-2</v>
      </c>
      <c r="I25" s="411"/>
      <c r="K25" s="412"/>
      <c r="L25" s="40">
        <v>60000000</v>
      </c>
      <c r="M25" t="s">
        <v>284</v>
      </c>
      <c r="N25" s="25" t="s">
        <v>246</v>
      </c>
      <c r="O25" s="413"/>
      <c r="S25" s="25" t="s">
        <v>242</v>
      </c>
      <c r="T25" s="414"/>
      <c r="U25" s="415"/>
      <c r="V25" s="380">
        <f t="shared" si="1"/>
        <v>60000000</v>
      </c>
      <c r="W25" s="381">
        <f>H25</f>
        <v>4.5999999999999999E-2</v>
      </c>
      <c r="X25" s="416"/>
      <c r="Y25" s="382">
        <f t="shared" si="0"/>
        <v>5.7594990878502875E-4</v>
      </c>
      <c r="Z25" s="372"/>
      <c r="AA25" s="372">
        <f t="shared" si="2"/>
        <v>6.0752271606677464E-3</v>
      </c>
      <c r="AB25" s="372"/>
      <c r="AC25" s="372" t="e">
        <f t="shared" si="3"/>
        <v>#REF!</v>
      </c>
      <c r="AD25" s="372"/>
      <c r="AE25" s="383"/>
      <c r="AF25" s="384" t="e">
        <f>$L25*($W25+$X25)/#REF!</f>
        <v>#REF!</v>
      </c>
      <c r="AG25" s="374"/>
      <c r="AH25" s="374">
        <f>($U25+$V25)*($W25+$X25)/($V$35)</f>
        <v>9.4811476310871709E-3</v>
      </c>
      <c r="AI25" s="374"/>
      <c r="AJ25" s="374" t="e">
        <f>($U25+$V25)*($W25+$X25)/(#REF!)</f>
        <v>#REF!</v>
      </c>
      <c r="AK25" s="374"/>
      <c r="AL25" s="385"/>
    </row>
    <row r="26" spans="1:38" s="25" customFormat="1" ht="15" x14ac:dyDescent="0.2">
      <c r="A26" s="395" t="s">
        <v>282</v>
      </c>
      <c r="B26" s="396">
        <v>39198</v>
      </c>
      <c r="C26" s="397"/>
      <c r="D26" s="397"/>
      <c r="E26" s="397"/>
      <c r="F26" s="398" t="s">
        <v>285</v>
      </c>
      <c r="G26" s="397"/>
      <c r="H26" s="399">
        <v>1.6E-2</v>
      </c>
      <c r="I26" s="400"/>
      <c r="J26" s="397"/>
      <c r="K26" s="401">
        <v>2.75E-2</v>
      </c>
      <c r="L26" s="402">
        <v>35200000</v>
      </c>
      <c r="M26" s="25" t="s">
        <v>286</v>
      </c>
      <c r="N26" s="417" t="s">
        <v>240</v>
      </c>
      <c r="O26" s="418">
        <v>42887</v>
      </c>
      <c r="Q26" s="417" t="s">
        <v>287</v>
      </c>
      <c r="S26" s="25" t="s">
        <v>242</v>
      </c>
      <c r="T26" s="414"/>
      <c r="U26" s="415"/>
      <c r="V26" s="380">
        <f t="shared" si="1"/>
        <v>35200000</v>
      </c>
      <c r="W26" s="416"/>
      <c r="X26" s="416">
        <v>4.1999999999999997E-3</v>
      </c>
      <c r="Y26" s="382">
        <f t="shared" si="0"/>
        <v>3.0850882070571977E-5</v>
      </c>
      <c r="Z26" s="372"/>
      <c r="AA26" s="372">
        <f t="shared" si="2"/>
        <v>3.2542086356272451E-4</v>
      </c>
      <c r="AB26" s="372"/>
      <c r="AC26" s="372" t="e">
        <f t="shared" si="3"/>
        <v>#REF!</v>
      </c>
      <c r="AD26" s="372"/>
      <c r="AE26" s="383"/>
      <c r="AF26" s="384"/>
      <c r="AG26" s="374"/>
      <c r="AH26" s="374"/>
      <c r="AI26" s="374"/>
      <c r="AJ26" s="374"/>
      <c r="AK26" s="374"/>
      <c r="AL26" s="385"/>
    </row>
    <row r="27" spans="1:38" s="25" customFormat="1" ht="17.25" x14ac:dyDescent="0.35">
      <c r="A27" s="408" t="s">
        <v>282</v>
      </c>
      <c r="B27" s="409">
        <v>39198</v>
      </c>
      <c r="F27" s="328" t="s">
        <v>288</v>
      </c>
      <c r="H27" s="410">
        <v>1.15E-2</v>
      </c>
      <c r="I27" s="411"/>
      <c r="K27" s="412"/>
      <c r="L27" s="419">
        <v>31000000</v>
      </c>
      <c r="M27" s="25" t="s">
        <v>289</v>
      </c>
      <c r="N27" t="s">
        <v>240</v>
      </c>
      <c r="O27" s="418">
        <v>42887</v>
      </c>
      <c r="Q27" s="25" t="s">
        <v>290</v>
      </c>
      <c r="S27" s="25" t="s">
        <v>242</v>
      </c>
      <c r="T27" s="414"/>
      <c r="U27" s="415"/>
      <c r="V27" s="380">
        <f t="shared" si="1"/>
        <v>31000000</v>
      </c>
      <c r="W27" s="416">
        <f>H27</f>
        <v>1.15E-2</v>
      </c>
      <c r="X27" s="416"/>
      <c r="Y27" s="382">
        <f t="shared" si="0"/>
        <v>7.4393529884732884E-5</v>
      </c>
      <c r="Z27" s="372"/>
      <c r="AA27" s="372">
        <f t="shared" si="2"/>
        <v>7.8471684158625064E-4</v>
      </c>
      <c r="AB27" s="372"/>
      <c r="AC27" s="372" t="e">
        <f t="shared" si="3"/>
        <v>#REF!</v>
      </c>
      <c r="AD27" s="372"/>
      <c r="AE27" s="383"/>
      <c r="AF27" s="384" t="e">
        <f>$L27*($W27+$X27)/#REF!</f>
        <v>#REF!</v>
      </c>
      <c r="AG27" s="374"/>
      <c r="AH27" s="374">
        <f>($U27+$V27)*($W27+$X27)/($V$35)</f>
        <v>1.224648235682093E-3</v>
      </c>
      <c r="AI27" s="374"/>
      <c r="AJ27" s="374" t="e">
        <f>($U27+$V27)*($W27+$X27)/(#REF!)</f>
        <v>#REF!</v>
      </c>
      <c r="AK27" s="374"/>
      <c r="AL27" s="385"/>
    </row>
    <row r="28" spans="1:38" ht="15" x14ac:dyDescent="0.2">
      <c r="A28" s="375"/>
      <c r="F28" s="327"/>
      <c r="H28" s="377" t="s">
        <v>291</v>
      </c>
      <c r="I28" s="358"/>
      <c r="L28" s="359">
        <f>SUM(L15:L27)</f>
        <v>574304000</v>
      </c>
      <c r="M28" s="359"/>
      <c r="O28" s="389"/>
      <c r="T28" s="361"/>
      <c r="U28" s="361"/>
      <c r="V28" s="361"/>
      <c r="W28" s="381"/>
      <c r="X28" s="390"/>
      <c r="Y28" s="382"/>
      <c r="Z28" s="372"/>
      <c r="AA28" s="353"/>
      <c r="AB28" s="372"/>
      <c r="AC28" s="372"/>
      <c r="AD28" s="353"/>
      <c r="AE28" s="354"/>
      <c r="AF28" s="384"/>
      <c r="AG28" s="374"/>
      <c r="AH28" s="355"/>
      <c r="AI28" s="374"/>
      <c r="AJ28" s="374"/>
      <c r="AK28" s="355"/>
      <c r="AL28" s="356"/>
    </row>
    <row r="29" spans="1:38" ht="15" x14ac:dyDescent="0.2">
      <c r="A29" s="375"/>
      <c r="F29" s="327"/>
      <c r="H29" s="377"/>
      <c r="I29" s="358"/>
      <c r="L29" s="359"/>
      <c r="M29" s="359"/>
      <c r="O29" s="389"/>
      <c r="T29" s="361"/>
      <c r="U29" s="361"/>
      <c r="V29" s="361"/>
      <c r="W29" s="381"/>
      <c r="X29" s="390"/>
      <c r="Y29" s="382"/>
      <c r="Z29" s="372"/>
      <c r="AA29" s="353"/>
      <c r="AB29" s="372"/>
      <c r="AC29" s="372"/>
      <c r="AD29" s="353"/>
      <c r="AE29" s="354"/>
      <c r="AF29" s="384"/>
      <c r="AG29" s="374"/>
      <c r="AH29" s="355"/>
      <c r="AI29" s="374"/>
      <c r="AJ29" s="374"/>
      <c r="AK29" s="355"/>
      <c r="AL29" s="356"/>
    </row>
    <row r="30" spans="1:38" ht="17.25" customHeight="1" x14ac:dyDescent="0.2">
      <c r="A30" s="420" t="s">
        <v>292</v>
      </c>
      <c r="F30" s="327"/>
      <c r="H30" s="27"/>
      <c r="I30" s="27"/>
      <c r="L30" s="359">
        <v>25000000</v>
      </c>
      <c r="M30" s="359"/>
      <c r="O30" s="327"/>
      <c r="T30" s="361"/>
      <c r="U30" s="361"/>
      <c r="V30" s="361"/>
      <c r="W30" s="390"/>
      <c r="X30" s="390"/>
      <c r="Y30" s="382"/>
      <c r="Z30" s="353"/>
      <c r="AA30" s="353"/>
      <c r="AB30" s="372"/>
      <c r="AC30" s="372"/>
      <c r="AD30" s="353"/>
      <c r="AE30" s="354"/>
      <c r="AF30" s="384"/>
      <c r="AG30" s="355"/>
      <c r="AH30" s="355"/>
      <c r="AI30" s="374"/>
      <c r="AJ30" s="374"/>
      <c r="AK30" s="355"/>
      <c r="AL30" s="356"/>
    </row>
    <row r="31" spans="1:38" ht="17.25" customHeight="1" x14ac:dyDescent="0.35">
      <c r="A31" s="379" t="s">
        <v>293</v>
      </c>
      <c r="F31" s="327"/>
      <c r="H31" s="27"/>
      <c r="I31" s="27"/>
      <c r="L31" s="364">
        <v>0</v>
      </c>
      <c r="M31" s="364"/>
      <c r="O31" s="327"/>
      <c r="T31" s="361"/>
      <c r="U31" s="361"/>
      <c r="V31" s="361"/>
      <c r="W31" s="390"/>
      <c r="X31" s="390"/>
      <c r="Y31" s="382"/>
      <c r="Z31" s="353"/>
      <c r="AA31" s="353"/>
      <c r="AB31" s="372"/>
      <c r="AC31" s="372"/>
      <c r="AD31" s="353"/>
      <c r="AE31" s="354"/>
      <c r="AF31" s="384"/>
      <c r="AG31" s="355"/>
      <c r="AH31" s="355"/>
      <c r="AI31" s="374"/>
      <c r="AJ31" s="374"/>
      <c r="AK31" s="355"/>
      <c r="AL31" s="356"/>
    </row>
    <row r="32" spans="1:38" ht="17.25" customHeight="1" x14ac:dyDescent="0.35">
      <c r="A32" s="375"/>
      <c r="F32" s="327"/>
      <c r="H32" s="27"/>
      <c r="I32" s="27"/>
      <c r="L32" s="364"/>
      <c r="M32" s="364"/>
      <c r="N32" s="380"/>
      <c r="O32" s="327"/>
      <c r="T32" s="361"/>
      <c r="U32" s="361"/>
      <c r="V32" s="361"/>
      <c r="W32" s="390"/>
      <c r="X32" s="390"/>
      <c r="Y32" s="382"/>
      <c r="Z32" s="353"/>
      <c r="AA32" s="353"/>
      <c r="AB32" s="372"/>
      <c r="AC32" s="372"/>
      <c r="AD32" s="353"/>
      <c r="AE32" s="354"/>
      <c r="AF32" s="384"/>
      <c r="AG32" s="355"/>
      <c r="AH32" s="355"/>
      <c r="AI32" s="374"/>
      <c r="AJ32" s="374"/>
      <c r="AK32" s="355"/>
      <c r="AL32" s="356"/>
    </row>
    <row r="33" spans="1:38" ht="15" x14ac:dyDescent="0.2">
      <c r="A33" s="375"/>
      <c r="F33" s="327"/>
      <c r="H33" s="27"/>
      <c r="I33" s="27"/>
      <c r="L33" s="359"/>
      <c r="M33" s="359"/>
      <c r="O33" s="327"/>
      <c r="T33" s="361"/>
      <c r="U33" s="361"/>
      <c r="V33" s="361"/>
      <c r="W33" s="390"/>
      <c r="X33" s="390"/>
      <c r="Y33" s="382"/>
      <c r="Z33" s="353"/>
      <c r="AA33" s="353"/>
      <c r="AB33" s="372"/>
      <c r="AC33" s="372"/>
      <c r="AD33" s="353"/>
      <c r="AE33" s="354"/>
      <c r="AF33" s="384"/>
      <c r="AG33" s="355"/>
      <c r="AH33" s="355"/>
      <c r="AI33" s="374"/>
      <c r="AJ33" s="374"/>
      <c r="AK33" s="355"/>
      <c r="AL33" s="356"/>
    </row>
    <row r="34" spans="1:38" s="421" customFormat="1" ht="15.75" x14ac:dyDescent="0.25">
      <c r="F34" s="422"/>
      <c r="H34" s="423" t="s">
        <v>294</v>
      </c>
      <c r="L34" s="424">
        <f>L31+L28+L12+L30</f>
        <v>1384304000</v>
      </c>
      <c r="M34" s="424"/>
      <c r="O34" s="422"/>
      <c r="T34" s="425"/>
      <c r="U34" s="426">
        <f>SUM(U15:U28)</f>
        <v>120000000</v>
      </c>
      <c r="V34" s="426">
        <f>SUM(V15:V28)</f>
        <v>454304000</v>
      </c>
      <c r="W34" s="390"/>
      <c r="X34" s="390"/>
      <c r="Y34" s="382"/>
      <c r="Z34" s="427">
        <f>SUM(Z15:Z28)</f>
        <v>7.5624999999999998E-3</v>
      </c>
      <c r="AA34" s="427" t="e">
        <f>SUM(AA15:AA28)</f>
        <v>#VALUE!</v>
      </c>
      <c r="AB34" s="427" t="e">
        <f>SUM(AB15:AB28)</f>
        <v>#REF!</v>
      </c>
      <c r="AC34" s="427" t="e">
        <f>SUM(AC15:AC28)</f>
        <v>#VALUE!</v>
      </c>
      <c r="AD34" s="353"/>
      <c r="AE34" s="354"/>
      <c r="AF34" s="428"/>
      <c r="AG34" s="429">
        <f>SUM(AG15:AG28)</f>
        <v>7.5624999999999998E-3</v>
      </c>
      <c r="AH34" s="429" t="e">
        <f>SUM(AH15:AH28)</f>
        <v>#VALUE!</v>
      </c>
      <c r="AI34" s="429" t="e">
        <f>SUM(AI15:AI28)</f>
        <v>#REF!</v>
      </c>
      <c r="AJ34" s="429" t="e">
        <f>SUM(AJ15:AJ28)</f>
        <v>#VALUE!</v>
      </c>
      <c r="AK34" s="374"/>
      <c r="AL34" s="385"/>
    </row>
    <row r="35" spans="1:38" ht="15" x14ac:dyDescent="0.2">
      <c r="F35" s="327"/>
      <c r="L35" s="430"/>
      <c r="M35" s="430"/>
      <c r="O35" s="327"/>
      <c r="T35" s="361"/>
      <c r="U35" s="380"/>
      <c r="V35" s="380">
        <f>V34-V23-V26</f>
        <v>291104000</v>
      </c>
      <c r="W35" s="381"/>
      <c r="X35" s="381"/>
      <c r="Y35" s="382"/>
      <c r="Z35" s="353"/>
      <c r="AA35" s="372"/>
      <c r="AB35" s="372"/>
      <c r="AC35" s="372"/>
      <c r="AD35" s="372"/>
      <c r="AE35" s="383"/>
      <c r="AF35" s="384"/>
      <c r="AG35" s="431"/>
      <c r="AH35" s="431"/>
      <c r="AI35" s="431"/>
      <c r="AJ35" s="429"/>
      <c r="AK35" s="374"/>
      <c r="AL35" s="385"/>
    </row>
    <row r="36" spans="1:38" ht="15" x14ac:dyDescent="0.2">
      <c r="F36" s="327"/>
      <c r="L36" s="432"/>
      <c r="M36" s="432"/>
      <c r="O36" s="327"/>
      <c r="T36" s="361"/>
      <c r="U36" s="380"/>
      <c r="V36" s="380"/>
      <c r="W36" s="416"/>
      <c r="X36" s="381"/>
      <c r="Y36" s="382"/>
      <c r="Z36" s="353"/>
      <c r="AA36" s="372"/>
      <c r="AB36" s="372"/>
      <c r="AC36" s="372"/>
      <c r="AD36" s="372"/>
      <c r="AE36" s="383"/>
      <c r="AF36" s="384"/>
      <c r="AG36" s="355"/>
      <c r="AH36" s="374"/>
      <c r="AI36" s="374"/>
      <c r="AJ36" s="374"/>
      <c r="AK36" s="374"/>
      <c r="AL36" s="385"/>
    </row>
    <row r="37" spans="1:38" ht="15.75" x14ac:dyDescent="0.25">
      <c r="A37" s="337" t="s">
        <v>23</v>
      </c>
      <c r="F37" s="327"/>
      <c r="L37" s="432"/>
      <c r="M37" s="432"/>
      <c r="O37" s="327"/>
      <c r="T37" s="361"/>
      <c r="U37" s="361"/>
      <c r="V37" s="361"/>
      <c r="W37" s="381"/>
      <c r="X37" s="381"/>
      <c r="Y37" s="382"/>
      <c r="Z37" s="353"/>
      <c r="AA37" s="353"/>
      <c r="AB37" s="372"/>
      <c r="AC37" s="372"/>
      <c r="AD37" s="353"/>
      <c r="AE37" s="354"/>
      <c r="AF37" s="384"/>
      <c r="AG37" s="355"/>
      <c r="AH37" s="355"/>
      <c r="AI37" s="374"/>
      <c r="AJ37" s="374"/>
      <c r="AK37" s="355"/>
      <c r="AL37" s="356"/>
    </row>
    <row r="38" spans="1:38" ht="15" x14ac:dyDescent="0.2">
      <c r="F38" s="327"/>
      <c r="L38" s="432"/>
      <c r="M38" s="432"/>
      <c r="O38" s="327"/>
      <c r="T38" s="361"/>
      <c r="U38" s="361"/>
      <c r="V38" s="361"/>
      <c r="W38" s="381"/>
      <c r="X38" s="381"/>
      <c r="Y38" s="382"/>
      <c r="Z38" s="372"/>
      <c r="AA38" s="353"/>
      <c r="AB38" s="372"/>
      <c r="AC38" s="372"/>
      <c r="AD38" s="372"/>
      <c r="AE38" s="354"/>
      <c r="AF38" s="384"/>
      <c r="AG38" s="374"/>
      <c r="AH38" s="355"/>
      <c r="AI38" s="374"/>
      <c r="AJ38" s="374"/>
      <c r="AK38" s="374"/>
      <c r="AL38" s="356"/>
    </row>
    <row r="39" spans="1:38" ht="15" x14ac:dyDescent="0.2">
      <c r="A39" s="352" t="s">
        <v>152</v>
      </c>
      <c r="F39" s="327"/>
      <c r="L39" s="432"/>
      <c r="M39" s="432"/>
      <c r="O39" s="327"/>
      <c r="T39" s="361"/>
      <c r="U39" s="380"/>
      <c r="V39" s="380"/>
      <c r="W39" s="416"/>
      <c r="X39" s="381"/>
      <c r="Y39" s="382"/>
      <c r="Z39" s="372"/>
      <c r="AA39" s="372"/>
      <c r="AB39" s="372"/>
      <c r="AC39" s="372"/>
      <c r="AD39" s="372"/>
      <c r="AE39" s="383"/>
      <c r="AF39" s="384"/>
      <c r="AG39" s="374"/>
      <c r="AH39" s="374"/>
      <c r="AI39" s="374"/>
      <c r="AJ39" s="374"/>
      <c r="AK39" s="374"/>
      <c r="AL39" s="385"/>
    </row>
    <row r="40" spans="1:38" ht="15" x14ac:dyDescent="0.2">
      <c r="A40" s="357" t="s">
        <v>295</v>
      </c>
      <c r="B40" s="338">
        <v>40498</v>
      </c>
      <c r="F40" s="339" t="s">
        <v>296</v>
      </c>
      <c r="H40" s="358">
        <v>1.6250000000000001E-2</v>
      </c>
      <c r="I40" s="358"/>
      <c r="L40" s="359">
        <v>250000000</v>
      </c>
      <c r="M40" s="359"/>
      <c r="O40" s="360"/>
      <c r="P40" s="339" t="s">
        <v>228</v>
      </c>
      <c r="T40" s="361"/>
      <c r="U40" s="380"/>
      <c r="V40" s="380"/>
      <c r="W40" s="416"/>
      <c r="X40" s="381"/>
      <c r="Y40" s="382"/>
      <c r="Z40" s="372"/>
      <c r="AA40" s="372"/>
      <c r="AB40" s="372"/>
      <c r="AC40" s="372"/>
      <c r="AD40" s="372"/>
      <c r="AE40" s="383"/>
      <c r="AF40" s="384"/>
      <c r="AG40" s="374"/>
      <c r="AH40" s="374"/>
      <c r="AI40" s="374"/>
      <c r="AJ40" s="374"/>
      <c r="AK40" s="374"/>
      <c r="AL40" s="385"/>
    </row>
    <row r="41" spans="1:38" ht="15" x14ac:dyDescent="0.2">
      <c r="A41" s="357" t="s">
        <v>297</v>
      </c>
      <c r="B41" s="338">
        <v>44151</v>
      </c>
      <c r="F41" s="339" t="s">
        <v>298</v>
      </c>
      <c r="H41" s="358">
        <v>3.2500000000000001E-2</v>
      </c>
      <c r="I41" s="358"/>
      <c r="L41" s="359">
        <v>500000000</v>
      </c>
      <c r="M41" s="359"/>
      <c r="O41" s="360"/>
      <c r="P41" s="339" t="s">
        <v>299</v>
      </c>
      <c r="T41" s="357" t="s">
        <v>300</v>
      </c>
      <c r="U41" s="380"/>
      <c r="V41" s="380"/>
      <c r="W41" s="416"/>
      <c r="X41" s="381"/>
      <c r="Y41" s="382"/>
      <c r="Z41" s="372"/>
      <c r="AA41" s="372"/>
      <c r="AB41" s="372"/>
      <c r="AC41" s="372"/>
      <c r="AD41" s="372"/>
      <c r="AE41" s="383"/>
      <c r="AF41" s="384"/>
      <c r="AG41" s="374"/>
      <c r="AH41" s="374"/>
      <c r="AI41" s="374"/>
      <c r="AJ41" s="374"/>
      <c r="AK41" s="374"/>
      <c r="AL41" s="385"/>
    </row>
    <row r="42" spans="1:38" ht="15" x14ac:dyDescent="0.2">
      <c r="A42" s="357" t="s">
        <v>301</v>
      </c>
      <c r="B42" s="338">
        <v>40498</v>
      </c>
      <c r="F42" s="339" t="s">
        <v>302</v>
      </c>
      <c r="H42" s="358">
        <v>5.1249999999999997E-2</v>
      </c>
      <c r="I42" s="358"/>
      <c r="L42" s="359">
        <v>749900000</v>
      </c>
      <c r="M42" s="359"/>
      <c r="O42" s="360"/>
      <c r="P42" s="339" t="s">
        <v>231</v>
      </c>
      <c r="T42" s="366" t="s">
        <v>303</v>
      </c>
      <c r="U42" s="380"/>
      <c r="V42" s="380"/>
      <c r="W42" s="416"/>
      <c r="X42" s="381"/>
      <c r="Y42" s="382"/>
      <c r="Z42" s="372"/>
      <c r="AA42" s="372"/>
      <c r="AB42" s="372"/>
      <c r="AC42" s="372"/>
      <c r="AD42" s="372"/>
      <c r="AE42" s="383"/>
      <c r="AF42" s="384"/>
      <c r="AG42" s="374"/>
      <c r="AH42" s="374"/>
      <c r="AI42" s="374"/>
      <c r="AJ42" s="374"/>
      <c r="AK42" s="374"/>
      <c r="AL42" s="385"/>
    </row>
    <row r="43" spans="1:38" ht="17.25" x14ac:dyDescent="0.35">
      <c r="A43" s="357" t="s">
        <v>301</v>
      </c>
      <c r="B43" s="338">
        <v>40498</v>
      </c>
      <c r="F43" s="339" t="s">
        <v>304</v>
      </c>
      <c r="H43" s="358">
        <v>5.1249999999999997E-2</v>
      </c>
      <c r="I43" s="358"/>
      <c r="L43" s="359">
        <v>100000</v>
      </c>
      <c r="M43" s="364"/>
      <c r="O43" s="365"/>
      <c r="P43" s="339" t="s">
        <v>231</v>
      </c>
      <c r="T43" s="366" t="s">
        <v>303</v>
      </c>
      <c r="U43" s="380"/>
      <c r="V43" s="380"/>
      <c r="W43" s="416"/>
      <c r="X43" s="381"/>
      <c r="Y43" s="382"/>
      <c r="Z43" s="372"/>
      <c r="AA43" s="372"/>
      <c r="AB43" s="372"/>
      <c r="AC43" s="372"/>
      <c r="AD43" s="372"/>
      <c r="AE43" s="383"/>
      <c r="AF43" s="384"/>
      <c r="AG43" s="374"/>
      <c r="AH43" s="374"/>
      <c r="AI43" s="374"/>
      <c r="AJ43" s="374"/>
      <c r="AK43" s="374"/>
      <c r="AL43" s="385"/>
    </row>
    <row r="44" spans="1:38" ht="17.25" x14ac:dyDescent="0.35">
      <c r="A44" s="357" t="s">
        <v>233</v>
      </c>
      <c r="B44" s="338">
        <v>41592</v>
      </c>
      <c r="F44" s="339" t="s">
        <v>305</v>
      </c>
      <c r="H44" s="358">
        <v>4.65E-2</v>
      </c>
      <c r="I44" s="358"/>
      <c r="L44" s="364">
        <v>250000000</v>
      </c>
      <c r="M44" s="364"/>
      <c r="O44" s="365"/>
      <c r="P44" s="339"/>
      <c r="T44" s="366"/>
      <c r="U44" s="380"/>
      <c r="V44" s="380"/>
      <c r="W44" s="416"/>
      <c r="X44" s="381"/>
      <c r="Y44" s="382"/>
      <c r="Z44" s="372"/>
      <c r="AA44" s="372"/>
      <c r="AB44" s="372"/>
      <c r="AC44" s="372"/>
      <c r="AD44" s="372"/>
      <c r="AE44" s="383"/>
      <c r="AF44" s="384"/>
      <c r="AG44" s="374"/>
      <c r="AH44" s="374"/>
      <c r="AI44" s="374"/>
      <c r="AJ44" s="374"/>
      <c r="AK44" s="374"/>
      <c r="AL44" s="385"/>
    </row>
    <row r="45" spans="1:38" ht="15" x14ac:dyDescent="0.2">
      <c r="A45" s="352"/>
      <c r="F45" s="327"/>
      <c r="H45" s="369" t="s">
        <v>235</v>
      </c>
      <c r="L45" s="430">
        <f>SUM(L40:L44)</f>
        <v>1750000000</v>
      </c>
      <c r="M45" s="430"/>
      <c r="O45" s="327"/>
      <c r="T45" s="361"/>
      <c r="U45" s="380"/>
      <c r="V45" s="380"/>
      <c r="W45" s="416"/>
      <c r="X45" s="381"/>
      <c r="Y45" s="382"/>
      <c r="Z45" s="372"/>
      <c r="AA45" s="372"/>
      <c r="AB45" s="372"/>
      <c r="AC45" s="372"/>
      <c r="AD45" s="372"/>
      <c r="AE45" s="383"/>
      <c r="AF45" s="384"/>
      <c r="AG45" s="374"/>
      <c r="AH45" s="374"/>
      <c r="AI45" s="374"/>
      <c r="AJ45" s="374"/>
      <c r="AK45" s="374"/>
      <c r="AL45" s="385"/>
    </row>
    <row r="46" spans="1:38" ht="15" x14ac:dyDescent="0.2">
      <c r="F46" s="327"/>
      <c r="H46" s="358"/>
      <c r="I46" s="358"/>
      <c r="L46" s="359"/>
      <c r="M46" s="359"/>
      <c r="O46" s="327"/>
      <c r="T46" s="361"/>
      <c r="U46" s="380"/>
      <c r="V46" s="361"/>
      <c r="W46" s="381"/>
      <c r="X46" s="381"/>
      <c r="Y46" s="382"/>
      <c r="Z46" s="372"/>
      <c r="AA46" s="353"/>
      <c r="AB46" s="372"/>
      <c r="AC46" s="372"/>
      <c r="AD46" s="372"/>
      <c r="AE46" s="354"/>
      <c r="AF46" s="384"/>
      <c r="AG46" s="374"/>
      <c r="AH46" s="355"/>
      <c r="AI46" s="374"/>
      <c r="AJ46" s="374"/>
      <c r="AK46" s="374"/>
      <c r="AL46" s="356"/>
    </row>
    <row r="47" spans="1:38" ht="15" x14ac:dyDescent="0.2">
      <c r="A47" s="370" t="s">
        <v>236</v>
      </c>
      <c r="F47" s="327"/>
      <c r="H47" s="358"/>
      <c r="I47" s="358"/>
      <c r="L47" s="359"/>
      <c r="M47" s="359"/>
      <c r="O47" s="327"/>
      <c r="T47" s="361"/>
      <c r="Y47" s="331"/>
      <c r="Z47" s="353"/>
      <c r="AA47" s="353"/>
      <c r="AB47" s="353"/>
      <c r="AC47" s="353"/>
      <c r="AD47" s="353"/>
      <c r="AE47" s="354"/>
      <c r="AF47" s="334"/>
      <c r="AG47" s="355"/>
      <c r="AH47" s="355"/>
      <c r="AI47" s="355"/>
      <c r="AJ47" s="374"/>
      <c r="AK47" s="355"/>
      <c r="AL47" s="356"/>
    </row>
    <row r="48" spans="1:38" ht="15" x14ac:dyDescent="0.2">
      <c r="A48" s="433" t="s">
        <v>306</v>
      </c>
      <c r="B48" s="409">
        <v>36665</v>
      </c>
      <c r="C48" s="25"/>
      <c r="D48" s="25" t="s">
        <v>307</v>
      </c>
      <c r="E48" s="25"/>
      <c r="F48" s="328" t="s">
        <v>308</v>
      </c>
      <c r="G48" s="25"/>
      <c r="H48" s="434" t="s">
        <v>20</v>
      </c>
      <c r="I48" s="434">
        <f>(0.045*3+0.048*18)/21</f>
        <v>4.757142857142857E-2</v>
      </c>
      <c r="J48" s="25">
        <f t="shared" ref="J48:J53" si="4">I48*L48/L$79</f>
        <v>1.2805942148901904E-4</v>
      </c>
      <c r="K48" s="412">
        <v>7.0000000000000001E-3</v>
      </c>
      <c r="L48" s="40">
        <v>12900000</v>
      </c>
      <c r="M48" s="25" t="s">
        <v>309</v>
      </c>
      <c r="N48" s="417" t="s">
        <v>310</v>
      </c>
      <c r="O48" s="327" t="s">
        <v>28</v>
      </c>
      <c r="Q48" t="s">
        <v>253</v>
      </c>
      <c r="S48" t="s">
        <v>248</v>
      </c>
      <c r="T48" s="361"/>
      <c r="U48" s="380">
        <f>L48</f>
        <v>12900000</v>
      </c>
      <c r="V48" s="380"/>
      <c r="W48" s="381"/>
      <c r="X48" s="381">
        <v>4.5000000000000005E-3</v>
      </c>
      <c r="Y48" s="382">
        <f t="shared" ref="Y48:Y58" si="5">$L48*($W48+$X48)/L$79</f>
        <v>1.2113729059772074E-5</v>
      </c>
      <c r="Z48" s="372">
        <f>($U48+$V48)*($W48+$X48)/($U$65)</f>
        <v>2.5463049726353367E-4</v>
      </c>
      <c r="AA48" s="372"/>
      <c r="AB48" s="372" t="e">
        <f>($U48+$V48)*($W48+$X48)/($U$79)</f>
        <v>#REF!</v>
      </c>
      <c r="AC48" s="372"/>
      <c r="AD48" s="372">
        <f>($U48+$V48)*($W48+$X48)/($AD$82)</f>
        <v>1.6682117621976062E-4</v>
      </c>
      <c r="AE48" s="354"/>
      <c r="AF48" s="384" t="e">
        <f>$L48*($W48+$X48)/#REF!</f>
        <v>#REF!</v>
      </c>
      <c r="AG48" s="374">
        <f>($U48+$V48)*($W48+$X48)/($U$65)</f>
        <v>2.5463049726353367E-4</v>
      </c>
      <c r="AH48" s="374"/>
      <c r="AI48" s="374" t="e">
        <f>($U48+$V48)*($W48+$X48)/(#REF!)</f>
        <v>#REF!</v>
      </c>
      <c r="AJ48" s="374"/>
      <c r="AK48" s="374">
        <f>($U48+$V48)*($W48+$X48)/($AK$82)</f>
        <v>1.6682117621976062E-4</v>
      </c>
      <c r="AL48" s="356"/>
    </row>
    <row r="49" spans="1:38" ht="15" x14ac:dyDescent="0.2">
      <c r="A49" s="375" t="s">
        <v>268</v>
      </c>
      <c r="B49" s="338">
        <v>37532</v>
      </c>
      <c r="D49" t="s">
        <v>311</v>
      </c>
      <c r="F49" s="327" t="s">
        <v>312</v>
      </c>
      <c r="H49" s="377" t="s">
        <v>20</v>
      </c>
      <c r="I49" s="358">
        <v>7.4499999999999997E-2</v>
      </c>
      <c r="J49">
        <f t="shared" si="4"/>
        <v>1.4924615027646832E-3</v>
      </c>
      <c r="K49" s="378">
        <v>7.0699999999999999E-3</v>
      </c>
      <c r="L49" s="359">
        <v>96000000</v>
      </c>
      <c r="M49" s="25" t="s">
        <v>313</v>
      </c>
      <c r="N49" t="s">
        <v>246</v>
      </c>
      <c r="O49" s="389"/>
      <c r="Q49" t="s">
        <v>314</v>
      </c>
      <c r="S49" t="s">
        <v>242</v>
      </c>
      <c r="T49" s="361"/>
      <c r="U49" s="380"/>
      <c r="V49" s="380">
        <f>L49</f>
        <v>96000000</v>
      </c>
      <c r="W49" s="381"/>
      <c r="X49" s="381">
        <v>2.4199999999999998E-3</v>
      </c>
      <c r="Y49" s="382">
        <f t="shared" si="5"/>
        <v>4.8479957539470242E-5</v>
      </c>
      <c r="Z49" s="372"/>
      <c r="AA49" s="372">
        <f>($U49+$V49)*($W49+$X49)/($V$65)</f>
        <v>1.8918258660282404E-3</v>
      </c>
      <c r="AB49" s="372"/>
      <c r="AC49" s="372" t="e">
        <f>($U49+$V49)*($W49+$X49)/($V$79)</f>
        <v>#REF!</v>
      </c>
      <c r="AD49" s="372"/>
      <c r="AE49" s="354"/>
      <c r="AF49" s="384" t="e">
        <f>$L49*($W49+$X49)/#REF!</f>
        <v>#REF!</v>
      </c>
      <c r="AG49" s="374"/>
      <c r="AH49" s="374">
        <f>($U49+$V49)*($W49+$X49)/($V$65)</f>
        <v>1.8918258660282404E-3</v>
      </c>
      <c r="AI49" s="374"/>
      <c r="AJ49" s="374" t="e">
        <f>($U49+$V49)*($W49+$X49)/(#REF!)</f>
        <v>#REF!</v>
      </c>
      <c r="AK49" s="374"/>
      <c r="AL49" s="356"/>
    </row>
    <row r="50" spans="1:38" ht="15" x14ac:dyDescent="0.2">
      <c r="A50" s="375" t="s">
        <v>315</v>
      </c>
      <c r="B50" s="338">
        <v>37399</v>
      </c>
      <c r="D50" t="s">
        <v>316</v>
      </c>
      <c r="F50" s="327" t="s">
        <v>317</v>
      </c>
      <c r="H50" s="377" t="s">
        <v>20</v>
      </c>
      <c r="I50" s="358">
        <v>6.25E-2</v>
      </c>
      <c r="J50">
        <f t="shared" si="4"/>
        <v>2.7297625885123756E-4</v>
      </c>
      <c r="K50" s="378">
        <v>1.0999999999999999E-2</v>
      </c>
      <c r="L50" s="359">
        <v>20930000</v>
      </c>
      <c r="M50" t="s">
        <v>318</v>
      </c>
      <c r="N50" t="s">
        <v>240</v>
      </c>
      <c r="O50" s="389"/>
      <c r="Q50" t="s">
        <v>287</v>
      </c>
      <c r="S50" t="s">
        <v>242</v>
      </c>
      <c r="T50" s="361"/>
      <c r="U50" s="380">
        <f>L50</f>
        <v>20930000</v>
      </c>
      <c r="V50" s="380"/>
      <c r="W50" s="381"/>
      <c r="X50" s="416">
        <v>9.4999999999999998E-3</v>
      </c>
      <c r="Y50" s="382">
        <f t="shared" si="5"/>
        <v>4.1492391345388111E-5</v>
      </c>
      <c r="Z50" s="372">
        <f t="shared" ref="Z50:Z56" si="6">($U50+$V50)*($W50+$X50)/($U$65)</f>
        <v>8.7216976612221721E-4</v>
      </c>
      <c r="AA50" s="372"/>
      <c r="AB50" s="372" t="e">
        <f t="shared" ref="AB50:AB56" si="7">($U50+$V50)*($W50+$X50)/($U$79)</f>
        <v>#REF!</v>
      </c>
      <c r="AC50" s="372"/>
      <c r="AD50" s="372">
        <f t="shared" ref="AD50:AD56" si="8">($U50+$V50)*($W50+$X50)/($AD$82)</f>
        <v>5.7140204261250818E-4</v>
      </c>
      <c r="AE50" s="383"/>
      <c r="AF50" s="384" t="e">
        <f>$L50*($W50+$X50)/#REF!</f>
        <v>#REF!</v>
      </c>
      <c r="AG50" s="374">
        <f t="shared" ref="AG50:AG56" si="9">($U50+$V50)*($W50+$X50)/($U$65)</f>
        <v>8.7216976612221721E-4</v>
      </c>
      <c r="AH50" s="374"/>
      <c r="AI50" s="374" t="e">
        <f>($U50+$V50)*($W50+$X50)/(#REF!)</f>
        <v>#REF!</v>
      </c>
      <c r="AJ50" s="374"/>
      <c r="AK50" s="374">
        <f t="shared" ref="AK50:AK56" si="10">($U50+$V50)*($W50+$X50)/($AK$82)</f>
        <v>5.7140204261250818E-4</v>
      </c>
      <c r="AL50" s="385"/>
    </row>
    <row r="51" spans="1:38" ht="15" x14ac:dyDescent="0.2">
      <c r="A51" s="375" t="s">
        <v>315</v>
      </c>
      <c r="B51" s="338">
        <v>37399</v>
      </c>
      <c r="D51" t="s">
        <v>319</v>
      </c>
      <c r="F51" s="327" t="s">
        <v>320</v>
      </c>
      <c r="H51" s="377" t="s">
        <v>20</v>
      </c>
      <c r="I51" s="358">
        <v>6.25E-2</v>
      </c>
      <c r="J51">
        <f t="shared" si="4"/>
        <v>3.1301625477447218E-5</v>
      </c>
      <c r="K51" s="378">
        <v>1.0999999999999999E-2</v>
      </c>
      <c r="L51" s="359">
        <v>2400000</v>
      </c>
      <c r="M51" t="s">
        <v>321</v>
      </c>
      <c r="N51" t="s">
        <v>240</v>
      </c>
      <c r="O51" s="389"/>
      <c r="Q51" t="s">
        <v>287</v>
      </c>
      <c r="S51" t="s">
        <v>242</v>
      </c>
      <c r="T51" s="361"/>
      <c r="U51" s="380">
        <f t="shared" ref="U51:U56" si="11">L51</f>
        <v>2400000</v>
      </c>
      <c r="V51" s="380"/>
      <c r="W51" s="381"/>
      <c r="X51" s="416">
        <v>9.4999999999999998E-3</v>
      </c>
      <c r="Y51" s="382">
        <f t="shared" si="5"/>
        <v>4.7578470725719769E-6</v>
      </c>
      <c r="Z51" s="372">
        <f t="shared" si="6"/>
        <v>1.0000991106991502E-4</v>
      </c>
      <c r="AA51" s="372"/>
      <c r="AB51" s="372" t="e">
        <f t="shared" si="7"/>
        <v>#REF!</v>
      </c>
      <c r="AC51" s="372"/>
      <c r="AD51" s="372">
        <f t="shared" si="8"/>
        <v>6.5521495569518376E-5</v>
      </c>
      <c r="AE51" s="383"/>
      <c r="AF51" s="384" t="e">
        <f>$L51*($W51+$X51)/#REF!</f>
        <v>#REF!</v>
      </c>
      <c r="AG51" s="374">
        <f t="shared" si="9"/>
        <v>1.0000991106991502E-4</v>
      </c>
      <c r="AH51" s="374"/>
      <c r="AI51" s="374" t="e">
        <f>($U51+$V51)*($W51+$X51)/(#REF!)</f>
        <v>#REF!</v>
      </c>
      <c r="AJ51" s="374"/>
      <c r="AK51" s="374">
        <f t="shared" si="10"/>
        <v>6.5521495569518376E-5</v>
      </c>
      <c r="AL51" s="385"/>
    </row>
    <row r="52" spans="1:38" ht="15" x14ac:dyDescent="0.2">
      <c r="A52" s="375" t="s">
        <v>315</v>
      </c>
      <c r="B52" s="338">
        <v>37399</v>
      </c>
      <c r="D52" t="s">
        <v>322</v>
      </c>
      <c r="F52" s="327" t="s">
        <v>323</v>
      </c>
      <c r="H52" s="377" t="s">
        <v>20</v>
      </c>
      <c r="I52" s="358">
        <v>6.25E-2</v>
      </c>
      <c r="J52">
        <f t="shared" si="4"/>
        <v>3.1301625477447218E-5</v>
      </c>
      <c r="K52" s="378">
        <v>1.0999999999999999E-2</v>
      </c>
      <c r="L52" s="359">
        <v>2400000</v>
      </c>
      <c r="M52" t="s">
        <v>324</v>
      </c>
      <c r="N52" t="s">
        <v>240</v>
      </c>
      <c r="O52" s="389"/>
      <c r="Q52" t="s">
        <v>287</v>
      </c>
      <c r="S52" t="s">
        <v>242</v>
      </c>
      <c r="T52" s="361"/>
      <c r="U52" s="380">
        <f t="shared" si="11"/>
        <v>2400000</v>
      </c>
      <c r="V52" s="380"/>
      <c r="W52" s="381"/>
      <c r="X52" s="416">
        <v>9.4999999999999998E-3</v>
      </c>
      <c r="Y52" s="382">
        <f t="shared" si="5"/>
        <v>4.7578470725719769E-6</v>
      </c>
      <c r="Z52" s="372">
        <f t="shared" si="6"/>
        <v>1.0000991106991502E-4</v>
      </c>
      <c r="AA52" s="372"/>
      <c r="AB52" s="372" t="e">
        <f t="shared" si="7"/>
        <v>#REF!</v>
      </c>
      <c r="AC52" s="372"/>
      <c r="AD52" s="372">
        <f t="shared" si="8"/>
        <v>6.5521495569518376E-5</v>
      </c>
      <c r="AE52" s="383"/>
      <c r="AF52" s="384" t="e">
        <f>$L52*($W52+$X52)/#REF!</f>
        <v>#REF!</v>
      </c>
      <c r="AG52" s="374">
        <f t="shared" si="9"/>
        <v>1.0000991106991502E-4</v>
      </c>
      <c r="AH52" s="374"/>
      <c r="AI52" s="374" t="e">
        <f>($U52+$V52)*($W52+$X52)/(#REF!)</f>
        <v>#REF!</v>
      </c>
      <c r="AJ52" s="374"/>
      <c r="AK52" s="374">
        <f t="shared" si="10"/>
        <v>6.5521495569518376E-5</v>
      </c>
      <c r="AL52" s="385"/>
    </row>
    <row r="53" spans="1:38" ht="15" x14ac:dyDescent="0.2">
      <c r="A53" s="375" t="s">
        <v>315</v>
      </c>
      <c r="B53" s="338">
        <v>37399</v>
      </c>
      <c r="D53" t="s">
        <v>325</v>
      </c>
      <c r="F53" s="327" t="s">
        <v>326</v>
      </c>
      <c r="H53" s="377" t="s">
        <v>20</v>
      </c>
      <c r="I53" s="358">
        <v>6.25E-2</v>
      </c>
      <c r="J53">
        <f t="shared" si="4"/>
        <v>9.6513345222128908E-5</v>
      </c>
      <c r="K53" s="378">
        <v>1.0999999999999999E-2</v>
      </c>
      <c r="L53" s="359">
        <v>7400000</v>
      </c>
      <c r="M53" t="s">
        <v>327</v>
      </c>
      <c r="N53" t="s">
        <v>240</v>
      </c>
      <c r="O53" s="389"/>
      <c r="Q53" t="s">
        <v>287</v>
      </c>
      <c r="S53" t="s">
        <v>242</v>
      </c>
      <c r="T53" s="361"/>
      <c r="U53" s="380">
        <f t="shared" si="11"/>
        <v>7400000</v>
      </c>
      <c r="V53" s="380"/>
      <c r="W53" s="381"/>
      <c r="X53" s="416">
        <v>9.4999999999999998E-3</v>
      </c>
      <c r="Y53" s="382">
        <f t="shared" si="5"/>
        <v>1.4670028473763595E-5</v>
      </c>
      <c r="Z53" s="372">
        <f t="shared" si="6"/>
        <v>3.0836389246557131E-4</v>
      </c>
      <c r="AA53" s="372"/>
      <c r="AB53" s="372" t="e">
        <f t="shared" si="7"/>
        <v>#REF!</v>
      </c>
      <c r="AC53" s="372"/>
      <c r="AD53" s="372">
        <f t="shared" si="8"/>
        <v>2.0202461133934831E-4</v>
      </c>
      <c r="AE53" s="383"/>
      <c r="AF53" s="384" t="e">
        <f>$L53*($W53+$X53)/#REF!</f>
        <v>#REF!</v>
      </c>
      <c r="AG53" s="374">
        <f t="shared" si="9"/>
        <v>3.0836389246557131E-4</v>
      </c>
      <c r="AH53" s="374"/>
      <c r="AI53" s="374" t="e">
        <f>($U53+$V53)*($W53+$X53)/(#REF!)</f>
        <v>#REF!</v>
      </c>
      <c r="AJ53" s="374"/>
      <c r="AK53" s="374">
        <f t="shared" si="10"/>
        <v>2.0202461133934831E-4</v>
      </c>
      <c r="AL53" s="385"/>
    </row>
    <row r="54" spans="1:38" ht="15" x14ac:dyDescent="0.2">
      <c r="A54" s="435" t="s">
        <v>315</v>
      </c>
      <c r="B54" s="436" t="s">
        <v>328</v>
      </c>
      <c r="C54" s="25"/>
      <c r="D54" s="25"/>
      <c r="E54" s="25"/>
      <c r="F54" s="417" t="s">
        <v>329</v>
      </c>
      <c r="G54" s="25"/>
      <c r="H54" s="434" t="s">
        <v>20</v>
      </c>
      <c r="I54" s="437"/>
      <c r="J54" s="25"/>
      <c r="K54" s="412">
        <v>7.0000000000000001E-3</v>
      </c>
      <c r="L54" s="40">
        <v>77947405</v>
      </c>
      <c r="M54" s="25" t="s">
        <v>330</v>
      </c>
      <c r="N54" s="417" t="s">
        <v>310</v>
      </c>
      <c r="O54" s="389"/>
      <c r="Q54" t="s">
        <v>331</v>
      </c>
      <c r="S54" s="438" t="s">
        <v>248</v>
      </c>
      <c r="T54" s="361" t="s">
        <v>332</v>
      </c>
      <c r="U54" s="380">
        <f t="shared" si="11"/>
        <v>77947405</v>
      </c>
      <c r="V54" s="380"/>
      <c r="W54" s="381"/>
      <c r="X54" s="390">
        <v>3.3E-3</v>
      </c>
      <c r="Y54" s="382">
        <f t="shared" si="5"/>
        <v>5.3677370521475726E-5</v>
      </c>
      <c r="Z54" s="372">
        <f t="shared" si="6"/>
        <v>1.1282979403156204E-3</v>
      </c>
      <c r="AA54" s="372"/>
      <c r="AB54" s="372" t="e">
        <f t="shared" si="7"/>
        <v>#REF!</v>
      </c>
      <c r="AC54" s="372"/>
      <c r="AD54" s="372">
        <f t="shared" si="8"/>
        <v>7.3920442190779606E-4</v>
      </c>
      <c r="AE54" s="383"/>
      <c r="AF54" s="384" t="e">
        <f>$L54*($W54+$X54)/#REF!</f>
        <v>#REF!</v>
      </c>
      <c r="AG54" s="374">
        <f t="shared" si="9"/>
        <v>1.1282979403156204E-3</v>
      </c>
      <c r="AH54" s="374"/>
      <c r="AI54" s="374" t="e">
        <f>($U54+$V54)*($W54+$X54)/(#REF!)</f>
        <v>#REF!</v>
      </c>
      <c r="AJ54" s="374"/>
      <c r="AK54" s="374">
        <f t="shared" si="10"/>
        <v>7.3920442190779606E-4</v>
      </c>
      <c r="AL54" s="385"/>
    </row>
    <row r="55" spans="1:38" ht="15" x14ac:dyDescent="0.2">
      <c r="A55" s="435" t="s">
        <v>333</v>
      </c>
      <c r="B55" s="409">
        <v>38280</v>
      </c>
      <c r="C55" s="25"/>
      <c r="D55" s="25" t="s">
        <v>334</v>
      </c>
      <c r="E55" s="25"/>
      <c r="F55" s="328" t="s">
        <v>335</v>
      </c>
      <c r="G55" s="25"/>
      <c r="H55" s="434" t="s">
        <v>20</v>
      </c>
      <c r="I55" s="437">
        <v>5.7500000000000002E-2</v>
      </c>
      <c r="J55" s="25">
        <f>I55*L55/L$79</f>
        <v>5.999478216510716E-4</v>
      </c>
      <c r="K55" s="412">
        <v>6.0000000000000001E-3</v>
      </c>
      <c r="L55" s="40">
        <v>50000000</v>
      </c>
      <c r="M55" s="25" t="s">
        <v>336</v>
      </c>
      <c r="N55" s="417" t="s">
        <v>310</v>
      </c>
      <c r="O55" s="389"/>
      <c r="Q55" t="s">
        <v>337</v>
      </c>
      <c r="S55" s="438" t="s">
        <v>248</v>
      </c>
      <c r="T55" s="361" t="s">
        <v>332</v>
      </c>
      <c r="U55" s="380">
        <f t="shared" si="11"/>
        <v>50000000</v>
      </c>
      <c r="V55" s="380"/>
      <c r="W55" s="381"/>
      <c r="X55" s="390">
        <v>2.7000000000000001E-3</v>
      </c>
      <c r="Y55" s="382">
        <f t="shared" si="5"/>
        <v>2.8171462929702494E-5</v>
      </c>
      <c r="Z55" s="372">
        <f t="shared" si="6"/>
        <v>5.9216394712449682E-4</v>
      </c>
      <c r="AA55" s="372"/>
      <c r="AB55" s="372" t="e">
        <f t="shared" si="7"/>
        <v>#REF!</v>
      </c>
      <c r="AC55" s="372"/>
      <c r="AD55" s="372">
        <f t="shared" si="8"/>
        <v>3.8795622376688508E-4</v>
      </c>
      <c r="AE55" s="383"/>
      <c r="AF55" s="384" t="e">
        <f>$L55*($W55+$X55)/#REF!</f>
        <v>#REF!</v>
      </c>
      <c r="AG55" s="374">
        <f t="shared" si="9"/>
        <v>5.9216394712449682E-4</v>
      </c>
      <c r="AH55" s="374"/>
      <c r="AI55" s="374" t="e">
        <f>($U55+$V55)*($W55+$X55)/(#REF!)</f>
        <v>#REF!</v>
      </c>
      <c r="AJ55" s="374"/>
      <c r="AK55" s="374">
        <f t="shared" si="10"/>
        <v>3.8795622376688508E-4</v>
      </c>
      <c r="AL55" s="385"/>
    </row>
    <row r="56" spans="1:38" ht="15" x14ac:dyDescent="0.2">
      <c r="A56" s="435" t="s">
        <v>333</v>
      </c>
      <c r="B56" s="409">
        <v>39136</v>
      </c>
      <c r="C56" s="25"/>
      <c r="D56" s="25"/>
      <c r="E56" s="25"/>
      <c r="F56" s="328" t="s">
        <v>338</v>
      </c>
      <c r="G56" s="25"/>
      <c r="H56" s="439" t="s">
        <v>20</v>
      </c>
      <c r="I56" s="434">
        <f>(0.0365+0.038+0.037+0.038+0.0405*3+0.041*3+0.046+0.0515*6+0.052+0.054*3)/21</f>
        <v>4.585714285714286E-2</v>
      </c>
      <c r="J56" s="25">
        <f>I56*L56/L$79</f>
        <v>5.167451200248286E-4</v>
      </c>
      <c r="K56" s="412">
        <v>1.4500000000000001E-2</v>
      </c>
      <c r="L56" s="40">
        <v>54000000</v>
      </c>
      <c r="M56" s="25" t="s">
        <v>339</v>
      </c>
      <c r="N56" s="417" t="s">
        <v>310</v>
      </c>
      <c r="O56" s="389"/>
      <c r="Q56" t="s">
        <v>331</v>
      </c>
      <c r="S56" s="438" t="s">
        <v>248</v>
      </c>
      <c r="T56" s="361" t="s">
        <v>332</v>
      </c>
      <c r="U56" s="380">
        <f t="shared" si="11"/>
        <v>54000000</v>
      </c>
      <c r="V56" s="380"/>
      <c r="W56" s="381"/>
      <c r="X56" s="390">
        <v>4.0000000000000001E-3</v>
      </c>
      <c r="Y56" s="382">
        <f t="shared" si="5"/>
        <v>4.5074340687523991E-5</v>
      </c>
      <c r="Z56" s="372">
        <f t="shared" si="6"/>
        <v>9.4746231539919498E-4</v>
      </c>
      <c r="AA56" s="372"/>
      <c r="AB56" s="372" t="e">
        <f t="shared" si="7"/>
        <v>#REF!</v>
      </c>
      <c r="AC56" s="372"/>
      <c r="AD56" s="372">
        <f t="shared" si="8"/>
        <v>6.207299580270161E-4</v>
      </c>
      <c r="AE56" s="383"/>
      <c r="AF56" s="384" t="e">
        <f>$L56*($W56+$X56)/#REF!</f>
        <v>#REF!</v>
      </c>
      <c r="AG56" s="374">
        <f t="shared" si="9"/>
        <v>9.4746231539919498E-4</v>
      </c>
      <c r="AH56" s="374"/>
      <c r="AI56" s="374" t="e">
        <f>($U56+$V56)*($W56+$X56)/(#REF!)</f>
        <v>#REF!</v>
      </c>
      <c r="AJ56" s="374"/>
      <c r="AK56" s="374">
        <f t="shared" si="10"/>
        <v>6.207299580270161E-4</v>
      </c>
      <c r="AL56" s="385"/>
    </row>
    <row r="57" spans="1:38" ht="15" x14ac:dyDescent="0.2">
      <c r="A57" s="375" t="s">
        <v>340</v>
      </c>
      <c r="B57" s="338">
        <v>39226</v>
      </c>
      <c r="F57" s="328" t="s">
        <v>341</v>
      </c>
      <c r="H57" s="407">
        <v>5.7500000000000002E-2</v>
      </c>
      <c r="I57" s="377"/>
      <c r="L57" s="359">
        <v>17875000</v>
      </c>
      <c r="M57" s="25" t="s">
        <v>342</v>
      </c>
      <c r="N57" t="s">
        <v>246</v>
      </c>
      <c r="O57" s="327" t="s">
        <v>343</v>
      </c>
      <c r="Q57" t="s">
        <v>344</v>
      </c>
      <c r="S57" s="438" t="s">
        <v>248</v>
      </c>
      <c r="T57" s="361" t="s">
        <v>332</v>
      </c>
      <c r="U57" s="380"/>
      <c r="V57" s="380">
        <f>L57</f>
        <v>17875000</v>
      </c>
      <c r="W57" s="381">
        <f>H57</f>
        <v>5.7500000000000002E-2</v>
      </c>
      <c r="X57" s="390"/>
      <c r="Y57" s="382">
        <f t="shared" si="5"/>
        <v>2.144813462402581E-4</v>
      </c>
      <c r="Z57" s="353"/>
      <c r="AA57" s="372">
        <f>($U57+$V57)*($W57+$X57)/($V$65)</f>
        <v>8.369672318040422E-3</v>
      </c>
      <c r="AB57" s="372"/>
      <c r="AC57" s="372" t="e">
        <f>($U57+$V57)*($W57+$X57)/($V$79)</f>
        <v>#REF!</v>
      </c>
      <c r="AD57" s="372"/>
      <c r="AE57" s="383"/>
      <c r="AF57" s="384" t="e">
        <f>$L57*($W57+$X57)/#REF!</f>
        <v>#REF!</v>
      </c>
      <c r="AG57" s="355"/>
      <c r="AH57" s="374">
        <f>($U57+$V57)*($W57+$X57)/($V$65)</f>
        <v>8.369672318040422E-3</v>
      </c>
      <c r="AI57" s="374"/>
      <c r="AJ57" s="374" t="e">
        <f>($U57+$V57)*($W57+$X57)/(#REF!)</f>
        <v>#REF!</v>
      </c>
      <c r="AK57" s="374"/>
      <c r="AL57" s="385"/>
    </row>
    <row r="58" spans="1:38" ht="17.25" x14ac:dyDescent="0.35">
      <c r="A58" s="375" t="s">
        <v>345</v>
      </c>
      <c r="B58" s="338">
        <v>39226</v>
      </c>
      <c r="F58" s="328" t="s">
        <v>346</v>
      </c>
      <c r="H58" s="407">
        <v>0.06</v>
      </c>
      <c r="I58" s="377"/>
      <c r="L58" s="364">
        <v>8927000</v>
      </c>
      <c r="M58" s="25" t="s">
        <v>347</v>
      </c>
      <c r="N58" t="s">
        <v>246</v>
      </c>
      <c r="O58" s="327" t="s">
        <v>343</v>
      </c>
      <c r="Q58" t="s">
        <v>344</v>
      </c>
      <c r="S58" s="438" t="s">
        <v>248</v>
      </c>
      <c r="T58" s="361" t="s">
        <v>332</v>
      </c>
      <c r="U58" s="380"/>
      <c r="V58" s="380">
        <f>L58</f>
        <v>8927000</v>
      </c>
      <c r="W58" s="381">
        <f>H58</f>
        <v>0.06</v>
      </c>
      <c r="X58" s="390"/>
      <c r="Y58" s="382">
        <f t="shared" si="5"/>
        <v>1.1177184425486851E-4</v>
      </c>
      <c r="Z58" s="440"/>
      <c r="AA58" s="372">
        <f>($U58+$V58)*($W58+$X58)/($V$65)</f>
        <v>4.3616553476327749E-3</v>
      </c>
      <c r="AB58" s="440"/>
      <c r="AC58" s="372" t="e">
        <f>($U58+$V58)*($W58+$X58)/($V$79)</f>
        <v>#REF!</v>
      </c>
      <c r="AD58" s="372"/>
      <c r="AE58" s="383"/>
      <c r="AF58" s="384" t="e">
        <f>$L58*($W58+$X58)/#REF!</f>
        <v>#REF!</v>
      </c>
      <c r="AG58" s="441"/>
      <c r="AH58" s="374">
        <f>($U58+$V58)*($W58+$X58)/($V$65)</f>
        <v>4.3616553476327749E-3</v>
      </c>
      <c r="AI58" s="441"/>
      <c r="AJ58" s="374" t="e">
        <f>($U58+$V58)*($W58+$X58)/(#REF!)</f>
        <v>#REF!</v>
      </c>
      <c r="AK58" s="374"/>
      <c r="AL58" s="385"/>
    </row>
    <row r="59" spans="1:38" ht="15" x14ac:dyDescent="0.2">
      <c r="A59" s="375"/>
      <c r="F59" s="327"/>
      <c r="H59" s="377" t="s">
        <v>291</v>
      </c>
      <c r="I59" s="377"/>
      <c r="L59" s="359">
        <f>SUM(L48:L58)</f>
        <v>350779405</v>
      </c>
      <c r="M59" s="359"/>
      <c r="O59" s="389"/>
      <c r="T59" s="361"/>
      <c r="U59" s="361"/>
      <c r="V59" s="380"/>
      <c r="W59" s="381"/>
      <c r="X59" s="390"/>
      <c r="Y59" s="382"/>
      <c r="Z59" s="353"/>
      <c r="AA59" s="372"/>
      <c r="AB59" s="372"/>
      <c r="AC59" s="372"/>
      <c r="AD59" s="353"/>
      <c r="AE59" s="354"/>
      <c r="AF59" s="384"/>
      <c r="AG59" s="355"/>
      <c r="AH59" s="374"/>
      <c r="AI59" s="374"/>
      <c r="AJ59" s="374"/>
      <c r="AK59" s="355"/>
      <c r="AL59" s="356"/>
    </row>
    <row r="60" spans="1:38" ht="15" x14ac:dyDescent="0.2">
      <c r="A60" s="375"/>
      <c r="F60" s="327"/>
      <c r="H60" s="377"/>
      <c r="I60" s="377"/>
      <c r="L60" s="359"/>
      <c r="M60" s="359"/>
      <c r="O60" s="389"/>
      <c r="T60" s="361"/>
      <c r="U60" s="361"/>
      <c r="V60" s="380"/>
      <c r="W60" s="381"/>
      <c r="X60" s="390"/>
      <c r="Y60" s="382"/>
      <c r="Z60" s="353"/>
      <c r="AA60" s="372"/>
      <c r="AB60" s="372"/>
      <c r="AC60" s="372"/>
      <c r="AD60" s="353"/>
      <c r="AE60" s="354"/>
      <c r="AF60" s="384"/>
      <c r="AG60" s="355"/>
      <c r="AH60" s="374"/>
      <c r="AI60" s="374"/>
      <c r="AJ60" s="374"/>
      <c r="AK60" s="355"/>
      <c r="AL60" s="356"/>
    </row>
    <row r="61" spans="1:38" ht="15" x14ac:dyDescent="0.2">
      <c r="A61" s="420" t="s">
        <v>292</v>
      </c>
      <c r="F61" s="327"/>
      <c r="H61" s="27"/>
      <c r="I61" s="27"/>
      <c r="L61" s="359">
        <v>107000000</v>
      </c>
      <c r="M61" s="359"/>
      <c r="O61" s="389"/>
      <c r="T61" s="361"/>
      <c r="U61" s="361"/>
      <c r="V61" s="380"/>
      <c r="W61" s="381"/>
      <c r="X61" s="390"/>
      <c r="Y61" s="382"/>
      <c r="Z61" s="353"/>
      <c r="AA61" s="372"/>
      <c r="AB61" s="372"/>
      <c r="AC61" s="372"/>
      <c r="AD61" s="353"/>
      <c r="AE61" s="354"/>
      <c r="AF61" s="384"/>
      <c r="AG61" s="355"/>
      <c r="AH61" s="374"/>
      <c r="AI61" s="374"/>
      <c r="AJ61" s="374"/>
      <c r="AK61" s="355"/>
      <c r="AL61" s="356"/>
    </row>
    <row r="62" spans="1:38" ht="17.25" x14ac:dyDescent="0.35">
      <c r="A62" s="379" t="s">
        <v>348</v>
      </c>
      <c r="F62" s="327"/>
      <c r="H62" s="27"/>
      <c r="I62" s="27"/>
      <c r="L62" s="364">
        <v>0</v>
      </c>
      <c r="M62" s="364"/>
      <c r="O62" s="389"/>
      <c r="T62" s="361"/>
      <c r="U62" s="361"/>
      <c r="V62" s="380"/>
      <c r="W62" s="381"/>
      <c r="X62" s="390"/>
      <c r="Y62" s="382"/>
      <c r="Z62" s="353"/>
      <c r="AA62" s="372"/>
      <c r="AB62" s="372"/>
      <c r="AC62" s="372"/>
      <c r="AD62" s="353"/>
      <c r="AE62" s="354"/>
      <c r="AF62" s="384"/>
      <c r="AG62" s="355"/>
      <c r="AH62" s="374"/>
      <c r="AI62" s="374"/>
      <c r="AJ62" s="374"/>
      <c r="AK62" s="355"/>
      <c r="AL62" s="356"/>
    </row>
    <row r="63" spans="1:38" ht="15" x14ac:dyDescent="0.2">
      <c r="A63" s="375"/>
      <c r="F63" s="327"/>
      <c r="H63" s="377"/>
      <c r="I63" s="358"/>
      <c r="L63" s="359"/>
      <c r="M63" s="359"/>
      <c r="O63" s="389"/>
      <c r="T63" s="361"/>
      <c r="U63" s="361"/>
      <c r="V63" s="380"/>
      <c r="W63" s="381"/>
      <c r="X63" s="390"/>
      <c r="Y63" s="382"/>
      <c r="Z63" s="353"/>
      <c r="AA63" s="372"/>
      <c r="AB63" s="372"/>
      <c r="AC63" s="372"/>
      <c r="AD63" s="353"/>
      <c r="AE63" s="354"/>
      <c r="AF63" s="384"/>
      <c r="AG63" s="355"/>
      <c r="AH63" s="374"/>
      <c r="AI63" s="374"/>
      <c r="AJ63" s="374"/>
      <c r="AK63" s="355"/>
      <c r="AL63" s="356"/>
    </row>
    <row r="64" spans="1:38" ht="15" x14ac:dyDescent="0.2">
      <c r="F64" s="327"/>
      <c r="H64" s="377"/>
      <c r="L64" s="432"/>
      <c r="M64" s="432"/>
      <c r="O64" s="327"/>
      <c r="T64" s="361"/>
      <c r="U64" s="442"/>
      <c r="V64" s="443"/>
      <c r="W64" s="381"/>
      <c r="X64" s="381"/>
      <c r="Y64" s="382"/>
      <c r="Z64" s="440"/>
      <c r="AA64" s="440"/>
      <c r="AB64" s="444"/>
      <c r="AC64" s="440"/>
      <c r="AD64" s="445"/>
      <c r="AE64" s="446"/>
      <c r="AF64" s="384"/>
      <c r="AG64" s="441"/>
      <c r="AH64" s="441"/>
      <c r="AI64" s="429"/>
      <c r="AJ64" s="441"/>
      <c r="AK64" s="447"/>
      <c r="AL64" s="448"/>
    </row>
    <row r="65" spans="1:38" s="421" customFormat="1" ht="15.75" x14ac:dyDescent="0.25">
      <c r="F65" s="422"/>
      <c r="H65" s="423" t="s">
        <v>349</v>
      </c>
      <c r="L65" s="424">
        <f>L59+L45+L61+L62</f>
        <v>2207779405</v>
      </c>
      <c r="M65" s="424"/>
      <c r="N65" s="426"/>
      <c r="O65" s="422"/>
      <c r="T65" s="425"/>
      <c r="U65" s="426">
        <f>SUM(U48:U63)</f>
        <v>227977405</v>
      </c>
      <c r="V65" s="426">
        <f>SUM(V48:V63)</f>
        <v>122802000</v>
      </c>
      <c r="W65" s="449"/>
      <c r="X65" s="449"/>
      <c r="Y65" s="450"/>
      <c r="Z65" s="427">
        <f>SUM(Z48:Z63)</f>
        <v>4.3031081808304651E-3</v>
      </c>
      <c r="AA65" s="427">
        <f>SUM(AA48:AA63)</f>
        <v>1.4623153531701436E-2</v>
      </c>
      <c r="AB65" s="427" t="e">
        <f>SUM(AB48:AB63)</f>
        <v>#REF!</v>
      </c>
      <c r="AC65" s="427" t="e">
        <f>SUM(AC48:AC63)</f>
        <v>#REF!</v>
      </c>
      <c r="AD65" s="451"/>
      <c r="AE65" s="452"/>
      <c r="AF65" s="453"/>
      <c r="AG65" s="431">
        <f>SUM(AG48:AG63)</f>
        <v>4.3031081808304651E-3</v>
      </c>
      <c r="AH65" s="429">
        <f>SUM(AH48:AH63)</f>
        <v>1.4623153531701436E-2</v>
      </c>
      <c r="AI65" s="429" t="e">
        <f>SUM(AI48:AI63)</f>
        <v>#REF!</v>
      </c>
      <c r="AJ65" s="429" t="e">
        <f>SUM(AJ48:AJ63)</f>
        <v>#REF!</v>
      </c>
      <c r="AK65" s="454"/>
      <c r="AL65" s="455"/>
    </row>
    <row r="66" spans="1:38" ht="15" x14ac:dyDescent="0.2">
      <c r="F66" s="327"/>
      <c r="L66" s="432"/>
      <c r="M66" s="432"/>
      <c r="O66" s="327"/>
      <c r="T66" s="361"/>
      <c r="V66" s="380"/>
      <c r="W66" s="390"/>
      <c r="X66" s="390"/>
      <c r="Y66" s="382"/>
      <c r="Z66" s="456"/>
      <c r="AA66" s="456"/>
      <c r="AB66" s="372"/>
      <c r="AC66" s="372"/>
      <c r="AD66" s="456"/>
      <c r="AE66" s="457"/>
      <c r="AF66" s="384"/>
      <c r="AG66" s="458"/>
      <c r="AH66" s="458"/>
      <c r="AI66" s="374"/>
      <c r="AJ66" s="374"/>
      <c r="AK66" s="458"/>
      <c r="AL66" s="459"/>
    </row>
    <row r="67" spans="1:38" ht="15" x14ac:dyDescent="0.2">
      <c r="F67" s="327"/>
      <c r="L67" s="430"/>
      <c r="M67" s="430"/>
      <c r="O67" s="327"/>
      <c r="U67" s="443"/>
      <c r="V67" s="443"/>
      <c r="W67" s="390"/>
      <c r="X67" s="390"/>
      <c r="Y67" s="382"/>
      <c r="Z67" s="372"/>
      <c r="AA67" s="372"/>
      <c r="AB67" s="372"/>
      <c r="AC67" s="372"/>
      <c r="AD67" s="353"/>
      <c r="AE67" s="383"/>
      <c r="AF67" s="384"/>
      <c r="AG67" s="374"/>
      <c r="AH67" s="374"/>
      <c r="AI67" s="374"/>
      <c r="AJ67" s="374"/>
      <c r="AK67" s="355"/>
      <c r="AL67" s="385"/>
    </row>
    <row r="68" spans="1:38" ht="15.75" x14ac:dyDescent="0.25">
      <c r="A68" s="337" t="s">
        <v>198</v>
      </c>
      <c r="F68" s="327"/>
      <c r="L68" s="430"/>
      <c r="M68" s="430"/>
      <c r="O68" s="327"/>
      <c r="U68" s="12"/>
      <c r="V68" s="460"/>
      <c r="W68" s="392"/>
      <c r="X68" s="392"/>
      <c r="Y68" s="382"/>
      <c r="Z68" s="372"/>
      <c r="AA68" s="372"/>
      <c r="AB68" s="372"/>
      <c r="AC68" s="372"/>
      <c r="AD68" s="353"/>
      <c r="AE68" s="383"/>
      <c r="AF68" s="384"/>
      <c r="AG68" s="374"/>
      <c r="AH68" s="374"/>
      <c r="AI68" s="374"/>
      <c r="AJ68" s="374"/>
      <c r="AK68" s="355"/>
      <c r="AL68" s="385"/>
    </row>
    <row r="69" spans="1:38" ht="15" x14ac:dyDescent="0.2">
      <c r="A69" t="s">
        <v>350</v>
      </c>
      <c r="F69" s="327"/>
      <c r="H69" s="377" t="s">
        <v>20</v>
      </c>
      <c r="L69" s="430">
        <v>0</v>
      </c>
      <c r="M69" s="430"/>
      <c r="O69" s="327"/>
      <c r="U69" s="443">
        <f>L69</f>
        <v>0</v>
      </c>
      <c r="V69" s="443"/>
      <c r="W69" s="381"/>
      <c r="X69" s="390">
        <v>1.2467861493189533E-2</v>
      </c>
      <c r="Y69" s="382">
        <f>$L69*($W69+$X69)/L$79</f>
        <v>0</v>
      </c>
      <c r="Z69" s="372" t="e">
        <f>($U69+$V69)*($W69+$X69)/($U$76)</f>
        <v>#DIV/0!</v>
      </c>
      <c r="AA69" s="372"/>
      <c r="AB69" s="372" t="e">
        <f>($U69+$V69)*($W69+$X69)/($U$79)</f>
        <v>#REF!</v>
      </c>
      <c r="AC69" s="372"/>
      <c r="AD69" s="461"/>
      <c r="AE69" s="383" t="e">
        <f>($U69+$V69)*($W69+$X69)/($AE$82)</f>
        <v>#REF!</v>
      </c>
      <c r="AF69" s="384"/>
      <c r="AG69" s="374"/>
      <c r="AH69" s="374"/>
      <c r="AI69" s="374"/>
      <c r="AJ69" s="374"/>
      <c r="AK69" s="462"/>
      <c r="AL69" s="385"/>
    </row>
    <row r="70" spans="1:38" ht="15" x14ac:dyDescent="0.2">
      <c r="A70" t="s">
        <v>351</v>
      </c>
      <c r="F70" s="327"/>
      <c r="H70" s="377" t="s">
        <v>20</v>
      </c>
      <c r="L70" s="430">
        <v>75000000</v>
      </c>
      <c r="M70" s="430"/>
      <c r="O70" s="327"/>
      <c r="U70" s="443"/>
      <c r="V70" s="443"/>
      <c r="W70" s="381"/>
      <c r="X70" s="390"/>
      <c r="Y70" s="382"/>
      <c r="Z70" s="372"/>
      <c r="AA70" s="372"/>
      <c r="AB70" s="372"/>
      <c r="AC70" s="372"/>
      <c r="AD70" s="461"/>
      <c r="AE70" s="383"/>
      <c r="AF70" s="384"/>
      <c r="AG70" s="374"/>
      <c r="AH70" s="374"/>
      <c r="AI70" s="374"/>
      <c r="AJ70" s="374"/>
      <c r="AK70" s="462"/>
      <c r="AL70" s="385"/>
    </row>
    <row r="71" spans="1:38" ht="15" x14ac:dyDescent="0.2">
      <c r="A71" s="368" t="s">
        <v>226</v>
      </c>
      <c r="F71" s="339" t="s">
        <v>352</v>
      </c>
      <c r="H71" s="377">
        <v>2.1250000000000002E-2</v>
      </c>
      <c r="L71" s="430">
        <v>150000</v>
      </c>
      <c r="M71" s="430"/>
      <c r="O71" s="327"/>
      <c r="P71" s="339" t="s">
        <v>231</v>
      </c>
      <c r="U71" s="443"/>
      <c r="V71" s="443"/>
      <c r="W71" s="381"/>
      <c r="X71" s="390"/>
      <c r="Y71" s="382"/>
      <c r="Z71" s="372"/>
      <c r="AA71" s="372"/>
      <c r="AB71" s="372"/>
      <c r="AC71" s="372"/>
      <c r="AD71" s="461"/>
      <c r="AE71" s="383"/>
      <c r="AF71" s="384"/>
      <c r="AG71" s="374"/>
      <c r="AH71" s="374"/>
      <c r="AI71" s="374"/>
      <c r="AJ71" s="374"/>
      <c r="AK71" s="462"/>
      <c r="AL71" s="385"/>
    </row>
    <row r="72" spans="1:38" ht="15" x14ac:dyDescent="0.2">
      <c r="A72" s="368" t="s">
        <v>226</v>
      </c>
      <c r="F72" s="339" t="s">
        <v>353</v>
      </c>
      <c r="H72" s="377">
        <v>2.1250000000000002E-2</v>
      </c>
      <c r="L72" s="430">
        <v>399850000</v>
      </c>
      <c r="M72" s="430"/>
      <c r="O72" s="327"/>
      <c r="P72" s="339" t="s">
        <v>231</v>
      </c>
      <c r="U72" s="443"/>
      <c r="V72" s="443"/>
      <c r="W72" s="381"/>
      <c r="X72" s="390"/>
      <c r="Y72" s="382"/>
      <c r="Z72" s="372"/>
      <c r="AA72" s="372"/>
      <c r="AB72" s="372"/>
      <c r="AC72" s="372"/>
      <c r="AD72" s="461"/>
      <c r="AE72" s="383"/>
      <c r="AF72" s="384"/>
      <c r="AG72" s="374"/>
      <c r="AH72" s="374"/>
      <c r="AI72" s="374"/>
      <c r="AJ72" s="374"/>
      <c r="AK72" s="462"/>
      <c r="AL72" s="385"/>
    </row>
    <row r="73" spans="1:38" ht="15" x14ac:dyDescent="0.2">
      <c r="A73" s="375" t="s">
        <v>354</v>
      </c>
      <c r="F73" s="339" t="s">
        <v>355</v>
      </c>
      <c r="H73" s="377">
        <v>3.7499999999999999E-2</v>
      </c>
      <c r="L73" s="430">
        <v>475000000</v>
      </c>
      <c r="M73" s="430"/>
      <c r="O73" s="327"/>
      <c r="P73" s="339" t="s">
        <v>356</v>
      </c>
      <c r="T73" s="420" t="s">
        <v>357</v>
      </c>
      <c r="U73" s="443"/>
      <c r="V73" s="443"/>
      <c r="W73" s="381"/>
      <c r="X73" s="390"/>
      <c r="Y73" s="382"/>
      <c r="Z73" s="372"/>
      <c r="AA73" s="372"/>
      <c r="AB73" s="372"/>
      <c r="AC73" s="372"/>
      <c r="AD73" s="461"/>
      <c r="AE73" s="383"/>
      <c r="AF73" s="384"/>
      <c r="AG73" s="374"/>
      <c r="AH73" s="374"/>
      <c r="AI73" s="374"/>
      <c r="AJ73" s="374"/>
      <c r="AK73" s="462"/>
      <c r="AL73" s="385"/>
    </row>
    <row r="74" spans="1:38" ht="17.25" x14ac:dyDescent="0.35">
      <c r="A74" s="420" t="s">
        <v>358</v>
      </c>
      <c r="F74" s="339" t="s">
        <v>359</v>
      </c>
      <c r="H74" s="377">
        <v>4.3749999999999997E-2</v>
      </c>
      <c r="L74" s="463">
        <v>250000000</v>
      </c>
      <c r="M74" s="463"/>
      <c r="O74" s="327"/>
      <c r="P74" s="339" t="s">
        <v>360</v>
      </c>
      <c r="T74" s="420" t="s">
        <v>361</v>
      </c>
      <c r="U74" s="443"/>
      <c r="V74" s="443"/>
      <c r="W74" s="381"/>
      <c r="X74" s="390"/>
      <c r="Y74" s="382"/>
      <c r="Z74" s="372"/>
      <c r="AA74" s="372"/>
      <c r="AB74" s="372"/>
      <c r="AC74" s="372"/>
      <c r="AD74" s="461"/>
      <c r="AE74" s="383"/>
      <c r="AF74" s="384"/>
      <c r="AG74" s="374"/>
      <c r="AH74" s="374"/>
      <c r="AI74" s="374"/>
      <c r="AJ74" s="374"/>
      <c r="AK74" s="462"/>
      <c r="AL74" s="385"/>
    </row>
    <row r="75" spans="1:38" ht="15" x14ac:dyDescent="0.2">
      <c r="F75" s="327"/>
      <c r="L75" s="430"/>
      <c r="M75" s="430"/>
      <c r="O75" s="327"/>
      <c r="V75" s="443"/>
      <c r="Y75" s="331"/>
      <c r="Z75" s="353"/>
      <c r="AA75" s="353"/>
      <c r="AB75" s="353"/>
      <c r="AC75" s="353"/>
      <c r="AD75" s="353"/>
      <c r="AE75" s="354"/>
      <c r="AF75" s="334"/>
      <c r="AG75" s="355"/>
      <c r="AH75" s="355"/>
      <c r="AI75" s="355"/>
      <c r="AJ75" s="374"/>
      <c r="AK75" s="355"/>
      <c r="AL75" s="356"/>
    </row>
    <row r="76" spans="1:38" ht="15.75" x14ac:dyDescent="0.25">
      <c r="F76" s="327"/>
      <c r="H76" s="377" t="s">
        <v>362</v>
      </c>
      <c r="L76" s="424">
        <f>SUM(L69:L75)</f>
        <v>1200000000</v>
      </c>
      <c r="M76" s="424"/>
      <c r="O76" s="327"/>
      <c r="U76" s="426">
        <f>SUM(U69:U69)</f>
        <v>0</v>
      </c>
      <c r="V76" s="426">
        <f>SUM(V69:V69)</f>
        <v>0</v>
      </c>
      <c r="Y76" s="464" t="e">
        <f>SUM(Y15:Y69)</f>
        <v>#VALUE!</v>
      </c>
      <c r="Z76" s="427" t="e">
        <f>SUM(Z69:Z69)</f>
        <v>#DIV/0!</v>
      </c>
      <c r="AA76" s="427">
        <f>SUM(AA69:AA69)</f>
        <v>0</v>
      </c>
      <c r="AB76" s="427" t="e">
        <f>SUM(AB69:AB69)</f>
        <v>#REF!</v>
      </c>
      <c r="AC76" s="427">
        <f>SUM(AC69:AC69)</f>
        <v>0</v>
      </c>
      <c r="AD76" s="353"/>
      <c r="AE76" s="354"/>
      <c r="AF76" s="465" t="e">
        <f>SUM(AF15:AF69)</f>
        <v>#VALUE!</v>
      </c>
      <c r="AG76" s="429">
        <f>SUM(AG69:AG69)</f>
        <v>0</v>
      </c>
      <c r="AH76" s="429">
        <f>SUM(AH69:AH69)</f>
        <v>0</v>
      </c>
      <c r="AI76" s="429">
        <f>SUM(AI69:AI69)</f>
        <v>0</v>
      </c>
      <c r="AJ76" s="429">
        <f>SUM(AJ69:AJ69)</f>
        <v>0</v>
      </c>
      <c r="AK76" s="429"/>
      <c r="AL76" s="466"/>
    </row>
    <row r="77" spans="1:38" x14ac:dyDescent="0.2">
      <c r="F77" s="327"/>
      <c r="O77" s="327"/>
      <c r="Y77" s="331"/>
      <c r="Z77" s="353"/>
      <c r="AA77" s="353"/>
      <c r="AB77" s="353"/>
      <c r="AC77" s="353"/>
      <c r="AD77" s="353"/>
      <c r="AE77" s="354"/>
      <c r="AF77" s="334"/>
      <c r="AG77" s="355"/>
      <c r="AH77" s="355"/>
      <c r="AI77" s="355"/>
      <c r="AJ77" s="355"/>
      <c r="AK77" s="467"/>
      <c r="AL77" s="468"/>
    </row>
    <row r="78" spans="1:38" ht="15" x14ac:dyDescent="0.2">
      <c r="F78" s="327"/>
      <c r="L78" s="432"/>
      <c r="M78" s="432"/>
      <c r="O78" s="327"/>
      <c r="U78" s="380"/>
      <c r="Y78" s="331"/>
      <c r="Z78" s="353"/>
      <c r="AA78" s="353"/>
      <c r="AB78" s="353"/>
      <c r="AC78" s="353"/>
      <c r="AD78" s="353"/>
      <c r="AE78" s="354"/>
      <c r="AF78" s="334"/>
      <c r="AG78" s="355"/>
      <c r="AH78" s="355"/>
      <c r="AI78" s="355"/>
      <c r="AJ78" s="355"/>
      <c r="AK78" s="469"/>
      <c r="AL78" s="459"/>
    </row>
    <row r="79" spans="1:38" ht="15.75" x14ac:dyDescent="0.25">
      <c r="H79" s="27" t="s">
        <v>363</v>
      </c>
      <c r="J79" s="358">
        <f>SUM(J1:J78)</f>
        <v>5.9684211660355107E-3</v>
      </c>
      <c r="K79" s="358"/>
      <c r="L79" s="424">
        <f>L65+L34+L76</f>
        <v>4792083405</v>
      </c>
      <c r="M79" s="424"/>
      <c r="N79" s="380"/>
      <c r="O79" s="327"/>
      <c r="U79" s="426" t="e">
        <f>U34+U65+#REF!+U76</f>
        <v>#REF!</v>
      </c>
      <c r="V79" s="426" t="e">
        <f>V34+V65+#REF!+V76</f>
        <v>#REF!</v>
      </c>
      <c r="Y79" s="331"/>
      <c r="Z79" s="353"/>
      <c r="AA79" s="353"/>
      <c r="AB79" s="427" t="e">
        <f>AB76+#REF!+AB65+AB34</f>
        <v>#REF!</v>
      </c>
      <c r="AC79" s="427" t="e">
        <f>AC76+#REF!+AC65+AC34</f>
        <v>#REF!</v>
      </c>
      <c r="AD79" s="427">
        <f>SUM(AD15:AD69)</f>
        <v>5.4271093736675234E-3</v>
      </c>
      <c r="AE79" s="470" t="e">
        <f>SUM(AE15:AE69)</f>
        <v>#REF!</v>
      </c>
      <c r="AF79" s="334"/>
      <c r="AG79" s="355"/>
      <c r="AH79" s="355"/>
      <c r="AI79" s="471" t="e">
        <f>AI76+#REF!+AI65+AI34</f>
        <v>#REF!</v>
      </c>
      <c r="AJ79" s="471" t="e">
        <f>AJ76+#REF!+AJ65+AJ34</f>
        <v>#REF!</v>
      </c>
      <c r="AK79" s="429">
        <f>SUM(AK15:AK69)</f>
        <v>5.4271093736675234E-3</v>
      </c>
      <c r="AL79" s="466">
        <f>SUM(AL15:AL69)</f>
        <v>0</v>
      </c>
    </row>
    <row r="80" spans="1:38" s="474" customFormat="1" x14ac:dyDescent="0.2">
      <c r="A80"/>
      <c r="B80"/>
      <c r="C80"/>
      <c r="D80"/>
      <c r="E80" s="472"/>
      <c r="F80" s="472"/>
      <c r="G80" s="472"/>
      <c r="H80" s="472"/>
      <c r="I80" s="472"/>
      <c r="J80" s="472"/>
      <c r="K80" s="472"/>
      <c r="L80" s="473"/>
      <c r="M80" s="473"/>
      <c r="U80"/>
      <c r="V80"/>
      <c r="W80"/>
      <c r="X80"/>
      <c r="Y80" s="331"/>
      <c r="Z80" s="353"/>
      <c r="AA80" s="353"/>
      <c r="AB80" s="353"/>
      <c r="AC80" s="353"/>
      <c r="AD80" s="353"/>
      <c r="AE80" s="354"/>
      <c r="AF80" s="334"/>
      <c r="AG80" s="355"/>
      <c r="AH80" s="355"/>
      <c r="AI80" s="355"/>
      <c r="AJ80" s="355"/>
      <c r="AK80" s="355"/>
      <c r="AL80" s="356"/>
    </row>
    <row r="81" spans="1:38" x14ac:dyDescent="0.2">
      <c r="A81" s="475"/>
      <c r="B81" s="472"/>
      <c r="C81" s="472"/>
      <c r="D81" s="472"/>
      <c r="L81" s="380"/>
      <c r="M81" s="380"/>
      <c r="Y81" s="331"/>
      <c r="Z81" s="353"/>
      <c r="AA81" s="353"/>
      <c r="AB81" s="353"/>
      <c r="AC81" s="353"/>
      <c r="AD81" s="476" t="s">
        <v>364</v>
      </c>
      <c r="AE81" s="477" t="s">
        <v>365</v>
      </c>
      <c r="AF81" s="334"/>
      <c r="AG81" s="355"/>
      <c r="AH81" s="355"/>
      <c r="AI81" s="355"/>
      <c r="AJ81" s="355"/>
      <c r="AK81" s="478" t="s">
        <v>364</v>
      </c>
      <c r="AL81" s="479" t="s">
        <v>365</v>
      </c>
    </row>
    <row r="82" spans="1:38" ht="14.25" thickBot="1" x14ac:dyDescent="0.25">
      <c r="A82" s="480"/>
      <c r="B82" s="474"/>
      <c r="C82" s="474"/>
      <c r="D82" s="474"/>
      <c r="L82" s="380"/>
      <c r="M82" s="380"/>
      <c r="Y82" s="481"/>
      <c r="Z82" s="482"/>
      <c r="AA82" s="482"/>
      <c r="AB82" s="482"/>
      <c r="AC82" s="482"/>
      <c r="AD82" s="483">
        <f>SUM($U$18:$U$21)+SUM($U$48:$U$56)</f>
        <v>347977405</v>
      </c>
      <c r="AE82" s="484" t="e">
        <f>SUM($U$69:$U$69)+#REF!</f>
        <v>#REF!</v>
      </c>
      <c r="AF82" s="485"/>
      <c r="AG82" s="486"/>
      <c r="AH82" s="486"/>
      <c r="AI82" s="486"/>
      <c r="AJ82" s="486"/>
      <c r="AK82" s="487">
        <f>SUM($U$18:$U$21)+SUM($U$48:$U$56)</f>
        <v>347977405</v>
      </c>
      <c r="AL82" s="488" t="e">
        <f>SUM(#REF!)+#REF!-#REF!</f>
        <v>#REF!</v>
      </c>
    </row>
    <row r="83" spans="1:38" x14ac:dyDescent="0.2">
      <c r="L83" s="489"/>
      <c r="M83" s="489"/>
      <c r="U83" s="380"/>
    </row>
    <row r="84" spans="1:38" x14ac:dyDescent="0.2">
      <c r="L84" s="380">
        <f>L79-L69-L61-L30-L70</f>
        <v>4585083405</v>
      </c>
      <c r="M84" s="380"/>
    </row>
    <row r="85" spans="1:38" x14ac:dyDescent="0.2">
      <c r="L85" s="380"/>
      <c r="M85" s="380"/>
    </row>
  </sheetData>
  <mergeCells count="6">
    <mergeCell ref="Y4:AE4"/>
    <mergeCell ref="AF4:AL4"/>
    <mergeCell ref="Z5:AA5"/>
    <mergeCell ref="AB5:AC5"/>
    <mergeCell ref="AG5:AH5"/>
    <mergeCell ref="AI5:AJ5"/>
  </mergeCells>
  <pageMargins left="0.75" right="0.75" top="0.64" bottom="0.65" header="0.5" footer="0.5"/>
  <pageSetup scale="1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7"/>
  <dimension ref="A1"/>
  <sheetViews>
    <sheetView workbookViewId="0">
      <selection activeCell="P42" sqref="P42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7">
    <pageSetUpPr fitToPage="1"/>
  </sheetPr>
  <dimension ref="A1:N191"/>
  <sheetViews>
    <sheetView zoomScale="95" zoomScaleNormal="95" workbookViewId="0">
      <pane ySplit="5" topLeftCell="A179" activePane="bottomLeft" state="frozen"/>
      <selection sqref="A1:XFD1048576"/>
      <selection pane="bottomLeft" activeCell="N161" sqref="N161"/>
    </sheetView>
  </sheetViews>
  <sheetFormatPr defaultRowHeight="15" x14ac:dyDescent="0.25"/>
  <cols>
    <col min="1" max="1" width="8.5703125" style="121" customWidth="1"/>
    <col min="2" max="2" width="10.28515625" style="140" bestFit="1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31" customWidth="1"/>
    <col min="10" max="10" width="11.7109375" style="132" customWidth="1"/>
    <col min="11" max="11" width="9.140625" style="119"/>
    <col min="12" max="16384" width="9.140625" style="120"/>
  </cols>
  <sheetData>
    <row r="1" spans="1:14" ht="12.75" x14ac:dyDescent="0.2">
      <c r="A1" s="502" t="s">
        <v>97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12900000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237149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51.75" x14ac:dyDescent="0.25">
      <c r="B5" s="122"/>
      <c r="D5" s="123"/>
      <c r="H5" s="124" t="s">
        <v>99</v>
      </c>
      <c r="I5" s="125" t="s">
        <v>100</v>
      </c>
      <c r="J5" s="126" t="s">
        <v>101</v>
      </c>
      <c r="K5" s="127" t="s">
        <v>102</v>
      </c>
      <c r="L5" s="128"/>
      <c r="M5" s="128"/>
      <c r="N5" s="128"/>
    </row>
    <row r="6" spans="1:14" x14ac:dyDescent="0.25">
      <c r="B6" s="122"/>
      <c r="D6" s="123"/>
      <c r="H6" s="124"/>
      <c r="I6" s="125"/>
      <c r="J6" s="126"/>
      <c r="K6" s="129"/>
      <c r="L6" s="128"/>
      <c r="M6" s="128"/>
      <c r="N6" s="128"/>
    </row>
    <row r="7" spans="1:14" x14ac:dyDescent="0.25">
      <c r="B7" s="122"/>
      <c r="D7" s="136"/>
      <c r="F7" s="130"/>
    </row>
    <row r="8" spans="1:14" hidden="1" x14ac:dyDescent="0.25">
      <c r="A8" s="121">
        <v>41395</v>
      </c>
      <c r="B8" s="122">
        <v>41395</v>
      </c>
      <c r="D8" s="136">
        <v>0.2</v>
      </c>
      <c r="F8" s="130">
        <f t="shared" ref="F8:F17" si="0">ROUND(D8/100*$A$3/365,6)</f>
        <v>70.684932000000003</v>
      </c>
    </row>
    <row r="9" spans="1:14" hidden="1" x14ac:dyDescent="0.25">
      <c r="B9" s="122">
        <f t="shared" ref="B9:B67" si="1">B8+1</f>
        <v>41396</v>
      </c>
      <c r="D9" s="136">
        <v>0.2</v>
      </c>
      <c r="F9" s="130">
        <f t="shared" si="0"/>
        <v>70.684932000000003</v>
      </c>
    </row>
    <row r="10" spans="1:14" hidden="1" x14ac:dyDescent="0.25">
      <c r="B10" s="122">
        <f t="shared" si="1"/>
        <v>41397</v>
      </c>
      <c r="D10" s="136">
        <v>0.2</v>
      </c>
      <c r="F10" s="130">
        <f t="shared" si="0"/>
        <v>70.684932000000003</v>
      </c>
    </row>
    <row r="11" spans="1:14" hidden="1" x14ac:dyDescent="0.25">
      <c r="B11" s="122">
        <f t="shared" si="1"/>
        <v>41398</v>
      </c>
      <c r="D11" s="136">
        <v>0.2</v>
      </c>
      <c r="F11" s="130">
        <f t="shared" si="0"/>
        <v>70.684932000000003</v>
      </c>
    </row>
    <row r="12" spans="1:14" hidden="1" x14ac:dyDescent="0.25">
      <c r="B12" s="122">
        <f t="shared" si="1"/>
        <v>41399</v>
      </c>
      <c r="D12" s="136">
        <v>0.2</v>
      </c>
      <c r="F12" s="130">
        <f t="shared" si="0"/>
        <v>70.684932000000003</v>
      </c>
    </row>
    <row r="13" spans="1:14" hidden="1" x14ac:dyDescent="0.25">
      <c r="B13" s="122">
        <f t="shared" si="1"/>
        <v>41400</v>
      </c>
      <c r="D13" s="136">
        <v>0.2</v>
      </c>
      <c r="F13" s="130">
        <f t="shared" si="0"/>
        <v>70.684932000000003</v>
      </c>
    </row>
    <row r="14" spans="1:14" hidden="1" x14ac:dyDescent="0.25">
      <c r="B14" s="122">
        <f t="shared" si="1"/>
        <v>41401</v>
      </c>
      <c r="D14" s="136">
        <v>0.2</v>
      </c>
      <c r="F14" s="130">
        <f t="shared" si="0"/>
        <v>70.684932000000003</v>
      </c>
    </row>
    <row r="15" spans="1:14" hidden="1" x14ac:dyDescent="0.25">
      <c r="B15" s="122">
        <f t="shared" si="1"/>
        <v>41402</v>
      </c>
      <c r="D15" s="136">
        <v>0.18</v>
      </c>
      <c r="F15" s="130">
        <f t="shared" si="0"/>
        <v>63.616438000000002</v>
      </c>
    </row>
    <row r="16" spans="1:14" hidden="1" x14ac:dyDescent="0.25">
      <c r="B16" s="122">
        <f t="shared" si="1"/>
        <v>41403</v>
      </c>
      <c r="D16" s="136">
        <v>0.18</v>
      </c>
      <c r="F16" s="130">
        <f t="shared" si="0"/>
        <v>63.616438000000002</v>
      </c>
    </row>
    <row r="17" spans="2:6" hidden="1" x14ac:dyDescent="0.25">
      <c r="B17" s="122">
        <f t="shared" si="1"/>
        <v>41404</v>
      </c>
      <c r="D17" s="136">
        <v>0.18</v>
      </c>
      <c r="F17" s="130">
        <f t="shared" si="0"/>
        <v>63.616438000000002</v>
      </c>
    </row>
    <row r="18" spans="2:6" hidden="1" x14ac:dyDescent="0.25">
      <c r="B18" s="122">
        <f t="shared" si="1"/>
        <v>41405</v>
      </c>
      <c r="D18" s="136">
        <v>0.18</v>
      </c>
      <c r="F18" s="130">
        <f t="shared" ref="F18:F81" si="2">ROUND(D18/100*$A$3/365,6)</f>
        <v>63.616438000000002</v>
      </c>
    </row>
    <row r="19" spans="2:6" hidden="1" x14ac:dyDescent="0.25">
      <c r="B19" s="122">
        <f t="shared" si="1"/>
        <v>41406</v>
      </c>
      <c r="D19" s="136">
        <v>0.18</v>
      </c>
      <c r="F19" s="130">
        <f t="shared" si="2"/>
        <v>63.616438000000002</v>
      </c>
    </row>
    <row r="20" spans="2:6" hidden="1" x14ac:dyDescent="0.25">
      <c r="B20" s="122">
        <f t="shared" si="1"/>
        <v>41407</v>
      </c>
      <c r="D20" s="136">
        <v>0.18</v>
      </c>
      <c r="F20" s="130">
        <f t="shared" si="2"/>
        <v>63.616438000000002</v>
      </c>
    </row>
    <row r="21" spans="2:6" hidden="1" x14ac:dyDescent="0.25">
      <c r="B21" s="122">
        <f t="shared" si="1"/>
        <v>41408</v>
      </c>
      <c r="D21" s="136">
        <v>0.18</v>
      </c>
      <c r="F21" s="130">
        <f t="shared" si="2"/>
        <v>63.616438000000002</v>
      </c>
    </row>
    <row r="22" spans="2:6" hidden="1" x14ac:dyDescent="0.25">
      <c r="B22" s="122">
        <f t="shared" si="1"/>
        <v>41409</v>
      </c>
      <c r="D22" s="136">
        <v>0.18</v>
      </c>
      <c r="F22" s="130">
        <f t="shared" si="2"/>
        <v>63.616438000000002</v>
      </c>
    </row>
    <row r="23" spans="2:6" hidden="1" x14ac:dyDescent="0.25">
      <c r="B23" s="122">
        <f t="shared" si="1"/>
        <v>41410</v>
      </c>
      <c r="D23" s="136">
        <v>0.18</v>
      </c>
      <c r="F23" s="130">
        <f t="shared" si="2"/>
        <v>63.616438000000002</v>
      </c>
    </row>
    <row r="24" spans="2:6" hidden="1" x14ac:dyDescent="0.25">
      <c r="B24" s="122">
        <f t="shared" si="1"/>
        <v>41411</v>
      </c>
      <c r="D24" s="136">
        <v>0.18</v>
      </c>
      <c r="F24" s="130">
        <f t="shared" si="2"/>
        <v>63.616438000000002</v>
      </c>
    </row>
    <row r="25" spans="2:6" hidden="1" x14ac:dyDescent="0.25">
      <c r="B25" s="122">
        <f t="shared" si="1"/>
        <v>41412</v>
      </c>
      <c r="D25" s="136">
        <v>0.18</v>
      </c>
      <c r="F25" s="130">
        <f t="shared" si="2"/>
        <v>63.616438000000002</v>
      </c>
    </row>
    <row r="26" spans="2:6" hidden="1" x14ac:dyDescent="0.25">
      <c r="B26" s="122">
        <f t="shared" si="1"/>
        <v>41413</v>
      </c>
      <c r="D26" s="136">
        <v>0.18</v>
      </c>
      <c r="F26" s="130">
        <f t="shared" si="2"/>
        <v>63.616438000000002</v>
      </c>
    </row>
    <row r="27" spans="2:6" hidden="1" x14ac:dyDescent="0.25">
      <c r="B27" s="122">
        <f t="shared" si="1"/>
        <v>41414</v>
      </c>
      <c r="D27" s="136">
        <v>0.18</v>
      </c>
      <c r="F27" s="130">
        <f t="shared" si="2"/>
        <v>63.616438000000002</v>
      </c>
    </row>
    <row r="28" spans="2:6" hidden="1" x14ac:dyDescent="0.25">
      <c r="B28" s="122">
        <f t="shared" si="1"/>
        <v>41415</v>
      </c>
      <c r="D28" s="136">
        <v>0.18</v>
      </c>
      <c r="F28" s="130">
        <f t="shared" si="2"/>
        <v>63.616438000000002</v>
      </c>
    </row>
    <row r="29" spans="2:6" hidden="1" x14ac:dyDescent="0.25">
      <c r="B29" s="122">
        <f t="shared" si="1"/>
        <v>41416</v>
      </c>
      <c r="D29" s="136">
        <v>0.16</v>
      </c>
      <c r="F29" s="130">
        <f t="shared" si="2"/>
        <v>56.547944999999999</v>
      </c>
    </row>
    <row r="30" spans="2:6" hidden="1" x14ac:dyDescent="0.25">
      <c r="B30" s="122">
        <f t="shared" si="1"/>
        <v>41417</v>
      </c>
      <c r="D30" s="136">
        <v>0.16</v>
      </c>
      <c r="F30" s="130">
        <f t="shared" si="2"/>
        <v>56.547944999999999</v>
      </c>
    </row>
    <row r="31" spans="2:6" hidden="1" x14ac:dyDescent="0.25">
      <c r="B31" s="122">
        <f t="shared" si="1"/>
        <v>41418</v>
      </c>
      <c r="D31" s="136">
        <v>0.16</v>
      </c>
      <c r="F31" s="130">
        <f t="shared" si="2"/>
        <v>56.547944999999999</v>
      </c>
    </row>
    <row r="32" spans="2:6" hidden="1" x14ac:dyDescent="0.25">
      <c r="B32" s="122">
        <f t="shared" si="1"/>
        <v>41419</v>
      </c>
      <c r="D32" s="136">
        <v>0.16</v>
      </c>
      <c r="F32" s="130">
        <f t="shared" si="2"/>
        <v>56.547944999999999</v>
      </c>
    </row>
    <row r="33" spans="1:11" hidden="1" x14ac:dyDescent="0.25">
      <c r="B33" s="122">
        <f t="shared" si="1"/>
        <v>41420</v>
      </c>
      <c r="D33" s="136">
        <v>0.16</v>
      </c>
      <c r="F33" s="130">
        <f t="shared" si="2"/>
        <v>56.547944999999999</v>
      </c>
    </row>
    <row r="34" spans="1:11" hidden="1" x14ac:dyDescent="0.25">
      <c r="B34" s="122">
        <f t="shared" si="1"/>
        <v>41421</v>
      </c>
      <c r="D34" s="136">
        <v>0.16</v>
      </c>
      <c r="F34" s="130">
        <f t="shared" si="2"/>
        <v>56.547944999999999</v>
      </c>
    </row>
    <row r="35" spans="1:11" hidden="1" x14ac:dyDescent="0.25">
      <c r="B35" s="122">
        <f t="shared" si="1"/>
        <v>41422</v>
      </c>
      <c r="D35" s="136">
        <v>0.16</v>
      </c>
      <c r="F35" s="130">
        <f t="shared" si="2"/>
        <v>56.547944999999999</v>
      </c>
    </row>
    <row r="36" spans="1:11" hidden="1" x14ac:dyDescent="0.25">
      <c r="B36" s="122">
        <f t="shared" si="1"/>
        <v>41423</v>
      </c>
      <c r="D36" s="136">
        <v>0.12</v>
      </c>
      <c r="F36" s="130">
        <f t="shared" si="2"/>
        <v>42.410958999999998</v>
      </c>
    </row>
    <row r="37" spans="1:11" hidden="1" x14ac:dyDescent="0.25">
      <c r="B37" s="122">
        <f t="shared" si="1"/>
        <v>41424</v>
      </c>
      <c r="D37" s="136">
        <v>0.12</v>
      </c>
      <c r="F37" s="130">
        <f t="shared" si="2"/>
        <v>42.410958999999998</v>
      </c>
    </row>
    <row r="38" spans="1:11" hidden="1" x14ac:dyDescent="0.25">
      <c r="B38" s="122">
        <f t="shared" si="1"/>
        <v>41425</v>
      </c>
      <c r="D38" s="136">
        <v>0.12</v>
      </c>
      <c r="F38" s="130">
        <f t="shared" si="2"/>
        <v>42.410958999999998</v>
      </c>
      <c r="H38" s="133">
        <f>SUM(F8:F38)</f>
        <v>1908.4931480000005</v>
      </c>
      <c r="I38" s="134">
        <f>AVERAGE(D8:D38)</f>
        <v>0.17419354838709683</v>
      </c>
      <c r="J38" s="135">
        <f>AVERAGE(D7:D38)</f>
        <v>0.17419354838709683</v>
      </c>
      <c r="K38" s="138">
        <f>AVERAGE(D8:D38)</f>
        <v>0.17419354838709683</v>
      </c>
    </row>
    <row r="39" spans="1:11" hidden="1" x14ac:dyDescent="0.25">
      <c r="A39" s="121">
        <v>41426</v>
      </c>
      <c r="B39" s="122">
        <f t="shared" si="1"/>
        <v>41426</v>
      </c>
      <c r="D39" s="136">
        <v>0.12</v>
      </c>
      <c r="F39" s="130">
        <f t="shared" si="2"/>
        <v>42.410958999999998</v>
      </c>
    </row>
    <row r="40" spans="1:11" hidden="1" x14ac:dyDescent="0.25">
      <c r="B40" s="122">
        <f t="shared" si="1"/>
        <v>41427</v>
      </c>
      <c r="D40" s="136">
        <v>0.12</v>
      </c>
      <c r="F40" s="130">
        <f t="shared" si="2"/>
        <v>42.410958999999998</v>
      </c>
    </row>
    <row r="41" spans="1:11" hidden="1" x14ac:dyDescent="0.25">
      <c r="B41" s="122">
        <f t="shared" si="1"/>
        <v>41428</v>
      </c>
      <c r="D41" s="136">
        <v>0.12</v>
      </c>
      <c r="F41" s="130">
        <f t="shared" si="2"/>
        <v>42.410958999999998</v>
      </c>
    </row>
    <row r="42" spans="1:11" hidden="1" x14ac:dyDescent="0.25">
      <c r="B42" s="122">
        <f t="shared" si="1"/>
        <v>41429</v>
      </c>
      <c r="D42" s="136">
        <v>0.12</v>
      </c>
      <c r="F42" s="130">
        <f t="shared" si="2"/>
        <v>42.410958999999998</v>
      </c>
    </row>
    <row r="43" spans="1:11" hidden="1" x14ac:dyDescent="0.25">
      <c r="B43" s="122">
        <f t="shared" si="1"/>
        <v>41430</v>
      </c>
      <c r="D43" s="136">
        <v>0.1</v>
      </c>
      <c r="F43" s="130">
        <f t="shared" si="2"/>
        <v>35.342466000000002</v>
      </c>
    </row>
    <row r="44" spans="1:11" hidden="1" x14ac:dyDescent="0.25">
      <c r="B44" s="122">
        <f t="shared" si="1"/>
        <v>41431</v>
      </c>
      <c r="D44" s="136">
        <v>0.1</v>
      </c>
      <c r="F44" s="130">
        <f t="shared" si="2"/>
        <v>35.342466000000002</v>
      </c>
    </row>
    <row r="45" spans="1:11" hidden="1" x14ac:dyDescent="0.25">
      <c r="B45" s="122">
        <f t="shared" si="1"/>
        <v>41432</v>
      </c>
      <c r="D45" s="136">
        <v>0.1</v>
      </c>
      <c r="F45" s="130">
        <f t="shared" si="2"/>
        <v>35.342466000000002</v>
      </c>
    </row>
    <row r="46" spans="1:11" hidden="1" x14ac:dyDescent="0.25">
      <c r="B46" s="122">
        <f t="shared" si="1"/>
        <v>41433</v>
      </c>
      <c r="D46" s="136">
        <v>0.1</v>
      </c>
      <c r="F46" s="130">
        <f t="shared" si="2"/>
        <v>35.342466000000002</v>
      </c>
    </row>
    <row r="47" spans="1:11" hidden="1" x14ac:dyDescent="0.25">
      <c r="B47" s="122">
        <f t="shared" si="1"/>
        <v>41434</v>
      </c>
      <c r="D47" s="136">
        <v>0.1</v>
      </c>
      <c r="F47" s="130">
        <f t="shared" si="2"/>
        <v>35.342466000000002</v>
      </c>
    </row>
    <row r="48" spans="1:11" hidden="1" x14ac:dyDescent="0.25">
      <c r="B48" s="122">
        <f t="shared" si="1"/>
        <v>41435</v>
      </c>
      <c r="D48" s="136">
        <v>0.1</v>
      </c>
      <c r="F48" s="130">
        <f t="shared" si="2"/>
        <v>35.342466000000002</v>
      </c>
    </row>
    <row r="49" spans="2:6" hidden="1" x14ac:dyDescent="0.25">
      <c r="B49" s="122">
        <f t="shared" si="1"/>
        <v>41436</v>
      </c>
      <c r="D49" s="136">
        <v>0.1</v>
      </c>
      <c r="F49" s="130">
        <f t="shared" si="2"/>
        <v>35.342466000000002</v>
      </c>
    </row>
    <row r="50" spans="2:6" hidden="1" x14ac:dyDescent="0.25">
      <c r="B50" s="122">
        <f t="shared" si="1"/>
        <v>41437</v>
      </c>
      <c r="D50" s="136">
        <v>7.0000000000000007E-2</v>
      </c>
      <c r="F50" s="130">
        <f t="shared" si="2"/>
        <v>24.739726000000001</v>
      </c>
    </row>
    <row r="51" spans="2:6" hidden="1" x14ac:dyDescent="0.25">
      <c r="B51" s="122">
        <f t="shared" si="1"/>
        <v>41438</v>
      </c>
      <c r="D51" s="136">
        <v>7.0000000000000007E-2</v>
      </c>
      <c r="F51" s="130">
        <f t="shared" si="2"/>
        <v>24.739726000000001</v>
      </c>
    </row>
    <row r="52" spans="2:6" hidden="1" x14ac:dyDescent="0.25">
      <c r="B52" s="122">
        <f t="shared" si="1"/>
        <v>41439</v>
      </c>
      <c r="D52" s="136">
        <v>7.0000000000000007E-2</v>
      </c>
      <c r="F52" s="130">
        <f t="shared" si="2"/>
        <v>24.739726000000001</v>
      </c>
    </row>
    <row r="53" spans="2:6" hidden="1" x14ac:dyDescent="0.25">
      <c r="B53" s="122">
        <f t="shared" si="1"/>
        <v>41440</v>
      </c>
      <c r="D53" s="136">
        <v>7.0000000000000007E-2</v>
      </c>
      <c r="F53" s="130">
        <f t="shared" si="2"/>
        <v>24.739726000000001</v>
      </c>
    </row>
    <row r="54" spans="2:6" hidden="1" x14ac:dyDescent="0.25">
      <c r="B54" s="122">
        <f t="shared" si="1"/>
        <v>41441</v>
      </c>
      <c r="D54" s="136">
        <v>7.0000000000000007E-2</v>
      </c>
      <c r="F54" s="130">
        <f t="shared" si="2"/>
        <v>24.739726000000001</v>
      </c>
    </row>
    <row r="55" spans="2:6" hidden="1" x14ac:dyDescent="0.25">
      <c r="B55" s="122">
        <f t="shared" si="1"/>
        <v>41442</v>
      </c>
      <c r="D55" s="136">
        <v>7.0000000000000007E-2</v>
      </c>
      <c r="F55" s="130">
        <f t="shared" si="2"/>
        <v>24.739726000000001</v>
      </c>
    </row>
    <row r="56" spans="2:6" hidden="1" x14ac:dyDescent="0.25">
      <c r="B56" s="122">
        <f t="shared" si="1"/>
        <v>41443</v>
      </c>
      <c r="D56" s="136">
        <v>7.0000000000000007E-2</v>
      </c>
      <c r="F56" s="130">
        <f t="shared" si="2"/>
        <v>24.739726000000001</v>
      </c>
    </row>
    <row r="57" spans="2:6" hidden="1" x14ac:dyDescent="0.25">
      <c r="B57" s="122">
        <f t="shared" si="1"/>
        <v>41444</v>
      </c>
      <c r="D57" s="136">
        <v>7.0000000000000007E-2</v>
      </c>
      <c r="F57" s="130">
        <f t="shared" si="2"/>
        <v>24.739726000000001</v>
      </c>
    </row>
    <row r="58" spans="2:6" hidden="1" x14ac:dyDescent="0.25">
      <c r="B58" s="122">
        <f t="shared" si="1"/>
        <v>41445</v>
      </c>
      <c r="D58" s="136">
        <v>7.0000000000000007E-2</v>
      </c>
      <c r="F58" s="130">
        <f t="shared" si="2"/>
        <v>24.739726000000001</v>
      </c>
    </row>
    <row r="59" spans="2:6" hidden="1" x14ac:dyDescent="0.25">
      <c r="B59" s="122">
        <f t="shared" si="1"/>
        <v>41446</v>
      </c>
      <c r="D59" s="136">
        <v>7.0000000000000007E-2</v>
      </c>
      <c r="F59" s="130">
        <f t="shared" si="2"/>
        <v>24.739726000000001</v>
      </c>
    </row>
    <row r="60" spans="2:6" hidden="1" x14ac:dyDescent="0.25">
      <c r="B60" s="122">
        <f t="shared" si="1"/>
        <v>41447</v>
      </c>
      <c r="D60" s="136">
        <v>7.0000000000000007E-2</v>
      </c>
      <c r="F60" s="130">
        <f t="shared" si="2"/>
        <v>24.739726000000001</v>
      </c>
    </row>
    <row r="61" spans="2:6" hidden="1" x14ac:dyDescent="0.25">
      <c r="B61" s="122">
        <f t="shared" si="1"/>
        <v>41448</v>
      </c>
      <c r="D61" s="136">
        <v>7.0000000000000007E-2</v>
      </c>
      <c r="F61" s="130">
        <f t="shared" si="2"/>
        <v>24.739726000000001</v>
      </c>
    </row>
    <row r="62" spans="2:6" hidden="1" x14ac:dyDescent="0.25">
      <c r="B62" s="122">
        <f t="shared" si="1"/>
        <v>41449</v>
      </c>
      <c r="D62" s="136">
        <v>7.0000000000000007E-2</v>
      </c>
      <c r="F62" s="130">
        <f t="shared" si="2"/>
        <v>24.739726000000001</v>
      </c>
    </row>
    <row r="63" spans="2:6" hidden="1" x14ac:dyDescent="0.25">
      <c r="B63" s="122">
        <f t="shared" si="1"/>
        <v>41450</v>
      </c>
      <c r="D63" s="136">
        <v>7.0000000000000007E-2</v>
      </c>
      <c r="F63" s="130">
        <f t="shared" si="2"/>
        <v>24.739726000000001</v>
      </c>
    </row>
    <row r="64" spans="2:6" hidden="1" x14ac:dyDescent="0.25">
      <c r="B64" s="122">
        <f t="shared" si="1"/>
        <v>41451</v>
      </c>
      <c r="D64" s="136">
        <v>7.0000000000000007E-2</v>
      </c>
      <c r="F64" s="130">
        <f t="shared" si="2"/>
        <v>24.739726000000001</v>
      </c>
    </row>
    <row r="65" spans="1:11" hidden="1" x14ac:dyDescent="0.25">
      <c r="B65" s="122">
        <f t="shared" si="1"/>
        <v>41452</v>
      </c>
      <c r="D65" s="136">
        <v>7.0000000000000007E-2</v>
      </c>
      <c r="F65" s="130">
        <f t="shared" si="2"/>
        <v>24.739726000000001</v>
      </c>
    </row>
    <row r="66" spans="1:11" hidden="1" x14ac:dyDescent="0.25">
      <c r="B66" s="122">
        <f t="shared" si="1"/>
        <v>41453</v>
      </c>
      <c r="D66" s="136">
        <v>7.0000000000000007E-2</v>
      </c>
      <c r="F66" s="130">
        <f t="shared" si="2"/>
        <v>24.739726000000001</v>
      </c>
    </row>
    <row r="67" spans="1:11" hidden="1" x14ac:dyDescent="0.25">
      <c r="B67" s="122">
        <f t="shared" si="1"/>
        <v>41454</v>
      </c>
      <c r="D67" s="136">
        <v>7.0000000000000007E-2</v>
      </c>
      <c r="F67" s="130">
        <f t="shared" si="2"/>
        <v>24.739726000000001</v>
      </c>
    </row>
    <row r="68" spans="1:11" hidden="1" x14ac:dyDescent="0.25">
      <c r="B68" s="122">
        <f t="shared" ref="B68:B131" si="3">B67+1</f>
        <v>41455</v>
      </c>
      <c r="D68" s="136">
        <v>7.0000000000000007E-2</v>
      </c>
      <c r="F68" s="130">
        <f t="shared" si="2"/>
        <v>24.739726000000001</v>
      </c>
      <c r="H68" s="133">
        <f>SUM(F39:F68)</f>
        <v>887.09589200000039</v>
      </c>
      <c r="I68" s="134">
        <f>AVERAGE(D39:D68)</f>
        <v>8.3666666666666639E-2</v>
      </c>
      <c r="J68" s="135">
        <f>AVERAGE(D7:D68)</f>
        <v>0.12967213114754109</v>
      </c>
      <c r="K68" s="138">
        <f>AVERAGE(D8:D68)</f>
        <v>0.12967213114754109</v>
      </c>
    </row>
    <row r="69" spans="1:11" hidden="1" x14ac:dyDescent="0.25">
      <c r="A69" s="121">
        <v>41456</v>
      </c>
      <c r="B69" s="122">
        <f t="shared" si="3"/>
        <v>41456</v>
      </c>
      <c r="D69" s="136">
        <v>7.0000000000000007E-2</v>
      </c>
      <c r="F69" s="130">
        <f t="shared" si="2"/>
        <v>24.739726000000001</v>
      </c>
    </row>
    <row r="70" spans="1:11" hidden="1" x14ac:dyDescent="0.25">
      <c r="B70" s="122">
        <f t="shared" si="3"/>
        <v>41457</v>
      </c>
      <c r="D70" s="136">
        <v>7.0000000000000007E-2</v>
      </c>
      <c r="F70" s="130">
        <f t="shared" si="2"/>
        <v>24.739726000000001</v>
      </c>
    </row>
    <row r="71" spans="1:11" hidden="1" x14ac:dyDescent="0.25">
      <c r="B71" s="122">
        <f t="shared" si="3"/>
        <v>41458</v>
      </c>
      <c r="D71" s="136">
        <v>0.05</v>
      </c>
      <c r="F71" s="130">
        <f t="shared" si="2"/>
        <v>17.671233000000001</v>
      </c>
    </row>
    <row r="72" spans="1:11" hidden="1" x14ac:dyDescent="0.25">
      <c r="B72" s="122">
        <f t="shared" si="3"/>
        <v>41459</v>
      </c>
      <c r="D72" s="136">
        <v>0.05</v>
      </c>
      <c r="F72" s="130">
        <f t="shared" si="2"/>
        <v>17.671233000000001</v>
      </c>
    </row>
    <row r="73" spans="1:11" hidden="1" x14ac:dyDescent="0.25">
      <c r="B73" s="122">
        <f t="shared" si="3"/>
        <v>41460</v>
      </c>
      <c r="D73" s="136">
        <v>0.05</v>
      </c>
      <c r="F73" s="130">
        <f t="shared" si="2"/>
        <v>17.671233000000001</v>
      </c>
    </row>
    <row r="74" spans="1:11" hidden="1" x14ac:dyDescent="0.25">
      <c r="B74" s="122">
        <f t="shared" si="3"/>
        <v>41461</v>
      </c>
      <c r="D74" s="136">
        <v>0.05</v>
      </c>
      <c r="F74" s="130">
        <f t="shared" si="2"/>
        <v>17.671233000000001</v>
      </c>
    </row>
    <row r="75" spans="1:11" hidden="1" x14ac:dyDescent="0.25">
      <c r="B75" s="122">
        <f t="shared" si="3"/>
        <v>41462</v>
      </c>
      <c r="D75" s="136">
        <v>0.05</v>
      </c>
      <c r="F75" s="130">
        <f t="shared" si="2"/>
        <v>17.671233000000001</v>
      </c>
    </row>
    <row r="76" spans="1:11" hidden="1" x14ac:dyDescent="0.25">
      <c r="B76" s="122">
        <f t="shared" si="3"/>
        <v>41463</v>
      </c>
      <c r="D76" s="136">
        <v>0.05</v>
      </c>
      <c r="F76" s="130">
        <f t="shared" si="2"/>
        <v>17.671233000000001</v>
      </c>
    </row>
    <row r="77" spans="1:11" hidden="1" x14ac:dyDescent="0.25">
      <c r="B77" s="122">
        <f t="shared" si="3"/>
        <v>41464</v>
      </c>
      <c r="D77" s="136">
        <v>0.05</v>
      </c>
      <c r="F77" s="130">
        <f t="shared" si="2"/>
        <v>17.671233000000001</v>
      </c>
    </row>
    <row r="78" spans="1:11" hidden="1" x14ac:dyDescent="0.25">
      <c r="B78" s="122">
        <f t="shared" si="3"/>
        <v>41465</v>
      </c>
      <c r="D78" s="136">
        <v>0.06</v>
      </c>
      <c r="F78" s="130">
        <f t="shared" si="2"/>
        <v>21.205479</v>
      </c>
    </row>
    <row r="79" spans="1:11" hidden="1" x14ac:dyDescent="0.25">
      <c r="B79" s="122">
        <f t="shared" si="3"/>
        <v>41466</v>
      </c>
      <c r="D79" s="136">
        <v>0.06</v>
      </c>
      <c r="F79" s="130">
        <f t="shared" si="2"/>
        <v>21.205479</v>
      </c>
    </row>
    <row r="80" spans="1:11" hidden="1" x14ac:dyDescent="0.25">
      <c r="B80" s="122">
        <f t="shared" si="3"/>
        <v>41467</v>
      </c>
      <c r="D80" s="136">
        <v>0.06</v>
      </c>
      <c r="F80" s="130">
        <f t="shared" si="2"/>
        <v>21.205479</v>
      </c>
    </row>
    <row r="81" spans="2:6" hidden="1" x14ac:dyDescent="0.25">
      <c r="B81" s="122">
        <f t="shared" si="3"/>
        <v>41468</v>
      </c>
      <c r="D81" s="136">
        <v>0.06</v>
      </c>
      <c r="F81" s="130">
        <f t="shared" si="2"/>
        <v>21.205479</v>
      </c>
    </row>
    <row r="82" spans="2:6" hidden="1" x14ac:dyDescent="0.25">
      <c r="B82" s="122">
        <f t="shared" si="3"/>
        <v>41469</v>
      </c>
      <c r="D82" s="136">
        <v>0.06</v>
      </c>
      <c r="F82" s="130">
        <f t="shared" ref="F82:F145" si="4">ROUND(D82/100*$A$3/365,6)</f>
        <v>21.205479</v>
      </c>
    </row>
    <row r="83" spans="2:6" hidden="1" x14ac:dyDescent="0.25">
      <c r="B83" s="122">
        <f t="shared" si="3"/>
        <v>41470</v>
      </c>
      <c r="D83" s="136">
        <v>0.06</v>
      </c>
      <c r="F83" s="130">
        <f t="shared" si="4"/>
        <v>21.205479</v>
      </c>
    </row>
    <row r="84" spans="2:6" hidden="1" x14ac:dyDescent="0.25">
      <c r="B84" s="122">
        <f t="shared" si="3"/>
        <v>41471</v>
      </c>
      <c r="D84" s="136">
        <v>0.06</v>
      </c>
      <c r="F84" s="130">
        <f t="shared" si="4"/>
        <v>21.205479</v>
      </c>
    </row>
    <row r="85" spans="2:6" hidden="1" x14ac:dyDescent="0.25">
      <c r="B85" s="122">
        <f t="shared" si="3"/>
        <v>41472</v>
      </c>
      <c r="D85" s="136">
        <v>0.06</v>
      </c>
      <c r="F85" s="130">
        <f t="shared" si="4"/>
        <v>21.205479</v>
      </c>
    </row>
    <row r="86" spans="2:6" hidden="1" x14ac:dyDescent="0.25">
      <c r="B86" s="122">
        <f t="shared" si="3"/>
        <v>41473</v>
      </c>
      <c r="D86" s="136">
        <v>0.06</v>
      </c>
      <c r="F86" s="130">
        <f t="shared" si="4"/>
        <v>21.205479</v>
      </c>
    </row>
    <row r="87" spans="2:6" hidden="1" x14ac:dyDescent="0.25">
      <c r="B87" s="122">
        <f t="shared" si="3"/>
        <v>41474</v>
      </c>
      <c r="D87" s="136">
        <v>0.06</v>
      </c>
      <c r="F87" s="130">
        <f t="shared" si="4"/>
        <v>21.205479</v>
      </c>
    </row>
    <row r="88" spans="2:6" hidden="1" x14ac:dyDescent="0.25">
      <c r="B88" s="122">
        <f t="shared" si="3"/>
        <v>41475</v>
      </c>
      <c r="D88" s="136">
        <v>0.06</v>
      </c>
      <c r="F88" s="130">
        <f t="shared" si="4"/>
        <v>21.205479</v>
      </c>
    </row>
    <row r="89" spans="2:6" hidden="1" x14ac:dyDescent="0.25">
      <c r="B89" s="122">
        <f t="shared" si="3"/>
        <v>41476</v>
      </c>
      <c r="D89" s="136">
        <v>0.06</v>
      </c>
      <c r="F89" s="130">
        <f t="shared" si="4"/>
        <v>21.205479</v>
      </c>
    </row>
    <row r="90" spans="2:6" hidden="1" x14ac:dyDescent="0.25">
      <c r="B90" s="122">
        <f t="shared" si="3"/>
        <v>41477</v>
      </c>
      <c r="D90" s="136">
        <v>0.06</v>
      </c>
      <c r="F90" s="130">
        <f t="shared" si="4"/>
        <v>21.205479</v>
      </c>
    </row>
    <row r="91" spans="2:6" hidden="1" x14ac:dyDescent="0.25">
      <c r="B91" s="122">
        <f t="shared" si="3"/>
        <v>41478</v>
      </c>
      <c r="D91" s="136">
        <v>0.06</v>
      </c>
      <c r="F91" s="130">
        <f t="shared" si="4"/>
        <v>21.205479</v>
      </c>
    </row>
    <row r="92" spans="2:6" hidden="1" x14ac:dyDescent="0.25">
      <c r="B92" s="122">
        <f t="shared" si="3"/>
        <v>41479</v>
      </c>
      <c r="D92" s="136">
        <v>0.06</v>
      </c>
      <c r="F92" s="130">
        <f t="shared" si="4"/>
        <v>21.205479</v>
      </c>
    </row>
    <row r="93" spans="2:6" hidden="1" x14ac:dyDescent="0.25">
      <c r="B93" s="122">
        <f t="shared" si="3"/>
        <v>41480</v>
      </c>
      <c r="D93" s="136">
        <v>0.06</v>
      </c>
      <c r="F93" s="130">
        <f t="shared" si="4"/>
        <v>21.205479</v>
      </c>
    </row>
    <row r="94" spans="2:6" hidden="1" x14ac:dyDescent="0.25">
      <c r="B94" s="122">
        <f t="shared" si="3"/>
        <v>41481</v>
      </c>
      <c r="D94" s="136">
        <v>0.06</v>
      </c>
      <c r="F94" s="130">
        <f t="shared" si="4"/>
        <v>21.205479</v>
      </c>
    </row>
    <row r="95" spans="2:6" hidden="1" x14ac:dyDescent="0.25">
      <c r="B95" s="122">
        <f t="shared" si="3"/>
        <v>41482</v>
      </c>
      <c r="D95" s="136">
        <v>0.06</v>
      </c>
      <c r="F95" s="130">
        <f t="shared" si="4"/>
        <v>21.205479</v>
      </c>
    </row>
    <row r="96" spans="2:6" hidden="1" x14ac:dyDescent="0.25">
      <c r="B96" s="122">
        <f t="shared" si="3"/>
        <v>41483</v>
      </c>
      <c r="D96" s="136">
        <v>0.06</v>
      </c>
      <c r="F96" s="130">
        <f t="shared" si="4"/>
        <v>21.205479</v>
      </c>
    </row>
    <row r="97" spans="1:11" hidden="1" x14ac:dyDescent="0.25">
      <c r="B97" s="122">
        <f t="shared" si="3"/>
        <v>41484</v>
      </c>
      <c r="D97" s="136">
        <v>0.06</v>
      </c>
      <c r="F97" s="130">
        <f t="shared" si="4"/>
        <v>21.205479</v>
      </c>
    </row>
    <row r="98" spans="1:11" hidden="1" x14ac:dyDescent="0.25">
      <c r="B98" s="122">
        <f t="shared" si="3"/>
        <v>41485</v>
      </c>
      <c r="D98" s="136">
        <v>0.06</v>
      </c>
      <c r="F98" s="130">
        <f t="shared" si="4"/>
        <v>21.205479</v>
      </c>
    </row>
    <row r="99" spans="1:11" hidden="1" x14ac:dyDescent="0.25">
      <c r="B99" s="122">
        <f t="shared" si="3"/>
        <v>41486</v>
      </c>
      <c r="D99" s="136">
        <v>0.06</v>
      </c>
      <c r="F99" s="130">
        <f t="shared" si="4"/>
        <v>21.205479</v>
      </c>
      <c r="H99" s="133">
        <f>SUM(F69:F99)</f>
        <v>639.69862100000012</v>
      </c>
      <c r="I99" s="134">
        <f>AVERAGE(D69:D99)</f>
        <v>5.8387096774193577E-2</v>
      </c>
      <c r="J99" s="135">
        <f>AVERAGE(D7:D99)</f>
        <v>0.10565217391304371</v>
      </c>
      <c r="K99" s="138">
        <f>AVERAGE(D8:D99)</f>
        <v>0.10565217391304371</v>
      </c>
    </row>
    <row r="100" spans="1:11" hidden="1" x14ac:dyDescent="0.25">
      <c r="A100" s="121">
        <v>41487</v>
      </c>
      <c r="B100" s="122">
        <f t="shared" si="3"/>
        <v>41487</v>
      </c>
      <c r="D100" s="136">
        <v>0.06</v>
      </c>
      <c r="F100" s="130">
        <f t="shared" si="4"/>
        <v>21.205479</v>
      </c>
    </row>
    <row r="101" spans="1:11" hidden="1" x14ac:dyDescent="0.25">
      <c r="B101" s="122">
        <f t="shared" si="3"/>
        <v>41488</v>
      </c>
      <c r="D101" s="136">
        <v>0.06</v>
      </c>
      <c r="F101" s="130">
        <f t="shared" si="4"/>
        <v>21.205479</v>
      </c>
    </row>
    <row r="102" spans="1:11" hidden="1" x14ac:dyDescent="0.25">
      <c r="B102" s="122">
        <f t="shared" si="3"/>
        <v>41489</v>
      </c>
      <c r="D102" s="136">
        <v>0.06</v>
      </c>
      <c r="F102" s="130">
        <f t="shared" si="4"/>
        <v>21.205479</v>
      </c>
    </row>
    <row r="103" spans="1:11" hidden="1" x14ac:dyDescent="0.25">
      <c r="B103" s="122">
        <f t="shared" si="3"/>
        <v>41490</v>
      </c>
      <c r="D103" s="136">
        <v>0.06</v>
      </c>
      <c r="F103" s="130">
        <f t="shared" si="4"/>
        <v>21.205479</v>
      </c>
    </row>
    <row r="104" spans="1:11" hidden="1" x14ac:dyDescent="0.25">
      <c r="B104" s="122">
        <f t="shared" si="3"/>
        <v>41491</v>
      </c>
      <c r="D104" s="136">
        <v>0.06</v>
      </c>
      <c r="F104" s="130">
        <f t="shared" si="4"/>
        <v>21.205479</v>
      </c>
    </row>
    <row r="105" spans="1:11" hidden="1" x14ac:dyDescent="0.25">
      <c r="B105" s="122">
        <f t="shared" si="3"/>
        <v>41492</v>
      </c>
      <c r="D105" s="136">
        <v>0.06</v>
      </c>
      <c r="F105" s="130">
        <f t="shared" si="4"/>
        <v>21.205479</v>
      </c>
    </row>
    <row r="106" spans="1:11" hidden="1" x14ac:dyDescent="0.25">
      <c r="B106" s="122">
        <f t="shared" si="3"/>
        <v>41493</v>
      </c>
      <c r="D106" s="136">
        <v>0.06</v>
      </c>
      <c r="F106" s="130">
        <f t="shared" si="4"/>
        <v>21.205479</v>
      </c>
    </row>
    <row r="107" spans="1:11" hidden="1" x14ac:dyDescent="0.25">
      <c r="B107" s="122">
        <f t="shared" si="3"/>
        <v>41494</v>
      </c>
      <c r="D107" s="136">
        <v>0.06</v>
      </c>
      <c r="F107" s="130">
        <f t="shared" si="4"/>
        <v>21.205479</v>
      </c>
    </row>
    <row r="108" spans="1:11" hidden="1" x14ac:dyDescent="0.25">
      <c r="B108" s="122">
        <f t="shared" si="3"/>
        <v>41495</v>
      </c>
      <c r="D108" s="136">
        <v>0.06</v>
      </c>
      <c r="F108" s="130">
        <f t="shared" si="4"/>
        <v>21.205479</v>
      </c>
    </row>
    <row r="109" spans="1:11" hidden="1" x14ac:dyDescent="0.25">
      <c r="B109" s="122">
        <f t="shared" si="3"/>
        <v>41496</v>
      </c>
      <c r="D109" s="136">
        <v>0.06</v>
      </c>
      <c r="F109" s="130">
        <f t="shared" si="4"/>
        <v>21.205479</v>
      </c>
    </row>
    <row r="110" spans="1:11" hidden="1" x14ac:dyDescent="0.25">
      <c r="B110" s="122">
        <f t="shared" si="3"/>
        <v>41497</v>
      </c>
      <c r="D110" s="136">
        <v>0.06</v>
      </c>
      <c r="F110" s="130">
        <f t="shared" si="4"/>
        <v>21.205479</v>
      </c>
    </row>
    <row r="111" spans="1:11" hidden="1" x14ac:dyDescent="0.25">
      <c r="B111" s="122">
        <f t="shared" si="3"/>
        <v>41498</v>
      </c>
      <c r="D111" s="136">
        <v>0.06</v>
      </c>
      <c r="F111" s="130">
        <f t="shared" si="4"/>
        <v>21.205479</v>
      </c>
    </row>
    <row r="112" spans="1:11" hidden="1" x14ac:dyDescent="0.25">
      <c r="B112" s="122">
        <f t="shared" si="3"/>
        <v>41499</v>
      </c>
      <c r="D112" s="136">
        <v>0.06</v>
      </c>
      <c r="F112" s="130">
        <f t="shared" si="4"/>
        <v>21.205479</v>
      </c>
    </row>
    <row r="113" spans="2:6" hidden="1" x14ac:dyDescent="0.25">
      <c r="B113" s="122">
        <f t="shared" si="3"/>
        <v>41500</v>
      </c>
      <c r="D113" s="136">
        <v>0.06</v>
      </c>
      <c r="F113" s="130">
        <f t="shared" si="4"/>
        <v>21.205479</v>
      </c>
    </row>
    <row r="114" spans="2:6" hidden="1" x14ac:dyDescent="0.25">
      <c r="B114" s="122">
        <f t="shared" si="3"/>
        <v>41501</v>
      </c>
      <c r="D114" s="136">
        <v>0.06</v>
      </c>
      <c r="F114" s="130">
        <f t="shared" si="4"/>
        <v>21.205479</v>
      </c>
    </row>
    <row r="115" spans="2:6" hidden="1" x14ac:dyDescent="0.25">
      <c r="B115" s="122">
        <f t="shared" si="3"/>
        <v>41502</v>
      </c>
      <c r="D115" s="136">
        <v>0.06</v>
      </c>
      <c r="F115" s="130">
        <f t="shared" si="4"/>
        <v>21.205479</v>
      </c>
    </row>
    <row r="116" spans="2:6" hidden="1" x14ac:dyDescent="0.25">
      <c r="B116" s="122">
        <f t="shared" si="3"/>
        <v>41503</v>
      </c>
      <c r="D116" s="136">
        <v>0.06</v>
      </c>
      <c r="F116" s="130">
        <f t="shared" si="4"/>
        <v>21.205479</v>
      </c>
    </row>
    <row r="117" spans="2:6" hidden="1" x14ac:dyDescent="0.25">
      <c r="B117" s="122">
        <f t="shared" si="3"/>
        <v>41504</v>
      </c>
      <c r="D117" s="136">
        <v>0.06</v>
      </c>
      <c r="F117" s="130">
        <f t="shared" si="4"/>
        <v>21.205479</v>
      </c>
    </row>
    <row r="118" spans="2:6" hidden="1" x14ac:dyDescent="0.25">
      <c r="B118" s="122">
        <f t="shared" si="3"/>
        <v>41505</v>
      </c>
      <c r="D118" s="136">
        <v>0.06</v>
      </c>
      <c r="F118" s="130">
        <f t="shared" si="4"/>
        <v>21.205479</v>
      </c>
    </row>
    <row r="119" spans="2:6" hidden="1" x14ac:dyDescent="0.25">
      <c r="B119" s="122">
        <f t="shared" si="3"/>
        <v>41506</v>
      </c>
      <c r="D119" s="136">
        <v>0.06</v>
      </c>
      <c r="F119" s="130">
        <f t="shared" si="4"/>
        <v>21.205479</v>
      </c>
    </row>
    <row r="120" spans="2:6" hidden="1" x14ac:dyDescent="0.25">
      <c r="B120" s="122">
        <f t="shared" si="3"/>
        <v>41507</v>
      </c>
      <c r="D120" s="136">
        <v>0.08</v>
      </c>
      <c r="F120" s="130">
        <f t="shared" si="4"/>
        <v>28.273973000000002</v>
      </c>
    </row>
    <row r="121" spans="2:6" hidden="1" x14ac:dyDescent="0.25">
      <c r="B121" s="122">
        <f t="shared" si="3"/>
        <v>41508</v>
      </c>
      <c r="D121" s="136">
        <v>0.08</v>
      </c>
      <c r="F121" s="130">
        <f t="shared" si="4"/>
        <v>28.273973000000002</v>
      </c>
    </row>
    <row r="122" spans="2:6" hidden="1" x14ac:dyDescent="0.25">
      <c r="B122" s="122">
        <f t="shared" si="3"/>
        <v>41509</v>
      </c>
      <c r="D122" s="136">
        <v>0.08</v>
      </c>
      <c r="F122" s="130">
        <f t="shared" si="4"/>
        <v>28.273973000000002</v>
      </c>
    </row>
    <row r="123" spans="2:6" hidden="1" x14ac:dyDescent="0.25">
      <c r="B123" s="122">
        <f t="shared" si="3"/>
        <v>41510</v>
      </c>
      <c r="D123" s="136">
        <v>0.08</v>
      </c>
      <c r="F123" s="130">
        <f t="shared" si="4"/>
        <v>28.273973000000002</v>
      </c>
    </row>
    <row r="124" spans="2:6" hidden="1" x14ac:dyDescent="0.25">
      <c r="B124" s="122">
        <f t="shared" si="3"/>
        <v>41511</v>
      </c>
      <c r="D124" s="136">
        <v>0.08</v>
      </c>
      <c r="F124" s="130">
        <f t="shared" si="4"/>
        <v>28.273973000000002</v>
      </c>
    </row>
    <row r="125" spans="2:6" hidden="1" x14ac:dyDescent="0.25">
      <c r="B125" s="122">
        <f t="shared" si="3"/>
        <v>41512</v>
      </c>
      <c r="D125" s="136">
        <v>0.08</v>
      </c>
      <c r="F125" s="130">
        <f t="shared" si="4"/>
        <v>28.273973000000002</v>
      </c>
    </row>
    <row r="126" spans="2:6" hidden="1" x14ac:dyDescent="0.25">
      <c r="B126" s="122">
        <f t="shared" si="3"/>
        <v>41513</v>
      </c>
      <c r="D126" s="136">
        <v>0.08</v>
      </c>
      <c r="F126" s="130">
        <f t="shared" si="4"/>
        <v>28.273973000000002</v>
      </c>
    </row>
    <row r="127" spans="2:6" hidden="1" x14ac:dyDescent="0.25">
      <c r="B127" s="122">
        <f t="shared" si="3"/>
        <v>41514</v>
      </c>
      <c r="D127" s="136">
        <v>0.08</v>
      </c>
      <c r="F127" s="130">
        <f t="shared" si="4"/>
        <v>28.273973000000002</v>
      </c>
    </row>
    <row r="128" spans="2:6" hidden="1" x14ac:dyDescent="0.25">
      <c r="B128" s="122">
        <f t="shared" si="3"/>
        <v>41515</v>
      </c>
      <c r="D128" s="136">
        <v>0.08</v>
      </c>
      <c r="F128" s="130">
        <f t="shared" si="4"/>
        <v>28.273973000000002</v>
      </c>
    </row>
    <row r="129" spans="1:11" hidden="1" x14ac:dyDescent="0.25">
      <c r="B129" s="122">
        <f t="shared" si="3"/>
        <v>41516</v>
      </c>
      <c r="D129" s="136">
        <v>0.08</v>
      </c>
      <c r="F129" s="130">
        <f t="shared" si="4"/>
        <v>28.273973000000002</v>
      </c>
    </row>
    <row r="130" spans="1:11" hidden="1" x14ac:dyDescent="0.25">
      <c r="B130" s="122">
        <f t="shared" si="3"/>
        <v>41517</v>
      </c>
      <c r="D130" s="136">
        <v>0.08</v>
      </c>
      <c r="F130" s="130">
        <f t="shared" si="4"/>
        <v>28.273973000000002</v>
      </c>
      <c r="H130" s="133">
        <f>SUM(F100:F130)</f>
        <v>735.1232829999999</v>
      </c>
      <c r="I130" s="134">
        <f>AVERAGE(D100:D130)</f>
        <v>6.7096774193548439E-2</v>
      </c>
      <c r="J130" s="135">
        <f>AVERAGE(D7:D130)</f>
        <v>9.5934959349593757E-2</v>
      </c>
      <c r="K130" s="138">
        <f>AVERAGE(D8:D130)</f>
        <v>9.5934959349593757E-2</v>
      </c>
    </row>
    <row r="131" spans="1:11" hidden="1" x14ac:dyDescent="0.25">
      <c r="A131" s="121">
        <v>41518</v>
      </c>
      <c r="B131" s="122">
        <f t="shared" si="3"/>
        <v>41518</v>
      </c>
      <c r="D131" s="136">
        <v>0.08</v>
      </c>
      <c r="F131" s="130">
        <f t="shared" si="4"/>
        <v>28.273973000000002</v>
      </c>
    </row>
    <row r="132" spans="1:11" hidden="1" x14ac:dyDescent="0.25">
      <c r="B132" s="122">
        <f t="shared" ref="B132:B191" si="5">B131+1</f>
        <v>41519</v>
      </c>
      <c r="D132" s="136">
        <v>0.08</v>
      </c>
      <c r="F132" s="130">
        <f t="shared" si="4"/>
        <v>28.273973000000002</v>
      </c>
    </row>
    <row r="133" spans="1:11" hidden="1" x14ac:dyDescent="0.25">
      <c r="B133" s="122">
        <f t="shared" si="5"/>
        <v>41520</v>
      </c>
      <c r="D133" s="136">
        <v>0.08</v>
      </c>
      <c r="F133" s="130">
        <f t="shared" si="4"/>
        <v>28.273973000000002</v>
      </c>
    </row>
    <row r="134" spans="1:11" hidden="1" x14ac:dyDescent="0.25">
      <c r="B134" s="122">
        <f t="shared" si="5"/>
        <v>41521</v>
      </c>
      <c r="D134" s="136">
        <v>7.0000000000000007E-2</v>
      </c>
      <c r="F134" s="130">
        <f t="shared" si="4"/>
        <v>24.739726000000001</v>
      </c>
    </row>
    <row r="135" spans="1:11" hidden="1" x14ac:dyDescent="0.25">
      <c r="B135" s="122">
        <f t="shared" si="5"/>
        <v>41522</v>
      </c>
      <c r="D135" s="136">
        <v>7.0000000000000007E-2</v>
      </c>
      <c r="F135" s="130">
        <f t="shared" si="4"/>
        <v>24.739726000000001</v>
      </c>
    </row>
    <row r="136" spans="1:11" hidden="1" x14ac:dyDescent="0.25">
      <c r="B136" s="122">
        <f t="shared" si="5"/>
        <v>41523</v>
      </c>
      <c r="D136" s="136">
        <v>7.0000000000000007E-2</v>
      </c>
      <c r="F136" s="130">
        <f t="shared" si="4"/>
        <v>24.739726000000001</v>
      </c>
    </row>
    <row r="137" spans="1:11" hidden="1" x14ac:dyDescent="0.25">
      <c r="B137" s="122">
        <f t="shared" si="5"/>
        <v>41524</v>
      </c>
      <c r="D137" s="136">
        <v>7.0000000000000007E-2</v>
      </c>
      <c r="F137" s="130">
        <f t="shared" si="4"/>
        <v>24.739726000000001</v>
      </c>
    </row>
    <row r="138" spans="1:11" hidden="1" x14ac:dyDescent="0.25">
      <c r="B138" s="122">
        <f t="shared" si="5"/>
        <v>41525</v>
      </c>
      <c r="D138" s="136">
        <v>7.0000000000000007E-2</v>
      </c>
      <c r="F138" s="130">
        <f t="shared" si="4"/>
        <v>24.739726000000001</v>
      </c>
    </row>
    <row r="139" spans="1:11" hidden="1" x14ac:dyDescent="0.25">
      <c r="B139" s="122">
        <f t="shared" si="5"/>
        <v>41526</v>
      </c>
      <c r="D139" s="136">
        <v>7.0000000000000007E-2</v>
      </c>
      <c r="F139" s="130">
        <f t="shared" si="4"/>
        <v>24.739726000000001</v>
      </c>
    </row>
    <row r="140" spans="1:11" hidden="1" x14ac:dyDescent="0.25">
      <c r="B140" s="122">
        <f t="shared" si="5"/>
        <v>41527</v>
      </c>
      <c r="D140" s="136">
        <v>7.0000000000000007E-2</v>
      </c>
      <c r="F140" s="130">
        <f t="shared" si="4"/>
        <v>24.739726000000001</v>
      </c>
    </row>
    <row r="141" spans="1:11" hidden="1" x14ac:dyDescent="0.25">
      <c r="B141" s="122">
        <f t="shared" si="5"/>
        <v>41528</v>
      </c>
      <c r="D141" s="136">
        <v>7.0000000000000007E-2</v>
      </c>
      <c r="F141" s="130">
        <f t="shared" si="4"/>
        <v>24.739726000000001</v>
      </c>
    </row>
    <row r="142" spans="1:11" hidden="1" x14ac:dyDescent="0.25">
      <c r="B142" s="122">
        <f t="shared" si="5"/>
        <v>41529</v>
      </c>
      <c r="D142" s="136">
        <v>7.0000000000000007E-2</v>
      </c>
      <c r="F142" s="130">
        <f t="shared" si="4"/>
        <v>24.739726000000001</v>
      </c>
    </row>
    <row r="143" spans="1:11" hidden="1" x14ac:dyDescent="0.25">
      <c r="B143" s="122">
        <f t="shared" si="5"/>
        <v>41530</v>
      </c>
      <c r="D143" s="136">
        <v>7.0000000000000007E-2</v>
      </c>
      <c r="F143" s="130">
        <f t="shared" si="4"/>
        <v>24.739726000000001</v>
      </c>
    </row>
    <row r="144" spans="1:11" hidden="1" x14ac:dyDescent="0.25">
      <c r="B144" s="122">
        <f t="shared" si="5"/>
        <v>41531</v>
      </c>
      <c r="D144" s="136">
        <v>7.0000000000000007E-2</v>
      </c>
      <c r="F144" s="130">
        <f t="shared" si="4"/>
        <v>24.739726000000001</v>
      </c>
    </row>
    <row r="145" spans="2:11" hidden="1" x14ac:dyDescent="0.25">
      <c r="B145" s="122">
        <f t="shared" si="5"/>
        <v>41532</v>
      </c>
      <c r="D145" s="136">
        <v>7.0000000000000007E-2</v>
      </c>
      <c r="F145" s="130">
        <f t="shared" si="4"/>
        <v>24.739726000000001</v>
      </c>
    </row>
    <row r="146" spans="2:11" hidden="1" x14ac:dyDescent="0.25">
      <c r="B146" s="122">
        <f t="shared" si="5"/>
        <v>41533</v>
      </c>
      <c r="D146" s="136">
        <v>7.0000000000000007E-2</v>
      </c>
      <c r="F146" s="130">
        <f t="shared" ref="F146:F191" si="6">ROUND(D146/100*$A$3/365,6)</f>
        <v>24.739726000000001</v>
      </c>
    </row>
    <row r="147" spans="2:11" hidden="1" x14ac:dyDescent="0.25">
      <c r="B147" s="122">
        <f t="shared" si="5"/>
        <v>41534</v>
      </c>
      <c r="D147" s="136">
        <v>7.0000000000000007E-2</v>
      </c>
      <c r="F147" s="130">
        <f t="shared" si="6"/>
        <v>24.739726000000001</v>
      </c>
    </row>
    <row r="148" spans="2:11" hidden="1" x14ac:dyDescent="0.25">
      <c r="B148" s="122">
        <f t="shared" si="5"/>
        <v>41535</v>
      </c>
      <c r="D148" s="136">
        <v>7.0000000000000007E-2</v>
      </c>
      <c r="F148" s="130">
        <f t="shared" si="6"/>
        <v>24.739726000000001</v>
      </c>
    </row>
    <row r="149" spans="2:11" hidden="1" x14ac:dyDescent="0.25">
      <c r="B149" s="122">
        <f t="shared" si="5"/>
        <v>41536</v>
      </c>
      <c r="D149" s="136">
        <v>7.0000000000000007E-2</v>
      </c>
      <c r="F149" s="130">
        <f t="shared" si="6"/>
        <v>24.739726000000001</v>
      </c>
    </row>
    <row r="150" spans="2:11" hidden="1" x14ac:dyDescent="0.25">
      <c r="B150" s="122">
        <f t="shared" si="5"/>
        <v>41537</v>
      </c>
      <c r="D150" s="136">
        <v>7.0000000000000007E-2</v>
      </c>
      <c r="F150" s="130">
        <f t="shared" si="6"/>
        <v>24.739726000000001</v>
      </c>
    </row>
    <row r="151" spans="2:11" hidden="1" x14ac:dyDescent="0.25">
      <c r="B151" s="122">
        <f t="shared" si="5"/>
        <v>41538</v>
      </c>
      <c r="D151" s="136">
        <v>7.0000000000000007E-2</v>
      </c>
      <c r="F151" s="130">
        <f t="shared" si="6"/>
        <v>24.739726000000001</v>
      </c>
    </row>
    <row r="152" spans="2:11" hidden="1" x14ac:dyDescent="0.25">
      <c r="B152" s="122">
        <f t="shared" si="5"/>
        <v>41539</v>
      </c>
      <c r="D152" s="136">
        <v>7.0000000000000007E-2</v>
      </c>
      <c r="F152" s="130">
        <f t="shared" si="6"/>
        <v>24.739726000000001</v>
      </c>
    </row>
    <row r="153" spans="2:11" hidden="1" x14ac:dyDescent="0.25">
      <c r="B153" s="122">
        <f t="shared" si="5"/>
        <v>41540</v>
      </c>
      <c r="D153" s="136">
        <v>7.0000000000000007E-2</v>
      </c>
      <c r="F153" s="130">
        <f t="shared" si="6"/>
        <v>24.739726000000001</v>
      </c>
    </row>
    <row r="154" spans="2:11" hidden="1" x14ac:dyDescent="0.25">
      <c r="B154" s="122">
        <f t="shared" si="5"/>
        <v>41541</v>
      </c>
      <c r="D154" s="136">
        <v>7.0000000000000007E-2</v>
      </c>
      <c r="F154" s="130">
        <f t="shared" si="6"/>
        <v>24.739726000000001</v>
      </c>
    </row>
    <row r="155" spans="2:11" hidden="1" x14ac:dyDescent="0.25">
      <c r="B155" s="122">
        <f t="shared" si="5"/>
        <v>41542</v>
      </c>
      <c r="D155" s="136">
        <v>0.08</v>
      </c>
      <c r="F155" s="130">
        <f t="shared" si="6"/>
        <v>28.273973000000002</v>
      </c>
    </row>
    <row r="156" spans="2:11" hidden="1" x14ac:dyDescent="0.25">
      <c r="B156" s="122">
        <f t="shared" si="5"/>
        <v>41543</v>
      </c>
      <c r="D156" s="136">
        <v>0.08</v>
      </c>
      <c r="F156" s="130">
        <f t="shared" si="6"/>
        <v>28.273973000000002</v>
      </c>
    </row>
    <row r="157" spans="2:11" hidden="1" x14ac:dyDescent="0.25">
      <c r="B157" s="122">
        <f t="shared" si="5"/>
        <v>41544</v>
      </c>
      <c r="D157" s="136">
        <v>0.08</v>
      </c>
      <c r="F157" s="130">
        <f t="shared" si="6"/>
        <v>28.273973000000002</v>
      </c>
    </row>
    <row r="158" spans="2:11" hidden="1" x14ac:dyDescent="0.25">
      <c r="B158" s="122">
        <f t="shared" si="5"/>
        <v>41545</v>
      </c>
      <c r="D158" s="136">
        <v>0.08</v>
      </c>
      <c r="F158" s="130">
        <f t="shared" si="6"/>
        <v>28.273973000000002</v>
      </c>
    </row>
    <row r="159" spans="2:11" hidden="1" x14ac:dyDescent="0.25">
      <c r="B159" s="122">
        <f t="shared" si="5"/>
        <v>41546</v>
      </c>
      <c r="D159" s="136">
        <v>0.08</v>
      </c>
      <c r="F159" s="130">
        <f t="shared" si="6"/>
        <v>28.273973000000002</v>
      </c>
    </row>
    <row r="160" spans="2:11" hidden="1" x14ac:dyDescent="0.25">
      <c r="B160" s="122">
        <f t="shared" si="5"/>
        <v>41547</v>
      </c>
      <c r="D160" s="136">
        <v>0.08</v>
      </c>
      <c r="F160" s="130">
        <f t="shared" si="6"/>
        <v>28.273973000000002</v>
      </c>
      <c r="H160" s="133">
        <f>SUM(F131:F160)</f>
        <v>774.00000299999999</v>
      </c>
      <c r="I160" s="134">
        <f>AVERAGE(D131:D160)</f>
        <v>7.3000000000000037E-2</v>
      </c>
      <c r="J160" s="135">
        <f>AVERAGE(D7:D160)</f>
        <v>9.1437908496732279E-2</v>
      </c>
      <c r="K160" s="138">
        <f>AVERAGE(D8:D160)</f>
        <v>9.1437908496732279E-2</v>
      </c>
    </row>
    <row r="161" spans="1:6" x14ac:dyDescent="0.25">
      <c r="A161" s="121">
        <v>41548</v>
      </c>
      <c r="B161" s="122">
        <f t="shared" si="5"/>
        <v>41548</v>
      </c>
      <c r="D161" s="136">
        <v>0.08</v>
      </c>
      <c r="F161" s="130">
        <f t="shared" si="6"/>
        <v>28.273973000000002</v>
      </c>
    </row>
    <row r="162" spans="1:6" x14ac:dyDescent="0.25">
      <c r="B162" s="122">
        <f t="shared" si="5"/>
        <v>41549</v>
      </c>
      <c r="D162" s="136">
        <v>0.06</v>
      </c>
      <c r="F162" s="130">
        <f t="shared" si="6"/>
        <v>21.205479</v>
      </c>
    </row>
    <row r="163" spans="1:6" x14ac:dyDescent="0.25">
      <c r="B163" s="122">
        <f t="shared" si="5"/>
        <v>41550</v>
      </c>
      <c r="D163" s="136">
        <v>0.06</v>
      </c>
      <c r="F163" s="130">
        <f t="shared" si="6"/>
        <v>21.205479</v>
      </c>
    </row>
    <row r="164" spans="1:6" x14ac:dyDescent="0.25">
      <c r="B164" s="122">
        <f t="shared" si="5"/>
        <v>41551</v>
      </c>
      <c r="D164" s="136">
        <v>0.06</v>
      </c>
      <c r="F164" s="130">
        <f t="shared" si="6"/>
        <v>21.205479</v>
      </c>
    </row>
    <row r="165" spans="1:6" x14ac:dyDescent="0.25">
      <c r="B165" s="122">
        <f t="shared" si="5"/>
        <v>41552</v>
      </c>
      <c r="D165" s="136">
        <v>0.06</v>
      </c>
      <c r="F165" s="130">
        <f t="shared" si="6"/>
        <v>21.205479</v>
      </c>
    </row>
    <row r="166" spans="1:6" x14ac:dyDescent="0.25">
      <c r="B166" s="122">
        <f t="shared" si="5"/>
        <v>41553</v>
      </c>
      <c r="D166" s="136">
        <v>0.06</v>
      </c>
      <c r="F166" s="130">
        <f t="shared" si="6"/>
        <v>21.205479</v>
      </c>
    </row>
    <row r="167" spans="1:6" x14ac:dyDescent="0.25">
      <c r="B167" s="122">
        <f t="shared" si="5"/>
        <v>41554</v>
      </c>
      <c r="D167" s="136">
        <v>0.06</v>
      </c>
      <c r="F167" s="130">
        <f t="shared" si="6"/>
        <v>21.205479</v>
      </c>
    </row>
    <row r="168" spans="1:6" x14ac:dyDescent="0.25">
      <c r="B168" s="122">
        <f t="shared" si="5"/>
        <v>41555</v>
      </c>
      <c r="D168" s="136">
        <v>0.06</v>
      </c>
      <c r="F168" s="130">
        <f t="shared" si="6"/>
        <v>21.205479</v>
      </c>
    </row>
    <row r="169" spans="1:6" x14ac:dyDescent="0.25">
      <c r="B169" s="122">
        <f t="shared" si="5"/>
        <v>41556</v>
      </c>
      <c r="D169" s="136">
        <v>0.08</v>
      </c>
      <c r="F169" s="130">
        <f t="shared" si="6"/>
        <v>28.273973000000002</v>
      </c>
    </row>
    <row r="170" spans="1:6" x14ac:dyDescent="0.25">
      <c r="B170" s="122">
        <f t="shared" si="5"/>
        <v>41557</v>
      </c>
      <c r="D170" s="136">
        <v>0.08</v>
      </c>
      <c r="F170" s="130">
        <f t="shared" si="6"/>
        <v>28.273973000000002</v>
      </c>
    </row>
    <row r="171" spans="1:6" x14ac:dyDescent="0.25">
      <c r="B171" s="122">
        <f t="shared" si="5"/>
        <v>41558</v>
      </c>
      <c r="D171" s="136">
        <v>0.08</v>
      </c>
      <c r="F171" s="130">
        <f t="shared" si="6"/>
        <v>28.273973000000002</v>
      </c>
    </row>
    <row r="172" spans="1:6" x14ac:dyDescent="0.25">
      <c r="B172" s="122">
        <f t="shared" si="5"/>
        <v>41559</v>
      </c>
      <c r="D172" s="136">
        <v>0.08</v>
      </c>
      <c r="F172" s="130">
        <f t="shared" si="6"/>
        <v>28.273973000000002</v>
      </c>
    </row>
    <row r="173" spans="1:6" x14ac:dyDescent="0.25">
      <c r="B173" s="122">
        <f t="shared" si="5"/>
        <v>41560</v>
      </c>
      <c r="D173" s="136">
        <v>0.08</v>
      </c>
      <c r="F173" s="130">
        <f t="shared" si="6"/>
        <v>28.273973000000002</v>
      </c>
    </row>
    <row r="174" spans="1:6" x14ac:dyDescent="0.25">
      <c r="B174" s="122">
        <f t="shared" si="5"/>
        <v>41561</v>
      </c>
      <c r="D174" s="136">
        <v>0.08</v>
      </c>
      <c r="F174" s="130">
        <f t="shared" si="6"/>
        <v>28.273973000000002</v>
      </c>
    </row>
    <row r="175" spans="1:6" x14ac:dyDescent="0.25">
      <c r="B175" s="122">
        <f t="shared" si="5"/>
        <v>41562</v>
      </c>
      <c r="D175" s="136">
        <v>0.08</v>
      </c>
      <c r="F175" s="130">
        <f t="shared" si="6"/>
        <v>28.273973000000002</v>
      </c>
    </row>
    <row r="176" spans="1:6" x14ac:dyDescent="0.25">
      <c r="B176" s="122">
        <f t="shared" si="5"/>
        <v>41563</v>
      </c>
      <c r="D176" s="136">
        <v>0.09</v>
      </c>
      <c r="F176" s="130">
        <f t="shared" si="6"/>
        <v>31.808219000000001</v>
      </c>
    </row>
    <row r="177" spans="2:11" x14ac:dyDescent="0.25">
      <c r="B177" s="122">
        <f t="shared" si="5"/>
        <v>41564</v>
      </c>
      <c r="D177" s="136">
        <v>0.09</v>
      </c>
      <c r="F177" s="130">
        <f t="shared" si="6"/>
        <v>31.808219000000001</v>
      </c>
    </row>
    <row r="178" spans="2:11" x14ac:dyDescent="0.25">
      <c r="B178" s="122">
        <f t="shared" si="5"/>
        <v>41565</v>
      </c>
      <c r="D178" s="136">
        <v>0.09</v>
      </c>
      <c r="F178" s="130">
        <f t="shared" si="6"/>
        <v>31.808219000000001</v>
      </c>
    </row>
    <row r="179" spans="2:11" x14ac:dyDescent="0.25">
      <c r="B179" s="122">
        <f t="shared" si="5"/>
        <v>41566</v>
      </c>
      <c r="D179" s="136">
        <v>0.09</v>
      </c>
      <c r="F179" s="130">
        <f t="shared" si="6"/>
        <v>31.808219000000001</v>
      </c>
    </row>
    <row r="180" spans="2:11" x14ac:dyDescent="0.25">
      <c r="B180" s="122">
        <f t="shared" si="5"/>
        <v>41567</v>
      </c>
      <c r="D180" s="136">
        <v>0.09</v>
      </c>
      <c r="F180" s="130">
        <f t="shared" si="6"/>
        <v>31.808219000000001</v>
      </c>
    </row>
    <row r="181" spans="2:11" x14ac:dyDescent="0.25">
      <c r="B181" s="122">
        <f t="shared" si="5"/>
        <v>41568</v>
      </c>
      <c r="D181" s="136">
        <v>0.09</v>
      </c>
      <c r="F181" s="130">
        <f t="shared" si="6"/>
        <v>31.808219000000001</v>
      </c>
    </row>
    <row r="182" spans="2:11" x14ac:dyDescent="0.25">
      <c r="B182" s="122">
        <f t="shared" si="5"/>
        <v>41569</v>
      </c>
      <c r="D182" s="136">
        <v>0.09</v>
      </c>
      <c r="F182" s="130">
        <f t="shared" si="6"/>
        <v>31.808219000000001</v>
      </c>
    </row>
    <row r="183" spans="2:11" x14ac:dyDescent="0.25">
      <c r="B183" s="122">
        <f t="shared" si="5"/>
        <v>41570</v>
      </c>
      <c r="D183" s="136">
        <v>0.1</v>
      </c>
      <c r="F183" s="130">
        <f t="shared" si="6"/>
        <v>35.342466000000002</v>
      </c>
    </row>
    <row r="184" spans="2:11" x14ac:dyDescent="0.25">
      <c r="B184" s="122">
        <f t="shared" si="5"/>
        <v>41571</v>
      </c>
      <c r="D184" s="136">
        <v>0.1</v>
      </c>
      <c r="F184" s="130">
        <f t="shared" si="6"/>
        <v>35.342466000000002</v>
      </c>
    </row>
    <row r="185" spans="2:11" x14ac:dyDescent="0.25">
      <c r="B185" s="122">
        <f t="shared" si="5"/>
        <v>41572</v>
      </c>
      <c r="D185" s="136">
        <v>0.1</v>
      </c>
      <c r="F185" s="130">
        <f t="shared" si="6"/>
        <v>35.342466000000002</v>
      </c>
    </row>
    <row r="186" spans="2:11" x14ac:dyDescent="0.25">
      <c r="B186" s="122">
        <f t="shared" si="5"/>
        <v>41573</v>
      </c>
      <c r="D186" s="136">
        <v>0.1</v>
      </c>
      <c r="F186" s="130">
        <f t="shared" si="6"/>
        <v>35.342466000000002</v>
      </c>
    </row>
    <row r="187" spans="2:11" x14ac:dyDescent="0.25">
      <c r="B187" s="122">
        <f t="shared" si="5"/>
        <v>41574</v>
      </c>
      <c r="D187" s="136">
        <v>0.1</v>
      </c>
      <c r="F187" s="130">
        <f t="shared" si="6"/>
        <v>35.342466000000002</v>
      </c>
    </row>
    <row r="188" spans="2:11" x14ac:dyDescent="0.25">
      <c r="B188" s="122">
        <f t="shared" si="5"/>
        <v>41575</v>
      </c>
      <c r="D188" s="136">
        <v>0.1</v>
      </c>
      <c r="F188" s="130">
        <f t="shared" si="6"/>
        <v>35.342466000000002</v>
      </c>
    </row>
    <row r="189" spans="2:11" x14ac:dyDescent="0.25">
      <c r="B189" s="122">
        <f t="shared" si="5"/>
        <v>41576</v>
      </c>
      <c r="D189" s="136">
        <v>0.1</v>
      </c>
      <c r="F189" s="130">
        <f t="shared" si="6"/>
        <v>35.342466000000002</v>
      </c>
    </row>
    <row r="190" spans="2:11" x14ac:dyDescent="0.25">
      <c r="B190" s="122">
        <f t="shared" si="5"/>
        <v>41577</v>
      </c>
      <c r="D190" s="136">
        <v>0.09</v>
      </c>
      <c r="F190" s="130">
        <f t="shared" si="6"/>
        <v>31.808219000000001</v>
      </c>
    </row>
    <row r="191" spans="2:11" x14ac:dyDescent="0.25">
      <c r="B191" s="122">
        <f t="shared" si="5"/>
        <v>41578</v>
      </c>
      <c r="D191" s="136">
        <v>0.09</v>
      </c>
      <c r="F191" s="130">
        <f t="shared" si="6"/>
        <v>31.808219000000001</v>
      </c>
      <c r="H191" s="133">
        <f>SUM(F161:F191)</f>
        <v>908.30137000000036</v>
      </c>
      <c r="I191" s="134">
        <f>AVERAGE(D161:D191)</f>
        <v>8.2903225806451639E-2</v>
      </c>
      <c r="J191" s="135">
        <f>AVERAGE(D7:D191)</f>
        <v>9.0000000000000246E-2</v>
      </c>
      <c r="K191" s="138">
        <f>AVERAGE(D8:D191)</f>
        <v>9.0000000000000246E-2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>
    <pageSetUpPr fitToPage="1"/>
  </sheetPr>
  <dimension ref="A1:AA412"/>
  <sheetViews>
    <sheetView zoomScaleNormal="100" workbookViewId="0">
      <pane ySplit="5" topLeftCell="A184" activePane="bottomLeft" state="frozen"/>
      <selection sqref="A1:XFD1048576"/>
      <selection pane="bottomLeft" activeCell="J167" sqref="J167"/>
    </sheetView>
  </sheetViews>
  <sheetFormatPr defaultRowHeight="15" x14ac:dyDescent="0.25"/>
  <cols>
    <col min="1" max="1" width="8.5703125" style="121" customWidth="1"/>
    <col min="2" max="2" width="12.140625" style="140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52" customWidth="1"/>
    <col min="9" max="10" width="11.7109375" style="153" customWidth="1"/>
    <col min="11" max="11" width="9.140625" style="141"/>
    <col min="12" max="14" width="9.140625" style="120"/>
    <col min="15" max="27" width="9.140625" style="142"/>
    <col min="28" max="16384" width="9.140625" style="120"/>
  </cols>
  <sheetData>
    <row r="1" spans="1:14" ht="12.75" x14ac:dyDescent="0.2">
      <c r="A1" s="502" t="s">
        <v>103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20930000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237184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40.5" customHeight="1" x14ac:dyDescent="0.25">
      <c r="B5" s="122"/>
      <c r="D5" s="123"/>
      <c r="H5" s="124" t="s">
        <v>99</v>
      </c>
      <c r="I5" s="143" t="s">
        <v>100</v>
      </c>
      <c r="J5" s="144" t="s">
        <v>101</v>
      </c>
      <c r="K5" s="127" t="s">
        <v>372</v>
      </c>
      <c r="L5" s="128"/>
      <c r="M5" s="128"/>
      <c r="N5" s="128"/>
    </row>
    <row r="6" spans="1:14" ht="18.75" customHeight="1" x14ac:dyDescent="0.25">
      <c r="B6" s="122"/>
      <c r="D6" s="123"/>
      <c r="H6" s="124"/>
      <c r="I6" s="143"/>
      <c r="J6" s="144"/>
      <c r="K6" s="145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51">
        <v>0.4</v>
      </c>
      <c r="F7" s="130">
        <f t="shared" ref="F7:F15" si="0">ROUND(D7/100*$A$3/365,6)</f>
        <v>229.36986300000001</v>
      </c>
      <c r="H7" s="137"/>
      <c r="I7" s="146"/>
      <c r="J7" s="147"/>
      <c r="K7" s="148"/>
    </row>
    <row r="8" spans="1:14" hidden="1" x14ac:dyDescent="0.25">
      <c r="B8" s="122">
        <f t="shared" ref="B8:B66" si="1">B7+1</f>
        <v>41396</v>
      </c>
      <c r="D8" s="151">
        <v>0.4</v>
      </c>
      <c r="F8" s="130">
        <f t="shared" si="0"/>
        <v>229.36986300000001</v>
      </c>
      <c r="H8" s="137"/>
      <c r="I8" s="146"/>
      <c r="J8" s="147"/>
      <c r="K8" s="148"/>
    </row>
    <row r="9" spans="1:14" hidden="1" x14ac:dyDescent="0.25">
      <c r="B9" s="122">
        <f t="shared" si="1"/>
        <v>41397</v>
      </c>
      <c r="D9" s="151">
        <v>0.4</v>
      </c>
      <c r="F9" s="130">
        <f t="shared" si="0"/>
        <v>229.36986300000001</v>
      </c>
      <c r="H9" s="137"/>
      <c r="I9" s="146"/>
      <c r="J9" s="147"/>
      <c r="K9" s="148"/>
    </row>
    <row r="10" spans="1:14" hidden="1" x14ac:dyDescent="0.25">
      <c r="B10" s="122">
        <f t="shared" si="1"/>
        <v>41398</v>
      </c>
      <c r="D10" s="151">
        <v>0.4</v>
      </c>
      <c r="F10" s="130">
        <f t="shared" si="0"/>
        <v>229.36986300000001</v>
      </c>
      <c r="H10" s="137"/>
      <c r="I10" s="146"/>
      <c r="J10" s="147"/>
      <c r="K10" s="148"/>
    </row>
    <row r="11" spans="1:14" hidden="1" x14ac:dyDescent="0.25">
      <c r="B11" s="122">
        <f t="shared" si="1"/>
        <v>41399</v>
      </c>
      <c r="D11" s="151">
        <v>0.4</v>
      </c>
      <c r="F11" s="130">
        <f t="shared" si="0"/>
        <v>229.36986300000001</v>
      </c>
      <c r="H11" s="137"/>
      <c r="I11" s="146"/>
      <c r="J11" s="147"/>
      <c r="K11" s="148"/>
    </row>
    <row r="12" spans="1:14" hidden="1" x14ac:dyDescent="0.25">
      <c r="B12" s="122">
        <f t="shared" si="1"/>
        <v>41400</v>
      </c>
      <c r="D12" s="151">
        <v>0.4</v>
      </c>
      <c r="F12" s="130">
        <f t="shared" si="0"/>
        <v>229.36986300000001</v>
      </c>
      <c r="H12" s="137"/>
      <c r="I12" s="146"/>
      <c r="J12" s="147"/>
      <c r="K12" s="148"/>
    </row>
    <row r="13" spans="1:14" hidden="1" x14ac:dyDescent="0.25">
      <c r="B13" s="122">
        <f t="shared" si="1"/>
        <v>41401</v>
      </c>
      <c r="D13" s="151">
        <v>0.4</v>
      </c>
      <c r="F13" s="130">
        <f t="shared" si="0"/>
        <v>229.36986300000001</v>
      </c>
      <c r="H13" s="137"/>
      <c r="I13" s="146"/>
      <c r="J13" s="147"/>
      <c r="K13" s="148"/>
    </row>
    <row r="14" spans="1:14" hidden="1" x14ac:dyDescent="0.25">
      <c r="B14" s="122">
        <f t="shared" si="1"/>
        <v>41402</v>
      </c>
      <c r="D14" s="151">
        <v>0.4</v>
      </c>
      <c r="F14" s="130">
        <f t="shared" si="0"/>
        <v>229.36986300000001</v>
      </c>
      <c r="H14" s="137"/>
      <c r="I14" s="146"/>
      <c r="J14" s="147"/>
      <c r="K14" s="148"/>
    </row>
    <row r="15" spans="1:14" hidden="1" x14ac:dyDescent="0.25">
      <c r="B15" s="122">
        <f t="shared" si="1"/>
        <v>41403</v>
      </c>
      <c r="D15" s="151">
        <v>0.4</v>
      </c>
      <c r="F15" s="130">
        <f t="shared" si="0"/>
        <v>229.36986300000001</v>
      </c>
      <c r="H15" s="137"/>
      <c r="I15" s="146"/>
      <c r="J15" s="147"/>
      <c r="K15" s="148"/>
    </row>
    <row r="16" spans="1:14" hidden="1" x14ac:dyDescent="0.25">
      <c r="B16" s="122">
        <f t="shared" si="1"/>
        <v>41404</v>
      </c>
      <c r="D16" s="151">
        <v>0.4</v>
      </c>
      <c r="F16" s="130">
        <f t="shared" ref="F16:F79" si="2">ROUND(D16/100*$A$3/365,6)</f>
        <v>229.36986300000001</v>
      </c>
      <c r="H16" s="137"/>
      <c r="I16" s="146"/>
      <c r="J16" s="147"/>
      <c r="K16" s="148"/>
    </row>
    <row r="17" spans="2:11" hidden="1" x14ac:dyDescent="0.25">
      <c r="B17" s="122">
        <f t="shared" si="1"/>
        <v>41405</v>
      </c>
      <c r="D17" s="151">
        <v>0.4</v>
      </c>
      <c r="F17" s="130">
        <f t="shared" si="2"/>
        <v>229.36986300000001</v>
      </c>
      <c r="H17" s="137"/>
      <c r="I17" s="146"/>
      <c r="J17" s="147"/>
      <c r="K17" s="148"/>
    </row>
    <row r="18" spans="2:11" hidden="1" x14ac:dyDescent="0.25">
      <c r="B18" s="122">
        <f t="shared" si="1"/>
        <v>41406</v>
      </c>
      <c r="D18" s="151">
        <v>0.4</v>
      </c>
      <c r="F18" s="130">
        <f t="shared" si="2"/>
        <v>229.36986300000001</v>
      </c>
      <c r="H18" s="137"/>
      <c r="I18" s="146"/>
      <c r="J18" s="147"/>
      <c r="K18" s="148"/>
    </row>
    <row r="19" spans="2:11" hidden="1" x14ac:dyDescent="0.25">
      <c r="B19" s="122">
        <f t="shared" si="1"/>
        <v>41407</v>
      </c>
      <c r="D19" s="151">
        <v>0.4</v>
      </c>
      <c r="F19" s="130">
        <f t="shared" si="2"/>
        <v>229.36986300000001</v>
      </c>
      <c r="H19" s="137"/>
      <c r="I19" s="146"/>
      <c r="J19" s="147"/>
      <c r="K19" s="148"/>
    </row>
    <row r="20" spans="2:11" hidden="1" x14ac:dyDescent="0.25">
      <c r="B20" s="122">
        <f t="shared" si="1"/>
        <v>41408</v>
      </c>
      <c r="D20" s="151">
        <v>0.4</v>
      </c>
      <c r="F20" s="130">
        <f t="shared" si="2"/>
        <v>229.36986300000001</v>
      </c>
      <c r="H20" s="137"/>
      <c r="I20" s="146"/>
      <c r="J20" s="147"/>
      <c r="K20" s="148"/>
    </row>
    <row r="21" spans="2:11" hidden="1" x14ac:dyDescent="0.25">
      <c r="B21" s="122">
        <f t="shared" si="1"/>
        <v>41409</v>
      </c>
      <c r="D21" s="151">
        <v>0.4</v>
      </c>
      <c r="F21" s="130">
        <f t="shared" si="2"/>
        <v>229.36986300000001</v>
      </c>
      <c r="H21" s="137"/>
      <c r="I21" s="146"/>
      <c r="J21" s="147"/>
      <c r="K21" s="148"/>
    </row>
    <row r="22" spans="2:11" hidden="1" x14ac:dyDescent="0.25">
      <c r="B22" s="122">
        <f t="shared" si="1"/>
        <v>41410</v>
      </c>
      <c r="D22" s="151">
        <v>0.4</v>
      </c>
      <c r="F22" s="130">
        <f t="shared" si="2"/>
        <v>229.36986300000001</v>
      </c>
      <c r="H22" s="137"/>
      <c r="I22" s="146"/>
      <c r="J22" s="147"/>
      <c r="K22" s="148"/>
    </row>
    <row r="23" spans="2:11" hidden="1" x14ac:dyDescent="0.25">
      <c r="B23" s="122">
        <f t="shared" si="1"/>
        <v>41411</v>
      </c>
      <c r="D23" s="151">
        <v>0.4</v>
      </c>
      <c r="F23" s="130">
        <f t="shared" si="2"/>
        <v>229.36986300000001</v>
      </c>
      <c r="H23" s="137"/>
      <c r="I23" s="146"/>
      <c r="J23" s="147"/>
      <c r="K23" s="148"/>
    </row>
    <row r="24" spans="2:11" hidden="1" x14ac:dyDescent="0.25">
      <c r="B24" s="122">
        <f t="shared" si="1"/>
        <v>41412</v>
      </c>
      <c r="D24" s="151">
        <v>0.4</v>
      </c>
      <c r="F24" s="130">
        <f t="shared" si="2"/>
        <v>229.36986300000001</v>
      </c>
      <c r="H24" s="137"/>
      <c r="I24" s="146"/>
      <c r="J24" s="147"/>
      <c r="K24" s="148"/>
    </row>
    <row r="25" spans="2:11" hidden="1" x14ac:dyDescent="0.25">
      <c r="B25" s="122">
        <f t="shared" si="1"/>
        <v>41413</v>
      </c>
      <c r="D25" s="151">
        <v>0.4</v>
      </c>
      <c r="F25" s="130">
        <f t="shared" si="2"/>
        <v>229.36986300000001</v>
      </c>
      <c r="H25" s="137"/>
      <c r="I25" s="146"/>
      <c r="J25" s="147"/>
      <c r="K25" s="148"/>
    </row>
    <row r="26" spans="2:11" hidden="1" x14ac:dyDescent="0.25">
      <c r="B26" s="122">
        <f t="shared" si="1"/>
        <v>41414</v>
      </c>
      <c r="D26" s="151">
        <v>0.4</v>
      </c>
      <c r="F26" s="130">
        <f t="shared" si="2"/>
        <v>229.36986300000001</v>
      </c>
      <c r="H26" s="137"/>
      <c r="I26" s="146"/>
      <c r="J26" s="147"/>
      <c r="K26" s="148"/>
    </row>
    <row r="27" spans="2:11" hidden="1" x14ac:dyDescent="0.25">
      <c r="B27" s="122">
        <f t="shared" si="1"/>
        <v>41415</v>
      </c>
      <c r="D27" s="151">
        <v>0.4</v>
      </c>
      <c r="F27" s="130">
        <f t="shared" si="2"/>
        <v>229.36986300000001</v>
      </c>
      <c r="H27" s="137"/>
      <c r="I27" s="146"/>
      <c r="J27" s="147"/>
      <c r="K27" s="148"/>
    </row>
    <row r="28" spans="2:11" hidden="1" x14ac:dyDescent="0.25">
      <c r="B28" s="122">
        <f t="shared" si="1"/>
        <v>41416</v>
      </c>
      <c r="D28" s="151">
        <v>0.4</v>
      </c>
      <c r="F28" s="130">
        <f t="shared" si="2"/>
        <v>229.36986300000001</v>
      </c>
      <c r="H28" s="137"/>
      <c r="I28" s="146"/>
      <c r="J28" s="147"/>
      <c r="K28" s="148"/>
    </row>
    <row r="29" spans="2:11" hidden="1" x14ac:dyDescent="0.25">
      <c r="B29" s="122">
        <f t="shared" si="1"/>
        <v>41417</v>
      </c>
      <c r="D29" s="151">
        <v>0.4</v>
      </c>
      <c r="F29" s="130">
        <f t="shared" si="2"/>
        <v>229.36986300000001</v>
      </c>
      <c r="H29" s="137"/>
      <c r="I29" s="146"/>
      <c r="J29" s="147"/>
      <c r="K29" s="148"/>
    </row>
    <row r="30" spans="2:11" hidden="1" x14ac:dyDescent="0.25">
      <c r="B30" s="122">
        <f t="shared" si="1"/>
        <v>41418</v>
      </c>
      <c r="D30" s="151">
        <v>0.4</v>
      </c>
      <c r="F30" s="130">
        <f t="shared" si="2"/>
        <v>229.36986300000001</v>
      </c>
      <c r="H30" s="137"/>
      <c r="I30" s="146"/>
      <c r="J30" s="147"/>
      <c r="K30" s="148"/>
    </row>
    <row r="31" spans="2:11" hidden="1" x14ac:dyDescent="0.25">
      <c r="B31" s="122">
        <f t="shared" si="1"/>
        <v>41419</v>
      </c>
      <c r="D31" s="151">
        <v>0.4</v>
      </c>
      <c r="F31" s="130">
        <f t="shared" si="2"/>
        <v>229.36986300000001</v>
      </c>
      <c r="H31" s="137"/>
      <c r="I31" s="146"/>
      <c r="J31" s="147"/>
      <c r="K31" s="148"/>
    </row>
    <row r="32" spans="2:11" hidden="1" x14ac:dyDescent="0.25">
      <c r="B32" s="122">
        <f t="shared" si="1"/>
        <v>41420</v>
      </c>
      <c r="D32" s="151">
        <v>0.4</v>
      </c>
      <c r="F32" s="130">
        <f t="shared" si="2"/>
        <v>229.36986300000001</v>
      </c>
      <c r="H32" s="137"/>
      <c r="I32" s="146"/>
      <c r="J32" s="147"/>
      <c r="K32" s="148"/>
    </row>
    <row r="33" spans="1:11" hidden="1" x14ac:dyDescent="0.25">
      <c r="B33" s="122">
        <f t="shared" si="1"/>
        <v>41421</v>
      </c>
      <c r="D33" s="151">
        <v>0.4</v>
      </c>
      <c r="F33" s="130">
        <f t="shared" si="2"/>
        <v>229.36986300000001</v>
      </c>
      <c r="H33" s="137"/>
      <c r="I33" s="146"/>
      <c r="J33" s="147"/>
      <c r="K33" s="148"/>
    </row>
    <row r="34" spans="1:11" hidden="1" x14ac:dyDescent="0.25">
      <c r="B34" s="122">
        <f t="shared" si="1"/>
        <v>41422</v>
      </c>
      <c r="D34" s="151">
        <v>0.4</v>
      </c>
      <c r="F34" s="130">
        <f t="shared" si="2"/>
        <v>229.36986300000001</v>
      </c>
      <c r="H34" s="137"/>
      <c r="I34" s="146"/>
      <c r="J34" s="147"/>
      <c r="K34" s="148"/>
    </row>
    <row r="35" spans="1:11" hidden="1" x14ac:dyDescent="0.25">
      <c r="B35" s="122">
        <f t="shared" si="1"/>
        <v>41423</v>
      </c>
      <c r="D35" s="151">
        <v>0.4</v>
      </c>
      <c r="F35" s="130">
        <f t="shared" si="2"/>
        <v>229.36986300000001</v>
      </c>
      <c r="H35" s="137"/>
      <c r="I35" s="146"/>
      <c r="J35" s="147"/>
      <c r="K35" s="148"/>
    </row>
    <row r="36" spans="1:11" hidden="1" x14ac:dyDescent="0.25">
      <c r="B36" s="122">
        <f t="shared" si="1"/>
        <v>41424</v>
      </c>
      <c r="D36" s="151">
        <v>0.4</v>
      </c>
      <c r="F36" s="130">
        <f t="shared" si="2"/>
        <v>229.36986300000001</v>
      </c>
      <c r="H36" s="137"/>
      <c r="I36" s="146"/>
      <c r="J36" s="147"/>
      <c r="K36" s="148"/>
    </row>
    <row r="37" spans="1:11" hidden="1" x14ac:dyDescent="0.25">
      <c r="B37" s="122">
        <f t="shared" si="1"/>
        <v>41425</v>
      </c>
      <c r="D37" s="151">
        <v>0.4</v>
      </c>
      <c r="F37" s="130">
        <f t="shared" si="2"/>
        <v>229.36986300000001</v>
      </c>
      <c r="H37" s="133">
        <f>SUM(F7:F37)</f>
        <v>7110.4657529999977</v>
      </c>
      <c r="I37" s="149">
        <f>AVERAGE(D7:D37)</f>
        <v>0.40000000000000019</v>
      </c>
      <c r="J37" s="150">
        <f>AVERAGE(D7:D37)</f>
        <v>0.40000000000000019</v>
      </c>
      <c r="K37" s="148">
        <f>AVERAGE(D7:D37)</f>
        <v>0.40000000000000019</v>
      </c>
    </row>
    <row r="38" spans="1:11" hidden="1" x14ac:dyDescent="0.25">
      <c r="A38" s="121">
        <v>41426</v>
      </c>
      <c r="B38" s="122">
        <f t="shared" si="1"/>
        <v>41426</v>
      </c>
      <c r="D38" s="151">
        <v>0.4</v>
      </c>
      <c r="F38" s="130">
        <f t="shared" si="2"/>
        <v>229.36986300000001</v>
      </c>
      <c r="H38" s="137"/>
      <c r="I38" s="146"/>
      <c r="J38" s="147"/>
      <c r="K38" s="148"/>
    </row>
    <row r="39" spans="1:11" hidden="1" x14ac:dyDescent="0.25">
      <c r="B39" s="122">
        <f t="shared" si="1"/>
        <v>41427</v>
      </c>
      <c r="D39" s="151">
        <v>0.4</v>
      </c>
      <c r="F39" s="130">
        <f t="shared" si="2"/>
        <v>229.36986300000001</v>
      </c>
      <c r="H39" s="137"/>
      <c r="I39" s="146"/>
      <c r="J39" s="147"/>
      <c r="K39" s="148"/>
    </row>
    <row r="40" spans="1:11" hidden="1" x14ac:dyDescent="0.25">
      <c r="B40" s="122">
        <f t="shared" si="1"/>
        <v>41428</v>
      </c>
      <c r="D40" s="151">
        <v>0.4</v>
      </c>
      <c r="F40" s="130">
        <f t="shared" si="2"/>
        <v>229.36986300000001</v>
      </c>
      <c r="H40" s="137"/>
      <c r="I40" s="146"/>
      <c r="J40" s="147"/>
      <c r="K40" s="148"/>
    </row>
    <row r="41" spans="1:11" hidden="1" x14ac:dyDescent="0.25">
      <c r="B41" s="122">
        <f t="shared" si="1"/>
        <v>41429</v>
      </c>
      <c r="D41" s="151">
        <v>0.4</v>
      </c>
      <c r="F41" s="130">
        <f t="shared" si="2"/>
        <v>229.36986300000001</v>
      </c>
      <c r="H41" s="137"/>
      <c r="I41" s="146"/>
      <c r="J41" s="147"/>
      <c r="K41" s="148"/>
    </row>
    <row r="42" spans="1:11" hidden="1" x14ac:dyDescent="0.25">
      <c r="B42" s="122">
        <f t="shared" si="1"/>
        <v>41430</v>
      </c>
      <c r="D42" s="151">
        <v>0.4</v>
      </c>
      <c r="F42" s="130">
        <f t="shared" si="2"/>
        <v>229.36986300000001</v>
      </c>
      <c r="H42" s="137"/>
      <c r="I42" s="146"/>
      <c r="J42" s="147"/>
      <c r="K42" s="148"/>
    </row>
    <row r="43" spans="1:11" hidden="1" x14ac:dyDescent="0.25">
      <c r="B43" s="122">
        <f t="shared" si="1"/>
        <v>41431</v>
      </c>
      <c r="D43" s="151">
        <v>0.4</v>
      </c>
      <c r="F43" s="130">
        <f t="shared" si="2"/>
        <v>229.36986300000001</v>
      </c>
      <c r="H43" s="137"/>
      <c r="I43" s="146"/>
      <c r="J43" s="147"/>
      <c r="K43" s="148"/>
    </row>
    <row r="44" spans="1:11" hidden="1" x14ac:dyDescent="0.25">
      <c r="B44" s="122">
        <f t="shared" si="1"/>
        <v>41432</v>
      </c>
      <c r="D44" s="151">
        <v>0.4</v>
      </c>
      <c r="F44" s="130">
        <f t="shared" si="2"/>
        <v>229.36986300000001</v>
      </c>
      <c r="H44" s="137"/>
      <c r="I44" s="146"/>
      <c r="J44" s="147"/>
      <c r="K44" s="148"/>
    </row>
    <row r="45" spans="1:11" hidden="1" x14ac:dyDescent="0.25">
      <c r="B45" s="122">
        <f t="shared" si="1"/>
        <v>41433</v>
      </c>
      <c r="D45" s="151">
        <v>0.4</v>
      </c>
      <c r="F45" s="130">
        <f t="shared" si="2"/>
        <v>229.36986300000001</v>
      </c>
      <c r="H45" s="137"/>
      <c r="I45" s="146"/>
      <c r="J45" s="147"/>
      <c r="K45" s="148"/>
    </row>
    <row r="46" spans="1:11" hidden="1" x14ac:dyDescent="0.25">
      <c r="B46" s="122">
        <f t="shared" si="1"/>
        <v>41434</v>
      </c>
      <c r="D46" s="151">
        <v>0.4</v>
      </c>
      <c r="F46" s="130">
        <f t="shared" si="2"/>
        <v>229.36986300000001</v>
      </c>
      <c r="H46" s="137"/>
      <c r="I46" s="146"/>
      <c r="J46" s="147"/>
      <c r="K46" s="148"/>
    </row>
    <row r="47" spans="1:11" hidden="1" x14ac:dyDescent="0.25">
      <c r="B47" s="122">
        <f t="shared" si="1"/>
        <v>41435</v>
      </c>
      <c r="D47" s="151">
        <v>0.4</v>
      </c>
      <c r="F47" s="130">
        <f t="shared" si="2"/>
        <v>229.36986300000001</v>
      </c>
      <c r="H47" s="137"/>
      <c r="I47" s="146"/>
      <c r="J47" s="147"/>
      <c r="K47" s="148"/>
    </row>
    <row r="48" spans="1:11" hidden="1" x14ac:dyDescent="0.25">
      <c r="B48" s="122">
        <f t="shared" si="1"/>
        <v>41436</v>
      </c>
      <c r="D48" s="151">
        <v>0.4</v>
      </c>
      <c r="F48" s="130">
        <f t="shared" si="2"/>
        <v>229.36986300000001</v>
      </c>
      <c r="H48" s="137"/>
      <c r="I48" s="146"/>
      <c r="J48" s="147"/>
      <c r="K48" s="148"/>
    </row>
    <row r="49" spans="2:11" hidden="1" x14ac:dyDescent="0.25">
      <c r="B49" s="122">
        <f t="shared" si="1"/>
        <v>41437</v>
      </c>
      <c r="D49" s="151">
        <v>0.4</v>
      </c>
      <c r="F49" s="130">
        <f t="shared" si="2"/>
        <v>229.36986300000001</v>
      </c>
      <c r="H49" s="137"/>
      <c r="I49" s="146"/>
      <c r="J49" s="147"/>
      <c r="K49" s="148"/>
    </row>
    <row r="50" spans="2:11" hidden="1" x14ac:dyDescent="0.25">
      <c r="B50" s="122">
        <f t="shared" si="1"/>
        <v>41438</v>
      </c>
      <c r="D50" s="151">
        <v>0.4</v>
      </c>
      <c r="F50" s="130">
        <f t="shared" si="2"/>
        <v>229.36986300000001</v>
      </c>
      <c r="H50" s="137"/>
      <c r="I50" s="146"/>
      <c r="J50" s="147"/>
      <c r="K50" s="148"/>
    </row>
    <row r="51" spans="2:11" hidden="1" x14ac:dyDescent="0.25">
      <c r="B51" s="122">
        <f t="shared" si="1"/>
        <v>41439</v>
      </c>
      <c r="D51" s="151">
        <v>0.4</v>
      </c>
      <c r="F51" s="130">
        <f t="shared" si="2"/>
        <v>229.36986300000001</v>
      </c>
      <c r="H51" s="137"/>
      <c r="I51" s="146"/>
      <c r="J51" s="147"/>
      <c r="K51" s="148"/>
    </row>
    <row r="52" spans="2:11" hidden="1" x14ac:dyDescent="0.25">
      <c r="B52" s="122">
        <f t="shared" si="1"/>
        <v>41440</v>
      </c>
      <c r="D52" s="151">
        <v>0.4</v>
      </c>
      <c r="F52" s="130">
        <f t="shared" si="2"/>
        <v>229.36986300000001</v>
      </c>
      <c r="H52" s="137"/>
      <c r="I52" s="146"/>
      <c r="J52" s="147"/>
      <c r="K52" s="148"/>
    </row>
    <row r="53" spans="2:11" hidden="1" x14ac:dyDescent="0.25">
      <c r="B53" s="122">
        <f t="shared" si="1"/>
        <v>41441</v>
      </c>
      <c r="D53" s="151">
        <v>0.4</v>
      </c>
      <c r="F53" s="130">
        <f t="shared" si="2"/>
        <v>229.36986300000001</v>
      </c>
      <c r="H53" s="137"/>
      <c r="I53" s="146"/>
      <c r="J53" s="147"/>
      <c r="K53" s="148"/>
    </row>
    <row r="54" spans="2:11" hidden="1" x14ac:dyDescent="0.25">
      <c r="B54" s="122">
        <f t="shared" si="1"/>
        <v>41442</v>
      </c>
      <c r="D54" s="151">
        <v>0.4</v>
      </c>
      <c r="F54" s="130">
        <f t="shared" si="2"/>
        <v>229.36986300000001</v>
      </c>
      <c r="H54" s="137"/>
      <c r="I54" s="146"/>
      <c r="J54" s="147"/>
      <c r="K54" s="148"/>
    </row>
    <row r="55" spans="2:11" hidden="1" x14ac:dyDescent="0.25">
      <c r="B55" s="122">
        <f t="shared" si="1"/>
        <v>41443</v>
      </c>
      <c r="D55" s="151">
        <v>0.4</v>
      </c>
      <c r="F55" s="130">
        <f t="shared" si="2"/>
        <v>229.36986300000001</v>
      </c>
      <c r="H55" s="137"/>
      <c r="I55" s="146"/>
      <c r="J55" s="147"/>
      <c r="K55" s="148"/>
    </row>
    <row r="56" spans="2:11" hidden="1" x14ac:dyDescent="0.25">
      <c r="B56" s="122">
        <f t="shared" si="1"/>
        <v>41444</v>
      </c>
      <c r="D56" s="151">
        <v>0.4</v>
      </c>
      <c r="F56" s="130">
        <f t="shared" si="2"/>
        <v>229.36986300000001</v>
      </c>
      <c r="H56" s="137"/>
      <c r="I56" s="146"/>
      <c r="J56" s="147"/>
      <c r="K56" s="148"/>
    </row>
    <row r="57" spans="2:11" hidden="1" x14ac:dyDescent="0.25">
      <c r="B57" s="122">
        <f t="shared" si="1"/>
        <v>41445</v>
      </c>
      <c r="D57" s="151">
        <v>0.4</v>
      </c>
      <c r="F57" s="130">
        <f t="shared" si="2"/>
        <v>229.36986300000001</v>
      </c>
      <c r="H57" s="137"/>
      <c r="I57" s="146"/>
      <c r="J57" s="147"/>
      <c r="K57" s="148"/>
    </row>
    <row r="58" spans="2:11" hidden="1" x14ac:dyDescent="0.25">
      <c r="B58" s="122">
        <f t="shared" si="1"/>
        <v>41446</v>
      </c>
      <c r="D58" s="151">
        <v>0.4</v>
      </c>
      <c r="F58" s="130">
        <f t="shared" si="2"/>
        <v>229.36986300000001</v>
      </c>
      <c r="H58" s="137"/>
      <c r="I58" s="146"/>
      <c r="J58" s="147"/>
      <c r="K58" s="148"/>
    </row>
    <row r="59" spans="2:11" hidden="1" x14ac:dyDescent="0.25">
      <c r="B59" s="122">
        <f t="shared" si="1"/>
        <v>41447</v>
      </c>
      <c r="D59" s="151">
        <v>0.4</v>
      </c>
      <c r="F59" s="130">
        <f t="shared" si="2"/>
        <v>229.36986300000001</v>
      </c>
      <c r="H59" s="137"/>
      <c r="I59" s="146"/>
      <c r="J59" s="147"/>
      <c r="K59" s="148"/>
    </row>
    <row r="60" spans="2:11" hidden="1" x14ac:dyDescent="0.25">
      <c r="B60" s="122">
        <f t="shared" si="1"/>
        <v>41448</v>
      </c>
      <c r="D60" s="151">
        <v>0.4</v>
      </c>
      <c r="F60" s="130">
        <f t="shared" si="2"/>
        <v>229.36986300000001</v>
      </c>
      <c r="H60" s="137"/>
      <c r="I60" s="146"/>
      <c r="J60" s="147"/>
      <c r="K60" s="148"/>
    </row>
    <row r="61" spans="2:11" hidden="1" x14ac:dyDescent="0.25">
      <c r="B61" s="122">
        <f t="shared" si="1"/>
        <v>41449</v>
      </c>
      <c r="D61" s="151">
        <v>0.4</v>
      </c>
      <c r="F61" s="130">
        <f t="shared" si="2"/>
        <v>229.36986300000001</v>
      </c>
      <c r="H61" s="137"/>
      <c r="I61" s="146"/>
      <c r="J61" s="147"/>
      <c r="K61" s="148"/>
    </row>
    <row r="62" spans="2:11" hidden="1" x14ac:dyDescent="0.25">
      <c r="B62" s="122">
        <f t="shared" si="1"/>
        <v>41450</v>
      </c>
      <c r="D62" s="151">
        <v>0.4</v>
      </c>
      <c r="F62" s="130">
        <f t="shared" si="2"/>
        <v>229.36986300000001</v>
      </c>
      <c r="H62" s="137"/>
      <c r="I62" s="146"/>
      <c r="J62" s="147"/>
      <c r="K62" s="148"/>
    </row>
    <row r="63" spans="2:11" hidden="1" x14ac:dyDescent="0.25">
      <c r="B63" s="122">
        <f t="shared" si="1"/>
        <v>41451</v>
      </c>
      <c r="D63" s="151">
        <v>0.4</v>
      </c>
      <c r="F63" s="130">
        <f t="shared" si="2"/>
        <v>229.36986300000001</v>
      </c>
      <c r="H63" s="137"/>
      <c r="I63" s="146"/>
      <c r="J63" s="147"/>
      <c r="K63" s="148"/>
    </row>
    <row r="64" spans="2:11" hidden="1" x14ac:dyDescent="0.25">
      <c r="B64" s="122">
        <f t="shared" si="1"/>
        <v>41452</v>
      </c>
      <c r="D64" s="151">
        <v>0.4</v>
      </c>
      <c r="F64" s="130">
        <f t="shared" si="2"/>
        <v>229.36986300000001</v>
      </c>
      <c r="H64" s="137"/>
      <c r="I64" s="146"/>
      <c r="J64" s="147"/>
      <c r="K64" s="148"/>
    </row>
    <row r="65" spans="1:11" hidden="1" x14ac:dyDescent="0.25">
      <c r="B65" s="122">
        <f t="shared" si="1"/>
        <v>41453</v>
      </c>
      <c r="D65" s="151">
        <v>0.4</v>
      </c>
      <c r="F65" s="130">
        <f t="shared" si="2"/>
        <v>229.36986300000001</v>
      </c>
      <c r="H65" s="137"/>
      <c r="I65" s="146"/>
      <c r="J65" s="147"/>
      <c r="K65" s="148"/>
    </row>
    <row r="66" spans="1:11" hidden="1" x14ac:dyDescent="0.25">
      <c r="B66" s="122">
        <f t="shared" si="1"/>
        <v>41454</v>
      </c>
      <c r="D66" s="151">
        <v>0.4</v>
      </c>
      <c r="F66" s="130">
        <f t="shared" si="2"/>
        <v>229.36986300000001</v>
      </c>
      <c r="H66" s="137"/>
      <c r="I66" s="146"/>
      <c r="J66" s="147"/>
      <c r="K66" s="148"/>
    </row>
    <row r="67" spans="1:11" hidden="1" x14ac:dyDescent="0.25">
      <c r="B67" s="122">
        <f t="shared" ref="B67:B130" si="3">B66+1</f>
        <v>41455</v>
      </c>
      <c r="D67" s="151">
        <v>0.4</v>
      </c>
      <c r="F67" s="130">
        <f t="shared" si="2"/>
        <v>229.36986300000001</v>
      </c>
      <c r="H67" s="133">
        <f>SUM(F38:F67)</f>
        <v>6881.0958899999978</v>
      </c>
      <c r="I67" s="149">
        <f>AVERAGE(D38:D67)</f>
        <v>0.40000000000000019</v>
      </c>
      <c r="J67" s="150">
        <f>AVERAGE(D7:D67)</f>
        <v>0.39999999999999963</v>
      </c>
      <c r="K67" s="148">
        <f>AVERAGE(D7:D67)</f>
        <v>0.39999999999999963</v>
      </c>
    </row>
    <row r="68" spans="1:11" hidden="1" x14ac:dyDescent="0.25">
      <c r="A68" s="121">
        <v>41456</v>
      </c>
      <c r="B68" s="122">
        <f t="shared" si="3"/>
        <v>41456</v>
      </c>
      <c r="D68" s="151">
        <v>0.4</v>
      </c>
      <c r="F68" s="130">
        <f t="shared" si="2"/>
        <v>229.36986300000001</v>
      </c>
      <c r="H68" s="137"/>
      <c r="I68" s="146"/>
      <c r="J68" s="147"/>
      <c r="K68" s="148"/>
    </row>
    <row r="69" spans="1:11" hidden="1" x14ac:dyDescent="0.25">
      <c r="B69" s="122">
        <f t="shared" si="3"/>
        <v>41457</v>
      </c>
      <c r="D69" s="151">
        <v>0.4</v>
      </c>
      <c r="F69" s="130">
        <f t="shared" si="2"/>
        <v>229.36986300000001</v>
      </c>
      <c r="H69" s="137"/>
      <c r="I69" s="146"/>
      <c r="J69" s="147"/>
      <c r="K69" s="148"/>
    </row>
    <row r="70" spans="1:11" hidden="1" x14ac:dyDescent="0.25">
      <c r="B70" s="122">
        <f t="shared" si="3"/>
        <v>41458</v>
      </c>
      <c r="D70" s="151">
        <v>0.4</v>
      </c>
      <c r="F70" s="130">
        <f t="shared" si="2"/>
        <v>229.36986300000001</v>
      </c>
      <c r="H70" s="137"/>
      <c r="I70" s="146"/>
      <c r="J70" s="147"/>
      <c r="K70" s="148"/>
    </row>
    <row r="71" spans="1:11" hidden="1" x14ac:dyDescent="0.25">
      <c r="B71" s="122">
        <f t="shared" si="3"/>
        <v>41459</v>
      </c>
      <c r="D71" s="151">
        <v>0.4</v>
      </c>
      <c r="F71" s="130">
        <f t="shared" si="2"/>
        <v>229.36986300000001</v>
      </c>
      <c r="H71" s="137"/>
      <c r="I71" s="146"/>
      <c r="J71" s="147"/>
      <c r="K71" s="148"/>
    </row>
    <row r="72" spans="1:11" hidden="1" x14ac:dyDescent="0.25">
      <c r="B72" s="122">
        <f t="shared" si="3"/>
        <v>41460</v>
      </c>
      <c r="D72" s="151">
        <v>0.4</v>
      </c>
      <c r="F72" s="130">
        <f t="shared" si="2"/>
        <v>229.36986300000001</v>
      </c>
      <c r="H72" s="137"/>
      <c r="I72" s="146"/>
      <c r="J72" s="147"/>
      <c r="K72" s="148"/>
    </row>
    <row r="73" spans="1:11" hidden="1" x14ac:dyDescent="0.25">
      <c r="B73" s="122">
        <f t="shared" si="3"/>
        <v>41461</v>
      </c>
      <c r="D73" s="151">
        <v>0.4</v>
      </c>
      <c r="F73" s="130">
        <f t="shared" si="2"/>
        <v>229.36986300000001</v>
      </c>
      <c r="H73" s="137"/>
      <c r="I73" s="146"/>
      <c r="J73" s="147"/>
      <c r="K73" s="148"/>
    </row>
    <row r="74" spans="1:11" hidden="1" x14ac:dyDescent="0.25">
      <c r="B74" s="122">
        <f t="shared" si="3"/>
        <v>41462</v>
      </c>
      <c r="D74" s="151">
        <v>0.4</v>
      </c>
      <c r="F74" s="130">
        <f t="shared" si="2"/>
        <v>229.36986300000001</v>
      </c>
      <c r="H74" s="137"/>
      <c r="I74" s="146"/>
      <c r="J74" s="147"/>
      <c r="K74" s="148"/>
    </row>
    <row r="75" spans="1:11" hidden="1" x14ac:dyDescent="0.25">
      <c r="B75" s="122">
        <f t="shared" si="3"/>
        <v>41463</v>
      </c>
      <c r="D75" s="151">
        <v>0.4</v>
      </c>
      <c r="F75" s="130">
        <f t="shared" si="2"/>
        <v>229.36986300000001</v>
      </c>
      <c r="H75" s="137"/>
      <c r="I75" s="146"/>
      <c r="J75" s="147"/>
      <c r="K75" s="148"/>
    </row>
    <row r="76" spans="1:11" hidden="1" x14ac:dyDescent="0.25">
      <c r="B76" s="122">
        <f t="shared" si="3"/>
        <v>41464</v>
      </c>
      <c r="D76" s="151">
        <v>0.4</v>
      </c>
      <c r="F76" s="130">
        <f t="shared" si="2"/>
        <v>229.36986300000001</v>
      </c>
      <c r="H76" s="137"/>
      <c r="I76" s="146"/>
      <c r="J76" s="147"/>
      <c r="K76" s="148"/>
    </row>
    <row r="77" spans="1:11" hidden="1" x14ac:dyDescent="0.25">
      <c r="B77" s="122">
        <f t="shared" si="3"/>
        <v>41465</v>
      </c>
      <c r="D77" s="151">
        <v>0.4</v>
      </c>
      <c r="F77" s="130">
        <f t="shared" si="2"/>
        <v>229.36986300000001</v>
      </c>
      <c r="H77" s="137"/>
      <c r="I77" s="146"/>
      <c r="J77" s="147"/>
      <c r="K77" s="148"/>
    </row>
    <row r="78" spans="1:11" hidden="1" x14ac:dyDescent="0.25">
      <c r="B78" s="122">
        <f t="shared" si="3"/>
        <v>41466</v>
      </c>
      <c r="D78" s="151">
        <v>0.4</v>
      </c>
      <c r="F78" s="130">
        <f t="shared" si="2"/>
        <v>229.36986300000001</v>
      </c>
      <c r="H78" s="137"/>
      <c r="I78" s="146"/>
      <c r="J78" s="147"/>
      <c r="K78" s="148"/>
    </row>
    <row r="79" spans="1:11" hidden="1" x14ac:dyDescent="0.25">
      <c r="B79" s="122">
        <f t="shared" si="3"/>
        <v>41467</v>
      </c>
      <c r="D79" s="151">
        <v>0.4</v>
      </c>
      <c r="F79" s="130">
        <f t="shared" si="2"/>
        <v>229.36986300000001</v>
      </c>
      <c r="H79" s="137"/>
      <c r="I79" s="146"/>
      <c r="J79" s="147"/>
      <c r="K79" s="148"/>
    </row>
    <row r="80" spans="1:11" hidden="1" x14ac:dyDescent="0.25">
      <c r="B80" s="122">
        <f t="shared" si="3"/>
        <v>41468</v>
      </c>
      <c r="D80" s="151">
        <v>0.4</v>
      </c>
      <c r="F80" s="130">
        <f t="shared" ref="F80:F143" si="4">ROUND(D80/100*$A$3/365,6)</f>
        <v>229.36986300000001</v>
      </c>
      <c r="H80" s="137"/>
      <c r="I80" s="146"/>
      <c r="J80" s="147"/>
      <c r="K80" s="148"/>
    </row>
    <row r="81" spans="2:11" hidden="1" x14ac:dyDescent="0.25">
      <c r="B81" s="122">
        <f t="shared" si="3"/>
        <v>41469</v>
      </c>
      <c r="D81" s="151">
        <v>0.4</v>
      </c>
      <c r="F81" s="130">
        <f t="shared" si="4"/>
        <v>229.36986300000001</v>
      </c>
      <c r="H81" s="137"/>
      <c r="I81" s="146"/>
      <c r="J81" s="147"/>
      <c r="K81" s="148"/>
    </row>
    <row r="82" spans="2:11" hidden="1" x14ac:dyDescent="0.25">
      <c r="B82" s="122">
        <f t="shared" si="3"/>
        <v>41470</v>
      </c>
      <c r="D82" s="151">
        <v>0.4</v>
      </c>
      <c r="F82" s="130">
        <f t="shared" si="4"/>
        <v>229.36986300000001</v>
      </c>
      <c r="H82" s="137"/>
      <c r="I82" s="146"/>
      <c r="J82" s="147"/>
      <c r="K82" s="148"/>
    </row>
    <row r="83" spans="2:11" hidden="1" x14ac:dyDescent="0.25">
      <c r="B83" s="122">
        <f t="shared" si="3"/>
        <v>41471</v>
      </c>
      <c r="D83" s="151">
        <v>0.4</v>
      </c>
      <c r="F83" s="130">
        <f t="shared" si="4"/>
        <v>229.36986300000001</v>
      </c>
      <c r="H83" s="137"/>
      <c r="I83" s="146"/>
      <c r="J83" s="147"/>
      <c r="K83" s="148"/>
    </row>
    <row r="84" spans="2:11" hidden="1" x14ac:dyDescent="0.25">
      <c r="B84" s="122">
        <f t="shared" si="3"/>
        <v>41472</v>
      </c>
      <c r="D84" s="151">
        <v>0.4</v>
      </c>
      <c r="F84" s="130">
        <f t="shared" si="4"/>
        <v>229.36986300000001</v>
      </c>
      <c r="H84" s="137"/>
      <c r="I84" s="146"/>
      <c r="J84" s="147"/>
      <c r="K84" s="148"/>
    </row>
    <row r="85" spans="2:11" hidden="1" x14ac:dyDescent="0.25">
      <c r="B85" s="122">
        <f t="shared" si="3"/>
        <v>41473</v>
      </c>
      <c r="D85" s="151">
        <v>0.4</v>
      </c>
      <c r="F85" s="130">
        <f t="shared" si="4"/>
        <v>229.36986300000001</v>
      </c>
      <c r="H85" s="137"/>
      <c r="I85" s="146"/>
      <c r="J85" s="147"/>
      <c r="K85" s="148"/>
    </row>
    <row r="86" spans="2:11" hidden="1" x14ac:dyDescent="0.25">
      <c r="B86" s="122">
        <f t="shared" si="3"/>
        <v>41474</v>
      </c>
      <c r="D86" s="151">
        <v>0.4</v>
      </c>
      <c r="F86" s="130">
        <f t="shared" si="4"/>
        <v>229.36986300000001</v>
      </c>
      <c r="H86" s="137"/>
      <c r="I86" s="146"/>
      <c r="J86" s="147"/>
      <c r="K86" s="148"/>
    </row>
    <row r="87" spans="2:11" hidden="1" x14ac:dyDescent="0.25">
      <c r="B87" s="122">
        <f t="shared" si="3"/>
        <v>41475</v>
      </c>
      <c r="D87" s="151">
        <v>0.4</v>
      </c>
      <c r="F87" s="130">
        <f t="shared" si="4"/>
        <v>229.36986300000001</v>
      </c>
      <c r="H87" s="137"/>
      <c r="I87" s="146"/>
      <c r="J87" s="147"/>
      <c r="K87" s="148"/>
    </row>
    <row r="88" spans="2:11" hidden="1" x14ac:dyDescent="0.25">
      <c r="B88" s="122">
        <f t="shared" si="3"/>
        <v>41476</v>
      </c>
      <c r="D88" s="151">
        <v>0.4</v>
      </c>
      <c r="F88" s="130">
        <f t="shared" si="4"/>
        <v>229.36986300000001</v>
      </c>
      <c r="H88" s="137"/>
      <c r="I88" s="146"/>
      <c r="J88" s="147"/>
      <c r="K88" s="148"/>
    </row>
    <row r="89" spans="2:11" hidden="1" x14ac:dyDescent="0.25">
      <c r="B89" s="122">
        <f t="shared" si="3"/>
        <v>41477</v>
      </c>
      <c r="D89" s="151">
        <v>0.4</v>
      </c>
      <c r="F89" s="130">
        <f t="shared" si="4"/>
        <v>229.36986300000001</v>
      </c>
      <c r="H89" s="137"/>
      <c r="I89" s="146"/>
      <c r="J89" s="147"/>
      <c r="K89" s="148"/>
    </row>
    <row r="90" spans="2:11" hidden="1" x14ac:dyDescent="0.25">
      <c r="B90" s="122">
        <f t="shared" si="3"/>
        <v>41478</v>
      </c>
      <c r="D90" s="151">
        <v>0.4</v>
      </c>
      <c r="F90" s="130">
        <f t="shared" si="4"/>
        <v>229.36986300000001</v>
      </c>
      <c r="H90" s="137"/>
      <c r="I90" s="146"/>
      <c r="J90" s="147"/>
      <c r="K90" s="148"/>
    </row>
    <row r="91" spans="2:11" hidden="1" x14ac:dyDescent="0.25">
      <c r="B91" s="122">
        <f t="shared" si="3"/>
        <v>41479</v>
      </c>
      <c r="D91" s="151">
        <v>0.4</v>
      </c>
      <c r="F91" s="130">
        <f t="shared" si="4"/>
        <v>229.36986300000001</v>
      </c>
      <c r="H91" s="137"/>
      <c r="I91" s="146"/>
      <c r="J91" s="147"/>
      <c r="K91" s="148"/>
    </row>
    <row r="92" spans="2:11" hidden="1" x14ac:dyDescent="0.25">
      <c r="B92" s="122">
        <f t="shared" si="3"/>
        <v>41480</v>
      </c>
      <c r="D92" s="151">
        <v>0.4</v>
      </c>
      <c r="F92" s="130">
        <f t="shared" si="4"/>
        <v>229.36986300000001</v>
      </c>
      <c r="H92" s="137"/>
      <c r="I92" s="146"/>
      <c r="J92" s="147"/>
      <c r="K92" s="148"/>
    </row>
    <row r="93" spans="2:11" hidden="1" x14ac:dyDescent="0.25">
      <c r="B93" s="122">
        <f t="shared" si="3"/>
        <v>41481</v>
      </c>
      <c r="D93" s="151">
        <v>0.4</v>
      </c>
      <c r="F93" s="130">
        <f t="shared" si="4"/>
        <v>229.36986300000001</v>
      </c>
      <c r="H93" s="137"/>
      <c r="I93" s="146"/>
      <c r="J93" s="147"/>
      <c r="K93" s="148"/>
    </row>
    <row r="94" spans="2:11" hidden="1" x14ac:dyDescent="0.25">
      <c r="B94" s="122">
        <f t="shared" si="3"/>
        <v>41482</v>
      </c>
      <c r="D94" s="151">
        <v>0.4</v>
      </c>
      <c r="F94" s="130">
        <f t="shared" si="4"/>
        <v>229.36986300000001</v>
      </c>
      <c r="H94" s="137"/>
      <c r="I94" s="146"/>
      <c r="J94" s="147"/>
      <c r="K94" s="148"/>
    </row>
    <row r="95" spans="2:11" hidden="1" x14ac:dyDescent="0.25">
      <c r="B95" s="122">
        <f t="shared" si="3"/>
        <v>41483</v>
      </c>
      <c r="D95" s="151">
        <v>0.4</v>
      </c>
      <c r="F95" s="130">
        <f t="shared" si="4"/>
        <v>229.36986300000001</v>
      </c>
      <c r="H95" s="137"/>
      <c r="I95" s="146"/>
      <c r="J95" s="147"/>
      <c r="K95" s="148"/>
    </row>
    <row r="96" spans="2:11" hidden="1" x14ac:dyDescent="0.25">
      <c r="B96" s="122">
        <f t="shared" si="3"/>
        <v>41484</v>
      </c>
      <c r="D96" s="151">
        <v>0.4</v>
      </c>
      <c r="F96" s="130">
        <f t="shared" si="4"/>
        <v>229.36986300000001</v>
      </c>
      <c r="H96" s="137"/>
      <c r="I96" s="146"/>
      <c r="J96" s="147"/>
      <c r="K96" s="148"/>
    </row>
    <row r="97" spans="1:11" hidden="1" x14ac:dyDescent="0.25">
      <c r="B97" s="122">
        <f t="shared" si="3"/>
        <v>41485</v>
      </c>
      <c r="D97" s="151">
        <v>0.4</v>
      </c>
      <c r="F97" s="130">
        <f t="shared" si="4"/>
        <v>229.36986300000001</v>
      </c>
      <c r="H97" s="137"/>
      <c r="I97" s="146"/>
      <c r="J97" s="147"/>
      <c r="K97" s="148"/>
    </row>
    <row r="98" spans="1:11" hidden="1" x14ac:dyDescent="0.25">
      <c r="B98" s="122">
        <f t="shared" si="3"/>
        <v>41486</v>
      </c>
      <c r="D98" s="151">
        <v>0.4</v>
      </c>
      <c r="F98" s="130">
        <f t="shared" si="4"/>
        <v>229.36986300000001</v>
      </c>
      <c r="H98" s="133">
        <f>SUM(F68:F98)</f>
        <v>7110.4657529999977</v>
      </c>
      <c r="I98" s="149">
        <f>AVERAGE(D68:D98)</f>
        <v>0.40000000000000019</v>
      </c>
      <c r="J98" s="150">
        <f>AVERAGE(D7:D98)</f>
        <v>0.3999999999999993</v>
      </c>
      <c r="K98" s="148">
        <f>AVERAGE(D7:D98)</f>
        <v>0.3999999999999993</v>
      </c>
    </row>
    <row r="99" spans="1:11" hidden="1" x14ac:dyDescent="0.25">
      <c r="A99" s="121">
        <v>41487</v>
      </c>
      <c r="B99" s="122">
        <f t="shared" si="3"/>
        <v>41487</v>
      </c>
      <c r="D99" s="151">
        <v>0.4</v>
      </c>
      <c r="F99" s="130">
        <f t="shared" si="4"/>
        <v>229.36986300000001</v>
      </c>
      <c r="H99" s="137"/>
      <c r="I99" s="146"/>
      <c r="J99" s="147"/>
      <c r="K99" s="148"/>
    </row>
    <row r="100" spans="1:11" hidden="1" x14ac:dyDescent="0.25">
      <c r="B100" s="122">
        <f t="shared" si="3"/>
        <v>41488</v>
      </c>
      <c r="D100" s="151">
        <v>0.4</v>
      </c>
      <c r="F100" s="130">
        <f t="shared" si="4"/>
        <v>229.36986300000001</v>
      </c>
      <c r="H100" s="137"/>
      <c r="I100" s="146"/>
      <c r="J100" s="147"/>
      <c r="K100" s="148"/>
    </row>
    <row r="101" spans="1:11" hidden="1" x14ac:dyDescent="0.25">
      <c r="B101" s="122">
        <f t="shared" si="3"/>
        <v>41489</v>
      </c>
      <c r="D101" s="151">
        <v>0.4</v>
      </c>
      <c r="F101" s="130">
        <f t="shared" si="4"/>
        <v>229.36986300000001</v>
      </c>
      <c r="H101" s="137"/>
      <c r="I101" s="146"/>
      <c r="J101" s="147"/>
      <c r="K101" s="148"/>
    </row>
    <row r="102" spans="1:11" hidden="1" x14ac:dyDescent="0.25">
      <c r="B102" s="122">
        <f t="shared" si="3"/>
        <v>41490</v>
      </c>
      <c r="D102" s="151">
        <v>0.4</v>
      </c>
      <c r="F102" s="130">
        <f t="shared" si="4"/>
        <v>229.36986300000001</v>
      </c>
      <c r="H102" s="137"/>
      <c r="I102" s="146"/>
      <c r="J102" s="147"/>
      <c r="K102" s="148"/>
    </row>
    <row r="103" spans="1:11" hidden="1" x14ac:dyDescent="0.25">
      <c r="B103" s="122">
        <f t="shared" si="3"/>
        <v>41491</v>
      </c>
      <c r="D103" s="151">
        <v>0.4</v>
      </c>
      <c r="F103" s="130">
        <f t="shared" si="4"/>
        <v>229.36986300000001</v>
      </c>
      <c r="H103" s="137"/>
      <c r="I103" s="146"/>
      <c r="J103" s="147"/>
      <c r="K103" s="148"/>
    </row>
    <row r="104" spans="1:11" hidden="1" x14ac:dyDescent="0.25">
      <c r="B104" s="122">
        <f t="shared" si="3"/>
        <v>41492</v>
      </c>
      <c r="D104" s="151">
        <v>0.4</v>
      </c>
      <c r="F104" s="130">
        <f t="shared" si="4"/>
        <v>229.36986300000001</v>
      </c>
      <c r="H104" s="137"/>
      <c r="I104" s="146"/>
      <c r="J104" s="147"/>
      <c r="K104" s="148"/>
    </row>
    <row r="105" spans="1:11" hidden="1" x14ac:dyDescent="0.25">
      <c r="B105" s="122">
        <f t="shared" si="3"/>
        <v>41493</v>
      </c>
      <c r="D105" s="151">
        <v>0.4</v>
      </c>
      <c r="F105" s="130">
        <f t="shared" si="4"/>
        <v>229.36986300000001</v>
      </c>
      <c r="H105" s="137"/>
      <c r="I105" s="146"/>
      <c r="J105" s="147"/>
      <c r="K105" s="148"/>
    </row>
    <row r="106" spans="1:11" hidden="1" x14ac:dyDescent="0.25">
      <c r="B106" s="122">
        <f t="shared" si="3"/>
        <v>41494</v>
      </c>
      <c r="D106" s="151">
        <v>0.4</v>
      </c>
      <c r="F106" s="130">
        <f t="shared" si="4"/>
        <v>229.36986300000001</v>
      </c>
      <c r="H106" s="137"/>
      <c r="I106" s="146"/>
      <c r="J106" s="147"/>
      <c r="K106" s="148"/>
    </row>
    <row r="107" spans="1:11" hidden="1" x14ac:dyDescent="0.25">
      <c r="B107" s="122">
        <f t="shared" si="3"/>
        <v>41495</v>
      </c>
      <c r="D107" s="151">
        <v>0.4</v>
      </c>
      <c r="F107" s="130">
        <f t="shared" si="4"/>
        <v>229.36986300000001</v>
      </c>
      <c r="H107" s="137"/>
      <c r="I107" s="146"/>
      <c r="J107" s="147"/>
      <c r="K107" s="148"/>
    </row>
    <row r="108" spans="1:11" hidden="1" x14ac:dyDescent="0.25">
      <c r="B108" s="122">
        <f t="shared" si="3"/>
        <v>41496</v>
      </c>
      <c r="D108" s="151">
        <v>0.4</v>
      </c>
      <c r="F108" s="130">
        <f t="shared" si="4"/>
        <v>229.36986300000001</v>
      </c>
      <c r="H108" s="137"/>
      <c r="I108" s="146"/>
      <c r="J108" s="147"/>
      <c r="K108" s="148"/>
    </row>
    <row r="109" spans="1:11" hidden="1" x14ac:dyDescent="0.25">
      <c r="B109" s="122">
        <f t="shared" si="3"/>
        <v>41497</v>
      </c>
      <c r="D109" s="151">
        <v>0.4</v>
      </c>
      <c r="F109" s="130">
        <f t="shared" si="4"/>
        <v>229.36986300000001</v>
      </c>
      <c r="H109" s="137"/>
      <c r="I109" s="146"/>
      <c r="J109" s="147"/>
      <c r="K109" s="148"/>
    </row>
    <row r="110" spans="1:11" hidden="1" x14ac:dyDescent="0.25">
      <c r="B110" s="122">
        <f t="shared" si="3"/>
        <v>41498</v>
      </c>
      <c r="D110" s="151">
        <v>0.4</v>
      </c>
      <c r="F110" s="130">
        <f t="shared" si="4"/>
        <v>229.36986300000001</v>
      </c>
      <c r="H110" s="137"/>
      <c r="I110" s="146"/>
      <c r="J110" s="147"/>
      <c r="K110" s="148"/>
    </row>
    <row r="111" spans="1:11" hidden="1" x14ac:dyDescent="0.25">
      <c r="B111" s="122">
        <f t="shared" si="3"/>
        <v>41499</v>
      </c>
      <c r="D111" s="151">
        <v>0.4</v>
      </c>
      <c r="F111" s="130">
        <f t="shared" si="4"/>
        <v>229.36986300000001</v>
      </c>
      <c r="H111" s="137"/>
      <c r="I111" s="146"/>
      <c r="J111" s="147"/>
      <c r="K111" s="148"/>
    </row>
    <row r="112" spans="1:11" hidden="1" x14ac:dyDescent="0.25">
      <c r="B112" s="122">
        <f t="shared" si="3"/>
        <v>41500</v>
      </c>
      <c r="D112" s="151">
        <v>0.4</v>
      </c>
      <c r="F112" s="130">
        <f t="shared" si="4"/>
        <v>229.36986300000001</v>
      </c>
      <c r="H112" s="137"/>
      <c r="I112" s="146"/>
      <c r="J112" s="147"/>
      <c r="K112" s="148"/>
    </row>
    <row r="113" spans="2:11" hidden="1" x14ac:dyDescent="0.25">
      <c r="B113" s="122">
        <f t="shared" si="3"/>
        <v>41501</v>
      </c>
      <c r="D113" s="151">
        <v>0.4</v>
      </c>
      <c r="F113" s="130">
        <f t="shared" si="4"/>
        <v>229.36986300000001</v>
      </c>
      <c r="H113" s="137"/>
      <c r="I113" s="146"/>
      <c r="J113" s="147"/>
      <c r="K113" s="148"/>
    </row>
    <row r="114" spans="2:11" hidden="1" x14ac:dyDescent="0.25">
      <c r="B114" s="122">
        <f t="shared" si="3"/>
        <v>41502</v>
      </c>
      <c r="D114" s="151">
        <v>0.4</v>
      </c>
      <c r="F114" s="130">
        <f t="shared" si="4"/>
        <v>229.36986300000001</v>
      </c>
      <c r="H114" s="137"/>
      <c r="I114" s="146"/>
      <c r="J114" s="147"/>
      <c r="K114" s="148"/>
    </row>
    <row r="115" spans="2:11" hidden="1" x14ac:dyDescent="0.25">
      <c r="B115" s="122">
        <f t="shared" si="3"/>
        <v>41503</v>
      </c>
      <c r="D115" s="151">
        <v>0.4</v>
      </c>
      <c r="F115" s="130">
        <f t="shared" si="4"/>
        <v>229.36986300000001</v>
      </c>
      <c r="H115" s="137"/>
      <c r="I115" s="146"/>
      <c r="J115" s="147"/>
      <c r="K115" s="148"/>
    </row>
    <row r="116" spans="2:11" hidden="1" x14ac:dyDescent="0.25">
      <c r="B116" s="122">
        <f t="shared" si="3"/>
        <v>41504</v>
      </c>
      <c r="D116" s="151">
        <v>0.4</v>
      </c>
      <c r="F116" s="130">
        <f t="shared" si="4"/>
        <v>229.36986300000001</v>
      </c>
      <c r="H116" s="137"/>
      <c r="I116" s="146"/>
      <c r="J116" s="147"/>
      <c r="K116" s="148"/>
    </row>
    <row r="117" spans="2:11" hidden="1" x14ac:dyDescent="0.25">
      <c r="B117" s="122">
        <f t="shared" si="3"/>
        <v>41505</v>
      </c>
      <c r="D117" s="151">
        <v>0.4</v>
      </c>
      <c r="F117" s="130">
        <f t="shared" si="4"/>
        <v>229.36986300000001</v>
      </c>
      <c r="H117" s="137"/>
      <c r="I117" s="146"/>
      <c r="J117" s="147"/>
      <c r="K117" s="148"/>
    </row>
    <row r="118" spans="2:11" hidden="1" x14ac:dyDescent="0.25">
      <c r="B118" s="122">
        <f t="shared" si="3"/>
        <v>41506</v>
      </c>
      <c r="D118" s="151">
        <v>0.4</v>
      </c>
      <c r="F118" s="130">
        <f t="shared" si="4"/>
        <v>229.36986300000001</v>
      </c>
      <c r="H118" s="137"/>
      <c r="I118" s="146"/>
      <c r="J118" s="147"/>
      <c r="K118" s="148"/>
    </row>
    <row r="119" spans="2:11" hidden="1" x14ac:dyDescent="0.25">
      <c r="B119" s="122">
        <f t="shared" si="3"/>
        <v>41507</v>
      </c>
      <c r="D119" s="151">
        <v>0.4</v>
      </c>
      <c r="F119" s="130">
        <f t="shared" si="4"/>
        <v>229.36986300000001</v>
      </c>
      <c r="H119" s="137"/>
      <c r="I119" s="146"/>
      <c r="J119" s="147"/>
      <c r="K119" s="148"/>
    </row>
    <row r="120" spans="2:11" hidden="1" x14ac:dyDescent="0.25">
      <c r="B120" s="122">
        <f t="shared" si="3"/>
        <v>41508</v>
      </c>
      <c r="D120" s="151">
        <v>0.3</v>
      </c>
      <c r="F120" s="130">
        <f t="shared" si="4"/>
        <v>172.02739700000001</v>
      </c>
      <c r="H120" s="137"/>
      <c r="I120" s="146"/>
      <c r="J120" s="147"/>
      <c r="K120" s="148"/>
    </row>
    <row r="121" spans="2:11" hidden="1" x14ac:dyDescent="0.25">
      <c r="B121" s="122">
        <f t="shared" si="3"/>
        <v>41509</v>
      </c>
      <c r="D121" s="151">
        <v>0.3</v>
      </c>
      <c r="F121" s="130">
        <f t="shared" si="4"/>
        <v>172.02739700000001</v>
      </c>
      <c r="H121" s="137"/>
      <c r="I121" s="146"/>
      <c r="J121" s="147"/>
      <c r="K121" s="148"/>
    </row>
    <row r="122" spans="2:11" hidden="1" x14ac:dyDescent="0.25">
      <c r="B122" s="122">
        <f t="shared" si="3"/>
        <v>41510</v>
      </c>
      <c r="D122" s="151">
        <v>0.3</v>
      </c>
      <c r="F122" s="130">
        <f t="shared" si="4"/>
        <v>172.02739700000001</v>
      </c>
      <c r="H122" s="137"/>
      <c r="I122" s="146"/>
      <c r="J122" s="147"/>
      <c r="K122" s="148"/>
    </row>
    <row r="123" spans="2:11" hidden="1" x14ac:dyDescent="0.25">
      <c r="B123" s="122">
        <f t="shared" si="3"/>
        <v>41511</v>
      </c>
      <c r="D123" s="151">
        <v>0.3</v>
      </c>
      <c r="F123" s="130">
        <f t="shared" si="4"/>
        <v>172.02739700000001</v>
      </c>
      <c r="H123" s="137"/>
      <c r="I123" s="146"/>
      <c r="J123" s="147"/>
      <c r="K123" s="148"/>
    </row>
    <row r="124" spans="2:11" hidden="1" x14ac:dyDescent="0.25">
      <c r="B124" s="122">
        <f t="shared" si="3"/>
        <v>41512</v>
      </c>
      <c r="D124" s="151">
        <v>0.3</v>
      </c>
      <c r="F124" s="130">
        <f t="shared" si="4"/>
        <v>172.02739700000001</v>
      </c>
      <c r="H124" s="137"/>
      <c r="I124" s="146"/>
      <c r="J124" s="147"/>
      <c r="K124" s="148"/>
    </row>
    <row r="125" spans="2:11" hidden="1" x14ac:dyDescent="0.25">
      <c r="B125" s="122">
        <f t="shared" si="3"/>
        <v>41513</v>
      </c>
      <c r="D125" s="151">
        <v>0.3</v>
      </c>
      <c r="F125" s="130">
        <f t="shared" si="4"/>
        <v>172.02739700000001</v>
      </c>
      <c r="H125" s="137"/>
      <c r="I125" s="146"/>
      <c r="J125" s="147"/>
      <c r="K125" s="148"/>
    </row>
    <row r="126" spans="2:11" hidden="1" x14ac:dyDescent="0.25">
      <c r="B126" s="122">
        <f t="shared" si="3"/>
        <v>41514</v>
      </c>
      <c r="D126" s="151">
        <v>0.3</v>
      </c>
      <c r="F126" s="130">
        <f t="shared" si="4"/>
        <v>172.02739700000001</v>
      </c>
      <c r="H126" s="137"/>
      <c r="I126" s="146"/>
      <c r="J126" s="147"/>
      <c r="K126" s="148"/>
    </row>
    <row r="127" spans="2:11" hidden="1" x14ac:dyDescent="0.25">
      <c r="B127" s="122">
        <f t="shared" si="3"/>
        <v>41515</v>
      </c>
      <c r="D127" s="151">
        <v>0.3</v>
      </c>
      <c r="F127" s="130">
        <f t="shared" si="4"/>
        <v>172.02739700000001</v>
      </c>
      <c r="H127" s="137"/>
      <c r="I127" s="146"/>
      <c r="J127" s="147"/>
      <c r="K127" s="148"/>
    </row>
    <row r="128" spans="2:11" hidden="1" x14ac:dyDescent="0.25">
      <c r="B128" s="122">
        <f t="shared" si="3"/>
        <v>41516</v>
      </c>
      <c r="D128" s="151">
        <v>0.3</v>
      </c>
      <c r="F128" s="130">
        <f t="shared" si="4"/>
        <v>172.02739700000001</v>
      </c>
      <c r="H128" s="137"/>
      <c r="I128" s="146"/>
      <c r="J128" s="147"/>
      <c r="K128" s="148"/>
    </row>
    <row r="129" spans="1:11" hidden="1" x14ac:dyDescent="0.25">
      <c r="B129" s="122">
        <f t="shared" si="3"/>
        <v>41517</v>
      </c>
      <c r="D129" s="151">
        <v>0.3</v>
      </c>
      <c r="F129" s="130">
        <f t="shared" si="4"/>
        <v>172.02739700000001</v>
      </c>
      <c r="H129" s="133">
        <f>SUM(F99:F129)</f>
        <v>6537.0410929999971</v>
      </c>
      <c r="I129" s="149">
        <f>AVERAGE(D99:D129)</f>
        <v>0.36774193548387124</v>
      </c>
      <c r="J129" s="150">
        <f>AVERAGE(D7:D129)</f>
        <v>0.39186991869918597</v>
      </c>
      <c r="K129" s="148">
        <f>AVERAGE(D7:D129)</f>
        <v>0.39186991869918597</v>
      </c>
    </row>
    <row r="130" spans="1:11" hidden="1" x14ac:dyDescent="0.25">
      <c r="A130" s="121">
        <v>41518</v>
      </c>
      <c r="B130" s="122">
        <f t="shared" si="3"/>
        <v>41518</v>
      </c>
      <c r="D130" s="151">
        <v>0.3</v>
      </c>
      <c r="F130" s="130">
        <f t="shared" si="4"/>
        <v>172.02739700000001</v>
      </c>
      <c r="H130" s="137"/>
      <c r="I130" s="146"/>
      <c r="J130" s="147"/>
      <c r="K130" s="148"/>
    </row>
    <row r="131" spans="1:11" hidden="1" x14ac:dyDescent="0.25">
      <c r="B131" s="122">
        <f t="shared" ref="B131:B190" si="5">B130+1</f>
        <v>41519</v>
      </c>
      <c r="D131" s="151">
        <v>0.3</v>
      </c>
      <c r="F131" s="130">
        <f t="shared" si="4"/>
        <v>172.02739700000001</v>
      </c>
      <c r="H131" s="137"/>
      <c r="I131" s="146"/>
      <c r="J131" s="147"/>
      <c r="K131" s="148"/>
    </row>
    <row r="132" spans="1:11" hidden="1" x14ac:dyDescent="0.25">
      <c r="B132" s="122">
        <f t="shared" si="5"/>
        <v>41520</v>
      </c>
      <c r="D132" s="151">
        <v>0.3</v>
      </c>
      <c r="F132" s="130">
        <f t="shared" si="4"/>
        <v>172.02739700000001</v>
      </c>
      <c r="H132" s="137"/>
      <c r="I132" s="146"/>
      <c r="J132" s="147"/>
      <c r="K132" s="148"/>
    </row>
    <row r="133" spans="1:11" hidden="1" x14ac:dyDescent="0.25">
      <c r="B133" s="122">
        <f t="shared" si="5"/>
        <v>41521</v>
      </c>
      <c r="D133" s="151">
        <v>0.3</v>
      </c>
      <c r="F133" s="130">
        <f t="shared" si="4"/>
        <v>172.02739700000001</v>
      </c>
      <c r="H133" s="137"/>
      <c r="I133" s="146"/>
      <c r="J133" s="147"/>
      <c r="K133" s="148"/>
    </row>
    <row r="134" spans="1:11" hidden="1" x14ac:dyDescent="0.25">
      <c r="B134" s="122">
        <f t="shared" si="5"/>
        <v>41522</v>
      </c>
      <c r="D134" s="151">
        <v>0.3</v>
      </c>
      <c r="F134" s="130">
        <f t="shared" si="4"/>
        <v>172.02739700000001</v>
      </c>
      <c r="H134" s="137"/>
      <c r="I134" s="146"/>
      <c r="J134" s="147"/>
      <c r="K134" s="148"/>
    </row>
    <row r="135" spans="1:11" hidden="1" x14ac:dyDescent="0.25">
      <c r="B135" s="122">
        <f t="shared" si="5"/>
        <v>41523</v>
      </c>
      <c r="D135" s="151">
        <v>0.3</v>
      </c>
      <c r="F135" s="130">
        <f t="shared" si="4"/>
        <v>172.02739700000001</v>
      </c>
      <c r="H135" s="137"/>
      <c r="I135" s="146"/>
      <c r="J135" s="147"/>
      <c r="K135" s="148"/>
    </row>
    <row r="136" spans="1:11" hidden="1" x14ac:dyDescent="0.25">
      <c r="B136" s="122">
        <f t="shared" si="5"/>
        <v>41524</v>
      </c>
      <c r="D136" s="151">
        <v>0.3</v>
      </c>
      <c r="F136" s="130">
        <f t="shared" si="4"/>
        <v>172.02739700000001</v>
      </c>
      <c r="H136" s="137"/>
      <c r="I136" s="146"/>
      <c r="J136" s="147"/>
      <c r="K136" s="148"/>
    </row>
    <row r="137" spans="1:11" hidden="1" x14ac:dyDescent="0.25">
      <c r="B137" s="122">
        <f t="shared" si="5"/>
        <v>41525</v>
      </c>
      <c r="D137" s="151">
        <v>0.3</v>
      </c>
      <c r="F137" s="130">
        <f t="shared" si="4"/>
        <v>172.02739700000001</v>
      </c>
      <c r="H137" s="137"/>
      <c r="I137" s="146"/>
      <c r="J137" s="147"/>
      <c r="K137" s="148"/>
    </row>
    <row r="138" spans="1:11" hidden="1" x14ac:dyDescent="0.25">
      <c r="B138" s="122">
        <f t="shared" si="5"/>
        <v>41526</v>
      </c>
      <c r="D138" s="151">
        <v>0.3</v>
      </c>
      <c r="F138" s="130">
        <f t="shared" si="4"/>
        <v>172.02739700000001</v>
      </c>
      <c r="H138" s="137"/>
      <c r="I138" s="146"/>
      <c r="J138" s="147"/>
      <c r="K138" s="148"/>
    </row>
    <row r="139" spans="1:11" hidden="1" x14ac:dyDescent="0.25">
      <c r="B139" s="122">
        <f t="shared" si="5"/>
        <v>41527</v>
      </c>
      <c r="D139" s="151">
        <v>0.3</v>
      </c>
      <c r="F139" s="130">
        <f t="shared" si="4"/>
        <v>172.02739700000001</v>
      </c>
      <c r="H139" s="137"/>
      <c r="I139" s="146"/>
      <c r="J139" s="147"/>
      <c r="K139" s="148"/>
    </row>
    <row r="140" spans="1:11" hidden="1" x14ac:dyDescent="0.25">
      <c r="B140" s="122">
        <f t="shared" si="5"/>
        <v>41528</v>
      </c>
      <c r="D140" s="151">
        <v>0.3</v>
      </c>
      <c r="F140" s="130">
        <f t="shared" si="4"/>
        <v>172.02739700000001</v>
      </c>
      <c r="H140" s="137"/>
      <c r="I140" s="146"/>
      <c r="J140" s="147"/>
      <c r="K140" s="148"/>
    </row>
    <row r="141" spans="1:11" hidden="1" x14ac:dyDescent="0.25">
      <c r="B141" s="122">
        <f t="shared" si="5"/>
        <v>41529</v>
      </c>
      <c r="D141" s="151">
        <v>0.3</v>
      </c>
      <c r="F141" s="130">
        <f t="shared" si="4"/>
        <v>172.02739700000001</v>
      </c>
      <c r="H141" s="137"/>
      <c r="I141" s="146"/>
      <c r="J141" s="147"/>
      <c r="K141" s="148"/>
    </row>
    <row r="142" spans="1:11" hidden="1" x14ac:dyDescent="0.25">
      <c r="B142" s="122">
        <f t="shared" si="5"/>
        <v>41530</v>
      </c>
      <c r="D142" s="151">
        <v>0.3</v>
      </c>
      <c r="F142" s="130">
        <f t="shared" si="4"/>
        <v>172.02739700000001</v>
      </c>
      <c r="H142" s="137"/>
      <c r="I142" s="146"/>
      <c r="J142" s="147"/>
      <c r="K142" s="148"/>
    </row>
    <row r="143" spans="1:11" hidden="1" x14ac:dyDescent="0.25">
      <c r="B143" s="122">
        <f t="shared" si="5"/>
        <v>41531</v>
      </c>
      <c r="D143" s="151">
        <v>0.3</v>
      </c>
      <c r="F143" s="130">
        <f t="shared" si="4"/>
        <v>172.02739700000001</v>
      </c>
      <c r="H143" s="137"/>
      <c r="I143" s="146"/>
      <c r="J143" s="147"/>
      <c r="K143" s="148"/>
    </row>
    <row r="144" spans="1:11" hidden="1" x14ac:dyDescent="0.25">
      <c r="B144" s="122">
        <f t="shared" si="5"/>
        <v>41532</v>
      </c>
      <c r="D144" s="151">
        <v>0.3</v>
      </c>
      <c r="F144" s="130">
        <f t="shared" ref="F144:F190" si="6">ROUND(D144/100*$A$3/365,6)</f>
        <v>172.02739700000001</v>
      </c>
      <c r="H144" s="137"/>
      <c r="I144" s="146"/>
      <c r="J144" s="147"/>
      <c r="K144" s="148"/>
    </row>
    <row r="145" spans="1:11" hidden="1" x14ac:dyDescent="0.25">
      <c r="B145" s="122">
        <f t="shared" si="5"/>
        <v>41533</v>
      </c>
      <c r="D145" s="151">
        <v>0.3</v>
      </c>
      <c r="F145" s="130">
        <f t="shared" si="6"/>
        <v>172.02739700000001</v>
      </c>
      <c r="H145" s="137"/>
      <c r="I145" s="146"/>
      <c r="J145" s="147"/>
      <c r="K145" s="148"/>
    </row>
    <row r="146" spans="1:11" hidden="1" x14ac:dyDescent="0.25">
      <c r="B146" s="122">
        <f t="shared" si="5"/>
        <v>41534</v>
      </c>
      <c r="D146" s="151">
        <v>0.3</v>
      </c>
      <c r="F146" s="130">
        <f t="shared" si="6"/>
        <v>172.02739700000001</v>
      </c>
      <c r="H146" s="137"/>
      <c r="I146" s="146"/>
      <c r="J146" s="147"/>
      <c r="K146" s="148"/>
    </row>
    <row r="147" spans="1:11" hidden="1" x14ac:dyDescent="0.25">
      <c r="B147" s="122">
        <f t="shared" si="5"/>
        <v>41535</v>
      </c>
      <c r="D147" s="151">
        <v>0.3</v>
      </c>
      <c r="F147" s="130">
        <f t="shared" si="6"/>
        <v>172.02739700000001</v>
      </c>
      <c r="H147" s="137"/>
      <c r="I147" s="146"/>
      <c r="J147" s="147"/>
      <c r="K147" s="148"/>
    </row>
    <row r="148" spans="1:11" hidden="1" x14ac:dyDescent="0.25">
      <c r="B148" s="122">
        <f t="shared" si="5"/>
        <v>41536</v>
      </c>
      <c r="D148" s="151">
        <v>0.3</v>
      </c>
      <c r="F148" s="130">
        <f t="shared" si="6"/>
        <v>172.02739700000001</v>
      </c>
      <c r="H148" s="137"/>
      <c r="I148" s="146"/>
      <c r="J148" s="147"/>
      <c r="K148" s="148"/>
    </row>
    <row r="149" spans="1:11" hidden="1" x14ac:dyDescent="0.25">
      <c r="B149" s="122">
        <f t="shared" si="5"/>
        <v>41537</v>
      </c>
      <c r="D149" s="151">
        <v>0.3</v>
      </c>
      <c r="F149" s="130">
        <f t="shared" si="6"/>
        <v>172.02739700000001</v>
      </c>
      <c r="H149" s="137"/>
      <c r="I149" s="146"/>
      <c r="J149" s="147"/>
      <c r="K149" s="148"/>
    </row>
    <row r="150" spans="1:11" hidden="1" x14ac:dyDescent="0.25">
      <c r="B150" s="122">
        <f t="shared" si="5"/>
        <v>41538</v>
      </c>
      <c r="D150" s="151">
        <v>0.3</v>
      </c>
      <c r="F150" s="130">
        <f t="shared" si="6"/>
        <v>172.02739700000001</v>
      </c>
      <c r="H150" s="137"/>
      <c r="I150" s="146"/>
      <c r="J150" s="147"/>
      <c r="K150" s="148"/>
    </row>
    <row r="151" spans="1:11" hidden="1" x14ac:dyDescent="0.25">
      <c r="B151" s="122">
        <f t="shared" si="5"/>
        <v>41539</v>
      </c>
      <c r="D151" s="151">
        <v>0.3</v>
      </c>
      <c r="F151" s="130">
        <f t="shared" si="6"/>
        <v>172.02739700000001</v>
      </c>
      <c r="H151" s="137"/>
      <c r="I151" s="146"/>
      <c r="J151" s="147"/>
      <c r="K151" s="148"/>
    </row>
    <row r="152" spans="1:11" hidden="1" x14ac:dyDescent="0.25">
      <c r="B152" s="122">
        <f t="shared" si="5"/>
        <v>41540</v>
      </c>
      <c r="D152" s="151">
        <v>0.3</v>
      </c>
      <c r="F152" s="130">
        <f t="shared" si="6"/>
        <v>172.02739700000001</v>
      </c>
      <c r="H152" s="137"/>
      <c r="I152" s="146"/>
      <c r="J152" s="147"/>
      <c r="K152" s="148"/>
    </row>
    <row r="153" spans="1:11" hidden="1" x14ac:dyDescent="0.25">
      <c r="B153" s="122">
        <f t="shared" si="5"/>
        <v>41541</v>
      </c>
      <c r="D153" s="151">
        <v>0.3</v>
      </c>
      <c r="F153" s="130">
        <f t="shared" si="6"/>
        <v>172.02739700000001</v>
      </c>
      <c r="H153" s="137"/>
      <c r="I153" s="146"/>
      <c r="J153" s="147"/>
      <c r="K153" s="148"/>
    </row>
    <row r="154" spans="1:11" hidden="1" x14ac:dyDescent="0.25">
      <c r="B154" s="122">
        <f t="shared" si="5"/>
        <v>41542</v>
      </c>
      <c r="D154" s="151">
        <v>0.3</v>
      </c>
      <c r="F154" s="130">
        <f t="shared" si="6"/>
        <v>172.02739700000001</v>
      </c>
      <c r="H154" s="137"/>
      <c r="I154" s="146"/>
      <c r="J154" s="147"/>
      <c r="K154" s="148"/>
    </row>
    <row r="155" spans="1:11" hidden="1" x14ac:dyDescent="0.25">
      <c r="B155" s="122">
        <f t="shared" si="5"/>
        <v>41543</v>
      </c>
      <c r="D155" s="151">
        <v>0.3</v>
      </c>
      <c r="F155" s="130">
        <f t="shared" si="6"/>
        <v>172.02739700000001</v>
      </c>
      <c r="H155" s="137"/>
      <c r="I155" s="146"/>
      <c r="J155" s="147"/>
      <c r="K155" s="148"/>
    </row>
    <row r="156" spans="1:11" hidden="1" x14ac:dyDescent="0.25">
      <c r="B156" s="122">
        <f t="shared" si="5"/>
        <v>41544</v>
      </c>
      <c r="D156" s="151">
        <v>0.3</v>
      </c>
      <c r="F156" s="130">
        <f t="shared" si="6"/>
        <v>172.02739700000001</v>
      </c>
      <c r="H156" s="137"/>
      <c r="I156" s="146"/>
      <c r="J156" s="147"/>
      <c r="K156" s="148"/>
    </row>
    <row r="157" spans="1:11" hidden="1" x14ac:dyDescent="0.25">
      <c r="B157" s="122">
        <f t="shared" si="5"/>
        <v>41545</v>
      </c>
      <c r="D157" s="151">
        <v>0.3</v>
      </c>
      <c r="F157" s="130">
        <f t="shared" si="6"/>
        <v>172.02739700000001</v>
      </c>
      <c r="H157" s="137"/>
      <c r="I157" s="146"/>
      <c r="J157" s="147"/>
      <c r="K157" s="148"/>
    </row>
    <row r="158" spans="1:11" hidden="1" x14ac:dyDescent="0.25">
      <c r="B158" s="122">
        <f t="shared" si="5"/>
        <v>41546</v>
      </c>
      <c r="D158" s="151">
        <v>0.3</v>
      </c>
      <c r="F158" s="130">
        <f t="shared" si="6"/>
        <v>172.02739700000001</v>
      </c>
      <c r="H158" s="137"/>
      <c r="I158" s="146"/>
      <c r="J158" s="147"/>
      <c r="K158" s="148"/>
    </row>
    <row r="159" spans="1:11" hidden="1" x14ac:dyDescent="0.25">
      <c r="B159" s="122">
        <f t="shared" si="5"/>
        <v>41547</v>
      </c>
      <c r="D159" s="151">
        <v>0.3</v>
      </c>
      <c r="F159" s="130">
        <f t="shared" si="6"/>
        <v>172.02739700000001</v>
      </c>
      <c r="H159" s="133">
        <f>SUM(F130:F159)</f>
        <v>5160.8219099999978</v>
      </c>
      <c r="I159" s="149">
        <f>AVERAGE(D130:D159)</f>
        <v>0.3</v>
      </c>
      <c r="J159" s="150">
        <f>AVERAGE(D7:D159)</f>
        <v>0.37385620915032541</v>
      </c>
      <c r="K159" s="148">
        <f>AVERAGE(D7:D159)</f>
        <v>0.37385620915032541</v>
      </c>
    </row>
    <row r="160" spans="1:11" x14ac:dyDescent="0.25">
      <c r="A160" s="121">
        <v>41548</v>
      </c>
      <c r="B160" s="122">
        <f t="shared" si="5"/>
        <v>41548</v>
      </c>
      <c r="D160" s="151">
        <v>0.3</v>
      </c>
      <c r="F160" s="130">
        <f t="shared" si="6"/>
        <v>172.02739700000001</v>
      </c>
      <c r="H160" s="137"/>
      <c r="I160" s="146"/>
      <c r="J160" s="147"/>
      <c r="K160" s="148"/>
    </row>
    <row r="161" spans="2:11" x14ac:dyDescent="0.25">
      <c r="B161" s="122">
        <f t="shared" si="5"/>
        <v>41549</v>
      </c>
      <c r="D161" s="151">
        <v>0.3</v>
      </c>
      <c r="F161" s="130">
        <f t="shared" si="6"/>
        <v>172.02739700000001</v>
      </c>
      <c r="H161" s="137"/>
      <c r="I161" s="146"/>
      <c r="J161" s="147"/>
      <c r="K161" s="148"/>
    </row>
    <row r="162" spans="2:11" x14ac:dyDescent="0.25">
      <c r="B162" s="122">
        <f t="shared" si="5"/>
        <v>41550</v>
      </c>
      <c r="D162" s="151">
        <v>0.3</v>
      </c>
      <c r="F162" s="130">
        <f t="shared" si="6"/>
        <v>172.02739700000001</v>
      </c>
      <c r="H162" s="137"/>
      <c r="I162" s="146"/>
      <c r="J162" s="147"/>
      <c r="K162" s="148"/>
    </row>
    <row r="163" spans="2:11" x14ac:dyDescent="0.25">
      <c r="B163" s="122">
        <f t="shared" si="5"/>
        <v>41551</v>
      </c>
      <c r="D163" s="151">
        <v>0.3</v>
      </c>
      <c r="F163" s="130">
        <f t="shared" si="6"/>
        <v>172.02739700000001</v>
      </c>
      <c r="H163" s="137"/>
      <c r="I163" s="146"/>
      <c r="J163" s="147"/>
      <c r="K163" s="148"/>
    </row>
    <row r="164" spans="2:11" x14ac:dyDescent="0.25">
      <c r="B164" s="122">
        <f t="shared" si="5"/>
        <v>41552</v>
      </c>
      <c r="D164" s="151">
        <v>0.3</v>
      </c>
      <c r="F164" s="130">
        <f t="shared" si="6"/>
        <v>172.02739700000001</v>
      </c>
      <c r="H164" s="137"/>
      <c r="I164" s="146"/>
      <c r="J164" s="147"/>
      <c r="K164" s="148"/>
    </row>
    <row r="165" spans="2:11" x14ac:dyDescent="0.25">
      <c r="B165" s="122">
        <f t="shared" si="5"/>
        <v>41553</v>
      </c>
      <c r="D165" s="151">
        <v>0.3</v>
      </c>
      <c r="F165" s="130">
        <f t="shared" si="6"/>
        <v>172.02739700000001</v>
      </c>
      <c r="H165" s="137"/>
      <c r="I165" s="146"/>
      <c r="J165" s="147"/>
      <c r="K165" s="148"/>
    </row>
    <row r="166" spans="2:11" x14ac:dyDescent="0.25">
      <c r="B166" s="122">
        <f t="shared" si="5"/>
        <v>41554</v>
      </c>
      <c r="D166" s="151">
        <v>0.3</v>
      </c>
      <c r="F166" s="130">
        <f t="shared" si="6"/>
        <v>172.02739700000001</v>
      </c>
      <c r="H166" s="137"/>
      <c r="I166" s="146"/>
      <c r="J166" s="147"/>
      <c r="K166" s="148"/>
    </row>
    <row r="167" spans="2:11" x14ac:dyDescent="0.25">
      <c r="B167" s="122">
        <f t="shared" si="5"/>
        <v>41555</v>
      </c>
      <c r="D167" s="151">
        <v>0.3</v>
      </c>
      <c r="F167" s="130">
        <f t="shared" si="6"/>
        <v>172.02739700000001</v>
      </c>
      <c r="H167" s="137"/>
      <c r="I167" s="146"/>
      <c r="J167" s="147"/>
      <c r="K167" s="148"/>
    </row>
    <row r="168" spans="2:11" x14ac:dyDescent="0.25">
      <c r="B168" s="122">
        <f t="shared" si="5"/>
        <v>41556</v>
      </c>
      <c r="D168" s="151">
        <v>0.3</v>
      </c>
      <c r="F168" s="130">
        <f t="shared" si="6"/>
        <v>172.02739700000001</v>
      </c>
      <c r="H168" s="137"/>
      <c r="I168" s="146"/>
      <c r="J168" s="147"/>
      <c r="K168" s="148"/>
    </row>
    <row r="169" spans="2:11" x14ac:dyDescent="0.25">
      <c r="B169" s="122">
        <f t="shared" si="5"/>
        <v>41557</v>
      </c>
      <c r="D169" s="151">
        <v>0.3</v>
      </c>
      <c r="F169" s="130">
        <f t="shared" si="6"/>
        <v>172.02739700000001</v>
      </c>
      <c r="H169" s="137"/>
      <c r="I169" s="146"/>
      <c r="J169" s="147"/>
      <c r="K169" s="148"/>
    </row>
    <row r="170" spans="2:11" x14ac:dyDescent="0.25">
      <c r="B170" s="122">
        <f t="shared" si="5"/>
        <v>41558</v>
      </c>
      <c r="D170" s="151">
        <v>0.3</v>
      </c>
      <c r="F170" s="130">
        <f t="shared" si="6"/>
        <v>172.02739700000001</v>
      </c>
      <c r="H170" s="137"/>
      <c r="I170" s="146"/>
      <c r="J170" s="147"/>
      <c r="K170" s="148"/>
    </row>
    <row r="171" spans="2:11" x14ac:dyDescent="0.25">
      <c r="B171" s="122">
        <f t="shared" si="5"/>
        <v>41559</v>
      </c>
      <c r="D171" s="151">
        <v>0.3</v>
      </c>
      <c r="F171" s="130">
        <f t="shared" si="6"/>
        <v>172.02739700000001</v>
      </c>
      <c r="H171" s="137"/>
      <c r="I171" s="146"/>
      <c r="J171" s="147"/>
      <c r="K171" s="148"/>
    </row>
    <row r="172" spans="2:11" x14ac:dyDescent="0.25">
      <c r="B172" s="122">
        <f t="shared" si="5"/>
        <v>41560</v>
      </c>
      <c r="D172" s="151">
        <v>0.3</v>
      </c>
      <c r="F172" s="130">
        <f t="shared" si="6"/>
        <v>172.02739700000001</v>
      </c>
      <c r="H172" s="137"/>
      <c r="I172" s="146"/>
      <c r="J172" s="147"/>
      <c r="K172" s="148"/>
    </row>
    <row r="173" spans="2:11" x14ac:dyDescent="0.25">
      <c r="B173" s="122">
        <f t="shared" si="5"/>
        <v>41561</v>
      </c>
      <c r="D173" s="151">
        <v>0.3</v>
      </c>
      <c r="F173" s="130">
        <f t="shared" si="6"/>
        <v>172.02739700000001</v>
      </c>
      <c r="H173" s="137"/>
      <c r="I173" s="146"/>
      <c r="J173" s="147"/>
      <c r="K173" s="148"/>
    </row>
    <row r="174" spans="2:11" x14ac:dyDescent="0.25">
      <c r="B174" s="122">
        <f t="shared" si="5"/>
        <v>41562</v>
      </c>
      <c r="D174" s="151">
        <v>0.3</v>
      </c>
      <c r="F174" s="130">
        <f t="shared" si="6"/>
        <v>172.02739700000001</v>
      </c>
      <c r="H174" s="137"/>
      <c r="I174" s="146"/>
      <c r="J174" s="147"/>
      <c r="K174" s="148"/>
    </row>
    <row r="175" spans="2:11" x14ac:dyDescent="0.25">
      <c r="B175" s="122">
        <f t="shared" si="5"/>
        <v>41563</v>
      </c>
      <c r="D175" s="151">
        <v>0.3</v>
      </c>
      <c r="F175" s="130">
        <f t="shared" si="6"/>
        <v>172.02739700000001</v>
      </c>
      <c r="H175" s="137"/>
      <c r="I175" s="146"/>
      <c r="J175" s="147"/>
      <c r="K175" s="148"/>
    </row>
    <row r="176" spans="2:11" x14ac:dyDescent="0.25">
      <c r="B176" s="122">
        <f t="shared" si="5"/>
        <v>41564</v>
      </c>
      <c r="D176" s="151">
        <v>0.3</v>
      </c>
      <c r="F176" s="130">
        <f t="shared" si="6"/>
        <v>172.02739700000001</v>
      </c>
      <c r="H176" s="137"/>
      <c r="I176" s="146"/>
      <c r="J176" s="147"/>
      <c r="K176" s="148"/>
    </row>
    <row r="177" spans="2:11" x14ac:dyDescent="0.25">
      <c r="B177" s="122">
        <f t="shared" si="5"/>
        <v>41565</v>
      </c>
      <c r="D177" s="151">
        <v>0.3</v>
      </c>
      <c r="F177" s="130">
        <f t="shared" si="6"/>
        <v>172.02739700000001</v>
      </c>
      <c r="H177" s="137"/>
      <c r="I177" s="146"/>
      <c r="J177" s="147"/>
      <c r="K177" s="148"/>
    </row>
    <row r="178" spans="2:11" x14ac:dyDescent="0.25">
      <c r="B178" s="122">
        <f t="shared" si="5"/>
        <v>41566</v>
      </c>
      <c r="D178" s="151">
        <v>0.3</v>
      </c>
      <c r="F178" s="130">
        <f t="shared" si="6"/>
        <v>172.02739700000001</v>
      </c>
      <c r="H178" s="137"/>
      <c r="I178" s="146"/>
      <c r="J178" s="147"/>
      <c r="K178" s="148"/>
    </row>
    <row r="179" spans="2:11" x14ac:dyDescent="0.25">
      <c r="B179" s="122">
        <f t="shared" si="5"/>
        <v>41567</v>
      </c>
      <c r="D179" s="151">
        <v>0.3</v>
      </c>
      <c r="F179" s="130">
        <f t="shared" si="6"/>
        <v>172.02739700000001</v>
      </c>
      <c r="H179" s="137"/>
      <c r="I179" s="146"/>
      <c r="J179" s="147"/>
      <c r="K179" s="148"/>
    </row>
    <row r="180" spans="2:11" x14ac:dyDescent="0.25">
      <c r="B180" s="122">
        <f t="shared" si="5"/>
        <v>41568</v>
      </c>
      <c r="D180" s="151">
        <v>0.3</v>
      </c>
      <c r="F180" s="130">
        <f t="shared" si="6"/>
        <v>172.02739700000001</v>
      </c>
      <c r="H180" s="137"/>
      <c r="I180" s="146"/>
      <c r="J180" s="147"/>
      <c r="K180" s="148"/>
    </row>
    <row r="181" spans="2:11" x14ac:dyDescent="0.25">
      <c r="B181" s="122">
        <f t="shared" si="5"/>
        <v>41569</v>
      </c>
      <c r="D181" s="151">
        <v>0.3</v>
      </c>
      <c r="F181" s="130">
        <f t="shared" si="6"/>
        <v>172.02739700000001</v>
      </c>
      <c r="H181" s="137"/>
      <c r="I181" s="146"/>
      <c r="J181" s="147"/>
      <c r="K181" s="148"/>
    </row>
    <row r="182" spans="2:11" x14ac:dyDescent="0.25">
      <c r="B182" s="122">
        <f t="shared" si="5"/>
        <v>41570</v>
      </c>
      <c r="D182" s="151">
        <v>0.3</v>
      </c>
      <c r="F182" s="130">
        <f t="shared" si="6"/>
        <v>172.02739700000001</v>
      </c>
      <c r="H182" s="137"/>
      <c r="I182" s="146"/>
      <c r="J182" s="147"/>
      <c r="K182" s="148"/>
    </row>
    <row r="183" spans="2:11" x14ac:dyDescent="0.25">
      <c r="B183" s="122">
        <f t="shared" si="5"/>
        <v>41571</v>
      </c>
      <c r="D183" s="151">
        <v>0.3</v>
      </c>
      <c r="F183" s="130">
        <f t="shared" si="6"/>
        <v>172.02739700000001</v>
      </c>
      <c r="H183" s="137"/>
      <c r="I183" s="146"/>
      <c r="J183" s="147"/>
      <c r="K183" s="148"/>
    </row>
    <row r="184" spans="2:11" x14ac:dyDescent="0.25">
      <c r="B184" s="122">
        <f t="shared" si="5"/>
        <v>41572</v>
      </c>
      <c r="D184" s="151">
        <v>0.3</v>
      </c>
      <c r="F184" s="130">
        <f t="shared" si="6"/>
        <v>172.02739700000001</v>
      </c>
      <c r="H184" s="137"/>
      <c r="I184" s="146"/>
      <c r="J184" s="147"/>
      <c r="K184" s="148"/>
    </row>
    <row r="185" spans="2:11" x14ac:dyDescent="0.25">
      <c r="B185" s="122">
        <f t="shared" si="5"/>
        <v>41573</v>
      </c>
      <c r="D185" s="151">
        <v>0.3</v>
      </c>
      <c r="F185" s="130">
        <f t="shared" si="6"/>
        <v>172.02739700000001</v>
      </c>
      <c r="H185" s="137"/>
      <c r="I185" s="146"/>
      <c r="J185" s="147"/>
      <c r="K185" s="148"/>
    </row>
    <row r="186" spans="2:11" x14ac:dyDescent="0.25">
      <c r="B186" s="122">
        <f t="shared" si="5"/>
        <v>41574</v>
      </c>
      <c r="D186" s="151">
        <v>0.3</v>
      </c>
      <c r="F186" s="130">
        <f t="shared" si="6"/>
        <v>172.02739700000001</v>
      </c>
      <c r="H186" s="137"/>
      <c r="I186" s="146"/>
      <c r="J186" s="147"/>
      <c r="K186" s="148"/>
    </row>
    <row r="187" spans="2:11" x14ac:dyDescent="0.25">
      <c r="B187" s="122">
        <f t="shared" si="5"/>
        <v>41575</v>
      </c>
      <c r="D187" s="151">
        <v>0.3</v>
      </c>
      <c r="F187" s="130">
        <f t="shared" si="6"/>
        <v>172.02739700000001</v>
      </c>
      <c r="H187" s="137"/>
      <c r="I187" s="146"/>
      <c r="J187" s="147"/>
      <c r="K187" s="148"/>
    </row>
    <row r="188" spans="2:11" x14ac:dyDescent="0.25">
      <c r="B188" s="122">
        <f t="shared" si="5"/>
        <v>41576</v>
      </c>
      <c r="D188" s="151">
        <v>0.3</v>
      </c>
      <c r="F188" s="130">
        <f t="shared" si="6"/>
        <v>172.02739700000001</v>
      </c>
      <c r="H188" s="137"/>
      <c r="I188" s="146"/>
      <c r="J188" s="147"/>
      <c r="K188" s="148"/>
    </row>
    <row r="189" spans="2:11" x14ac:dyDescent="0.25">
      <c r="B189" s="122">
        <f t="shared" si="5"/>
        <v>41577</v>
      </c>
      <c r="D189" s="151">
        <v>0.3</v>
      </c>
      <c r="F189" s="130">
        <f t="shared" si="6"/>
        <v>172.02739700000001</v>
      </c>
      <c r="H189" s="137"/>
      <c r="I189" s="146"/>
      <c r="J189" s="147"/>
      <c r="K189" s="148"/>
    </row>
    <row r="190" spans="2:11" x14ac:dyDescent="0.25">
      <c r="B190" s="122">
        <f t="shared" si="5"/>
        <v>41578</v>
      </c>
      <c r="D190" s="151">
        <v>0.3</v>
      </c>
      <c r="F190" s="130">
        <f t="shared" si="6"/>
        <v>172.02739700000001</v>
      </c>
      <c r="H190" s="133">
        <f>SUM(F160:F190)</f>
        <v>5332.8493069999977</v>
      </c>
      <c r="I190" s="149">
        <f>AVERAGE(D160:D190)</f>
        <v>0.30000000000000004</v>
      </c>
      <c r="J190" s="150">
        <f>AVERAGE(D7:D190)</f>
        <v>0.36141304347825925</v>
      </c>
      <c r="K190" s="148">
        <f>AVERAGE(D7:D190)</f>
        <v>0.36141304347825925</v>
      </c>
    </row>
    <row r="191" spans="2:11" x14ac:dyDescent="0.25">
      <c r="H191" s="137"/>
      <c r="I191" s="146"/>
      <c r="J191" s="147"/>
      <c r="K191" s="148"/>
    </row>
    <row r="192" spans="2:11" x14ac:dyDescent="0.25">
      <c r="H192" s="137"/>
      <c r="I192" s="146"/>
      <c r="J192" s="147"/>
      <c r="K192" s="148"/>
    </row>
    <row r="193" spans="8:11" x14ac:dyDescent="0.25">
      <c r="H193" s="137"/>
      <c r="I193" s="146"/>
      <c r="J193" s="147"/>
      <c r="K193" s="148"/>
    </row>
    <row r="194" spans="8:11" x14ac:dyDescent="0.25">
      <c r="H194" s="137"/>
      <c r="I194" s="146"/>
      <c r="J194" s="147"/>
      <c r="K194" s="148"/>
    </row>
    <row r="195" spans="8:11" x14ac:dyDescent="0.25">
      <c r="H195" s="137"/>
      <c r="I195" s="146"/>
      <c r="J195" s="147"/>
      <c r="K195" s="148"/>
    </row>
    <row r="196" spans="8:11" x14ac:dyDescent="0.25">
      <c r="H196" s="137"/>
      <c r="I196" s="146"/>
      <c r="J196" s="147"/>
      <c r="K196" s="148"/>
    </row>
    <row r="197" spans="8:11" x14ac:dyDescent="0.25">
      <c r="H197" s="137"/>
      <c r="I197" s="146"/>
      <c r="J197" s="147"/>
      <c r="K197" s="148"/>
    </row>
    <row r="198" spans="8:11" x14ac:dyDescent="0.25">
      <c r="H198" s="137"/>
      <c r="I198" s="146"/>
      <c r="J198" s="147"/>
      <c r="K198" s="148"/>
    </row>
    <row r="199" spans="8:11" x14ac:dyDescent="0.25">
      <c r="H199" s="137"/>
      <c r="I199" s="146"/>
      <c r="J199" s="147"/>
      <c r="K199" s="148"/>
    </row>
    <row r="200" spans="8:11" x14ac:dyDescent="0.25">
      <c r="H200" s="137"/>
      <c r="I200" s="146"/>
      <c r="J200" s="147"/>
      <c r="K200" s="148"/>
    </row>
    <row r="201" spans="8:11" x14ac:dyDescent="0.25">
      <c r="H201" s="137"/>
      <c r="I201" s="146"/>
      <c r="J201" s="147"/>
      <c r="K201" s="148"/>
    </row>
    <row r="202" spans="8:11" x14ac:dyDescent="0.25">
      <c r="H202" s="137"/>
      <c r="I202" s="146"/>
      <c r="J202" s="147"/>
      <c r="K202" s="148"/>
    </row>
    <row r="203" spans="8:11" x14ac:dyDescent="0.25">
      <c r="H203" s="137"/>
      <c r="I203" s="146"/>
      <c r="J203" s="147"/>
      <c r="K203" s="148"/>
    </row>
    <row r="204" spans="8:11" x14ac:dyDescent="0.25">
      <c r="H204" s="137"/>
      <c r="I204" s="146"/>
      <c r="J204" s="147"/>
      <c r="K204" s="148"/>
    </row>
    <row r="205" spans="8:11" x14ac:dyDescent="0.25">
      <c r="H205" s="137"/>
      <c r="I205" s="146"/>
      <c r="J205" s="147"/>
      <c r="K205" s="148"/>
    </row>
    <row r="206" spans="8:11" x14ac:dyDescent="0.25">
      <c r="H206" s="137"/>
      <c r="I206" s="146"/>
      <c r="J206" s="147"/>
      <c r="K206" s="148"/>
    </row>
    <row r="207" spans="8:11" x14ac:dyDescent="0.25">
      <c r="H207" s="137"/>
      <c r="I207" s="146"/>
      <c r="J207" s="147"/>
      <c r="K207" s="148"/>
    </row>
    <row r="208" spans="8:11" x14ac:dyDescent="0.25">
      <c r="H208" s="137"/>
      <c r="I208" s="146"/>
      <c r="J208" s="147"/>
      <c r="K208" s="148"/>
    </row>
    <row r="209" spans="8:11" x14ac:dyDescent="0.25">
      <c r="H209" s="137"/>
      <c r="I209" s="146"/>
      <c r="J209" s="147"/>
      <c r="K209" s="148"/>
    </row>
    <row r="210" spans="8:11" x14ac:dyDescent="0.25">
      <c r="H210" s="137"/>
      <c r="I210" s="146"/>
      <c r="J210" s="147"/>
      <c r="K210" s="148"/>
    </row>
    <row r="211" spans="8:11" x14ac:dyDescent="0.25">
      <c r="H211" s="137"/>
      <c r="I211" s="146"/>
      <c r="J211" s="147"/>
      <c r="K211" s="148"/>
    </row>
    <row r="212" spans="8:11" x14ac:dyDescent="0.25">
      <c r="H212" s="137"/>
      <c r="I212" s="146"/>
      <c r="J212" s="147"/>
      <c r="K212" s="148"/>
    </row>
    <row r="213" spans="8:11" x14ac:dyDescent="0.25">
      <c r="H213" s="137"/>
      <c r="I213" s="146"/>
      <c r="J213" s="147"/>
      <c r="K213" s="148"/>
    </row>
    <row r="214" spans="8:11" x14ac:dyDescent="0.25">
      <c r="H214" s="137"/>
      <c r="I214" s="146"/>
      <c r="J214" s="147"/>
      <c r="K214" s="148"/>
    </row>
    <row r="215" spans="8:11" x14ac:dyDescent="0.25">
      <c r="H215" s="137"/>
      <c r="I215" s="146"/>
      <c r="J215" s="147"/>
      <c r="K215" s="148"/>
    </row>
    <row r="216" spans="8:11" x14ac:dyDescent="0.25">
      <c r="H216" s="137"/>
      <c r="I216" s="146"/>
      <c r="J216" s="147"/>
      <c r="K216" s="148"/>
    </row>
    <row r="217" spans="8:11" x14ac:dyDescent="0.25">
      <c r="H217" s="137"/>
      <c r="I217" s="146"/>
      <c r="J217" s="147"/>
      <c r="K217" s="148"/>
    </row>
    <row r="218" spans="8:11" x14ac:dyDescent="0.25">
      <c r="H218" s="137"/>
      <c r="I218" s="146"/>
      <c r="J218" s="147"/>
      <c r="K218" s="148"/>
    </row>
    <row r="219" spans="8:11" x14ac:dyDescent="0.25">
      <c r="H219" s="137"/>
      <c r="I219" s="146"/>
      <c r="J219" s="147"/>
      <c r="K219" s="148"/>
    </row>
    <row r="220" spans="8:11" x14ac:dyDescent="0.25">
      <c r="H220" s="137"/>
      <c r="I220" s="146"/>
      <c r="J220" s="147"/>
      <c r="K220" s="148"/>
    </row>
    <row r="221" spans="8:11" x14ac:dyDescent="0.25">
      <c r="H221" s="137"/>
      <c r="I221" s="146"/>
      <c r="J221" s="147"/>
      <c r="K221" s="148"/>
    </row>
    <row r="222" spans="8:11" x14ac:dyDescent="0.25">
      <c r="H222" s="137"/>
      <c r="I222" s="146"/>
      <c r="J222" s="147"/>
      <c r="K222" s="148"/>
    </row>
    <row r="223" spans="8:11" x14ac:dyDescent="0.25">
      <c r="H223" s="137"/>
      <c r="I223" s="146"/>
      <c r="J223" s="147"/>
      <c r="K223" s="148"/>
    </row>
    <row r="224" spans="8:11" x14ac:dyDescent="0.25">
      <c r="H224" s="137"/>
      <c r="I224" s="146"/>
      <c r="J224" s="147"/>
      <c r="K224" s="148"/>
    </row>
    <row r="225" spans="8:11" x14ac:dyDescent="0.25">
      <c r="H225" s="137"/>
      <c r="I225" s="146"/>
      <c r="J225" s="147"/>
      <c r="K225" s="148"/>
    </row>
    <row r="226" spans="8:11" x14ac:dyDescent="0.25">
      <c r="H226" s="137"/>
      <c r="I226" s="146"/>
      <c r="J226" s="147"/>
      <c r="K226" s="148"/>
    </row>
    <row r="227" spans="8:11" x14ac:dyDescent="0.25">
      <c r="H227" s="137"/>
      <c r="I227" s="146"/>
      <c r="J227" s="147"/>
      <c r="K227" s="148"/>
    </row>
    <row r="228" spans="8:11" x14ac:dyDescent="0.25">
      <c r="H228" s="137"/>
      <c r="I228" s="146"/>
      <c r="J228" s="147"/>
      <c r="K228" s="148"/>
    </row>
    <row r="229" spans="8:11" x14ac:dyDescent="0.25">
      <c r="H229" s="137"/>
      <c r="I229" s="146"/>
      <c r="J229" s="147"/>
      <c r="K229" s="148"/>
    </row>
    <row r="230" spans="8:11" x14ac:dyDescent="0.25">
      <c r="H230" s="137"/>
      <c r="I230" s="146"/>
      <c r="J230" s="147"/>
      <c r="K230" s="148"/>
    </row>
    <row r="231" spans="8:11" x14ac:dyDescent="0.25">
      <c r="H231" s="137"/>
      <c r="I231" s="146"/>
      <c r="J231" s="147"/>
      <c r="K231" s="148"/>
    </row>
    <row r="232" spans="8:11" x14ac:dyDescent="0.25">
      <c r="H232" s="137"/>
      <c r="I232" s="146"/>
      <c r="J232" s="147"/>
      <c r="K232" s="148"/>
    </row>
    <row r="233" spans="8:11" x14ac:dyDescent="0.25">
      <c r="H233" s="137"/>
      <c r="I233" s="146"/>
      <c r="J233" s="147"/>
      <c r="K233" s="148"/>
    </row>
    <row r="234" spans="8:11" x14ac:dyDescent="0.25">
      <c r="H234" s="137"/>
      <c r="I234" s="146"/>
      <c r="J234" s="147"/>
      <c r="K234" s="148"/>
    </row>
    <row r="235" spans="8:11" x14ac:dyDescent="0.25">
      <c r="H235" s="137"/>
      <c r="I235" s="146"/>
      <c r="J235" s="147"/>
      <c r="K235" s="148"/>
    </row>
    <row r="236" spans="8:11" x14ac:dyDescent="0.25">
      <c r="H236" s="137"/>
      <c r="I236" s="146"/>
      <c r="J236" s="147"/>
      <c r="K236" s="148"/>
    </row>
    <row r="237" spans="8:11" x14ac:dyDescent="0.25">
      <c r="H237" s="137"/>
      <c r="I237" s="146"/>
      <c r="J237" s="147"/>
      <c r="K237" s="148"/>
    </row>
    <row r="238" spans="8:11" x14ac:dyDescent="0.25">
      <c r="H238" s="137"/>
      <c r="I238" s="146"/>
      <c r="J238" s="147"/>
      <c r="K238" s="148"/>
    </row>
    <row r="239" spans="8:11" x14ac:dyDescent="0.25">
      <c r="H239" s="137"/>
      <c r="I239" s="146"/>
      <c r="J239" s="147"/>
      <c r="K239" s="148"/>
    </row>
    <row r="240" spans="8:11" x14ac:dyDescent="0.25">
      <c r="H240" s="137"/>
      <c r="I240" s="146"/>
      <c r="J240" s="147"/>
      <c r="K240" s="148"/>
    </row>
    <row r="241" spans="8:11" x14ac:dyDescent="0.25">
      <c r="H241" s="137"/>
      <c r="I241" s="146"/>
      <c r="J241" s="147"/>
      <c r="K241" s="148"/>
    </row>
    <row r="242" spans="8:11" x14ac:dyDescent="0.25">
      <c r="H242" s="137"/>
      <c r="I242" s="146"/>
      <c r="J242" s="147"/>
      <c r="K242" s="148"/>
    </row>
    <row r="243" spans="8:11" x14ac:dyDescent="0.25">
      <c r="H243" s="137"/>
      <c r="I243" s="146"/>
      <c r="J243" s="147"/>
      <c r="K243" s="148"/>
    </row>
    <row r="244" spans="8:11" x14ac:dyDescent="0.25">
      <c r="H244" s="137"/>
      <c r="I244" s="146"/>
      <c r="J244" s="147"/>
      <c r="K244" s="148"/>
    </row>
    <row r="245" spans="8:11" x14ac:dyDescent="0.25">
      <c r="H245" s="137"/>
      <c r="I245" s="146"/>
      <c r="J245" s="147"/>
      <c r="K245" s="148"/>
    </row>
    <row r="246" spans="8:11" x14ac:dyDescent="0.25">
      <c r="H246" s="137"/>
      <c r="I246" s="146"/>
      <c r="J246" s="147"/>
      <c r="K246" s="148"/>
    </row>
    <row r="247" spans="8:11" x14ac:dyDescent="0.25">
      <c r="H247" s="137"/>
      <c r="I247" s="146"/>
      <c r="J247" s="147"/>
      <c r="K247" s="148"/>
    </row>
    <row r="248" spans="8:11" x14ac:dyDescent="0.25">
      <c r="H248" s="137"/>
      <c r="I248" s="146"/>
      <c r="J248" s="147"/>
      <c r="K248" s="148"/>
    </row>
    <row r="249" spans="8:11" x14ac:dyDescent="0.25">
      <c r="H249" s="137"/>
      <c r="I249" s="146"/>
      <c r="J249" s="147"/>
      <c r="K249" s="148"/>
    </row>
    <row r="250" spans="8:11" x14ac:dyDescent="0.25">
      <c r="H250" s="137"/>
      <c r="I250" s="146"/>
      <c r="J250" s="147"/>
      <c r="K250" s="148"/>
    </row>
    <row r="251" spans="8:11" x14ac:dyDescent="0.25">
      <c r="H251" s="137"/>
      <c r="I251" s="146"/>
      <c r="J251" s="147"/>
      <c r="K251" s="148"/>
    </row>
    <row r="252" spans="8:11" x14ac:dyDescent="0.25">
      <c r="H252" s="137"/>
      <c r="I252" s="146"/>
      <c r="J252" s="147"/>
      <c r="K252" s="148"/>
    </row>
    <row r="253" spans="8:11" x14ac:dyDescent="0.25">
      <c r="H253" s="137"/>
      <c r="I253" s="146"/>
      <c r="J253" s="147"/>
      <c r="K253" s="148"/>
    </row>
    <row r="254" spans="8:11" x14ac:dyDescent="0.25">
      <c r="H254" s="137"/>
      <c r="I254" s="146"/>
      <c r="J254" s="147"/>
      <c r="K254" s="148"/>
    </row>
    <row r="255" spans="8:11" x14ac:dyDescent="0.25">
      <c r="H255" s="137"/>
      <c r="I255" s="146"/>
      <c r="J255" s="147"/>
      <c r="K255" s="148"/>
    </row>
    <row r="256" spans="8:11" x14ac:dyDescent="0.25">
      <c r="H256" s="137"/>
      <c r="I256" s="146"/>
      <c r="J256" s="147"/>
      <c r="K256" s="148"/>
    </row>
    <row r="257" spans="8:11" x14ac:dyDescent="0.25">
      <c r="H257" s="137"/>
      <c r="I257" s="146"/>
      <c r="J257" s="147"/>
      <c r="K257" s="148"/>
    </row>
    <row r="258" spans="8:11" x14ac:dyDescent="0.25">
      <c r="H258" s="137"/>
      <c r="I258" s="146"/>
      <c r="J258" s="147"/>
      <c r="K258" s="148"/>
    </row>
    <row r="259" spans="8:11" x14ac:dyDescent="0.25">
      <c r="H259" s="137"/>
      <c r="I259" s="146"/>
      <c r="J259" s="147"/>
      <c r="K259" s="148"/>
    </row>
    <row r="260" spans="8:11" x14ac:dyDescent="0.25">
      <c r="H260" s="137"/>
      <c r="I260" s="146"/>
      <c r="J260" s="147"/>
      <c r="K260" s="148"/>
    </row>
    <row r="261" spans="8:11" x14ac:dyDescent="0.25">
      <c r="H261" s="137"/>
      <c r="I261" s="146"/>
      <c r="J261" s="147"/>
      <c r="K261" s="148"/>
    </row>
    <row r="262" spans="8:11" x14ac:dyDescent="0.25">
      <c r="H262" s="137"/>
      <c r="I262" s="146"/>
      <c r="J262" s="147"/>
      <c r="K262" s="148"/>
    </row>
    <row r="263" spans="8:11" x14ac:dyDescent="0.25">
      <c r="H263" s="137"/>
      <c r="I263" s="146"/>
      <c r="J263" s="147"/>
      <c r="K263" s="148"/>
    </row>
    <row r="264" spans="8:11" x14ac:dyDescent="0.25">
      <c r="H264" s="137"/>
      <c r="I264" s="146"/>
      <c r="J264" s="147"/>
      <c r="K264" s="148"/>
    </row>
    <row r="265" spans="8:11" x14ac:dyDescent="0.25">
      <c r="H265" s="137"/>
      <c r="I265" s="146"/>
      <c r="J265" s="147"/>
      <c r="K265" s="148"/>
    </row>
    <row r="266" spans="8:11" x14ac:dyDescent="0.25">
      <c r="H266" s="137"/>
      <c r="I266" s="146"/>
      <c r="J266" s="147"/>
      <c r="K266" s="148"/>
    </row>
    <row r="267" spans="8:11" x14ac:dyDescent="0.25">
      <c r="H267" s="137"/>
      <c r="I267" s="146"/>
      <c r="J267" s="147"/>
      <c r="K267" s="148"/>
    </row>
    <row r="268" spans="8:11" x14ac:dyDescent="0.25">
      <c r="H268" s="137"/>
      <c r="I268" s="146"/>
      <c r="J268" s="147"/>
      <c r="K268" s="148"/>
    </row>
    <row r="269" spans="8:11" x14ac:dyDescent="0.25">
      <c r="H269" s="137"/>
      <c r="I269" s="146"/>
      <c r="J269" s="147"/>
      <c r="K269" s="148"/>
    </row>
    <row r="270" spans="8:11" x14ac:dyDescent="0.25">
      <c r="H270" s="137"/>
      <c r="I270" s="146"/>
      <c r="J270" s="147"/>
      <c r="K270" s="148"/>
    </row>
    <row r="271" spans="8:11" x14ac:dyDescent="0.25">
      <c r="H271" s="137"/>
      <c r="I271" s="146"/>
      <c r="J271" s="147"/>
      <c r="K271" s="148"/>
    </row>
    <row r="272" spans="8:11" x14ac:dyDescent="0.25">
      <c r="H272" s="137"/>
      <c r="I272" s="146"/>
      <c r="J272" s="147"/>
      <c r="K272" s="148"/>
    </row>
    <row r="273" spans="8:11" x14ac:dyDescent="0.25">
      <c r="H273" s="137"/>
      <c r="I273" s="146"/>
      <c r="J273" s="147"/>
      <c r="K273" s="148"/>
    </row>
    <row r="274" spans="8:11" x14ac:dyDescent="0.25">
      <c r="H274" s="137"/>
      <c r="I274" s="146"/>
      <c r="J274" s="147"/>
      <c r="K274" s="148"/>
    </row>
    <row r="275" spans="8:11" x14ac:dyDescent="0.25">
      <c r="H275" s="137"/>
      <c r="I275" s="146"/>
      <c r="J275" s="147"/>
      <c r="K275" s="148"/>
    </row>
    <row r="276" spans="8:11" x14ac:dyDescent="0.25">
      <c r="H276" s="137"/>
      <c r="I276" s="146"/>
      <c r="J276" s="147"/>
      <c r="K276" s="148"/>
    </row>
    <row r="277" spans="8:11" x14ac:dyDescent="0.25">
      <c r="H277" s="137"/>
      <c r="I277" s="146"/>
      <c r="J277" s="147"/>
      <c r="K277" s="148"/>
    </row>
    <row r="278" spans="8:11" x14ac:dyDescent="0.25">
      <c r="H278" s="137"/>
      <c r="I278" s="146"/>
      <c r="J278" s="147"/>
      <c r="K278" s="148"/>
    </row>
    <row r="279" spans="8:11" x14ac:dyDescent="0.25">
      <c r="H279" s="137"/>
      <c r="I279" s="146"/>
      <c r="J279" s="147"/>
      <c r="K279" s="148"/>
    </row>
    <row r="280" spans="8:11" x14ac:dyDescent="0.25">
      <c r="H280" s="137"/>
      <c r="I280" s="146"/>
      <c r="J280" s="147"/>
      <c r="K280" s="148"/>
    </row>
    <row r="281" spans="8:11" x14ac:dyDescent="0.25">
      <c r="H281" s="137"/>
      <c r="I281" s="146"/>
      <c r="J281" s="147"/>
      <c r="K281" s="148"/>
    </row>
    <row r="282" spans="8:11" x14ac:dyDescent="0.25">
      <c r="H282" s="137"/>
      <c r="I282" s="146"/>
      <c r="J282" s="147"/>
      <c r="K282" s="148"/>
    </row>
    <row r="283" spans="8:11" x14ac:dyDescent="0.25">
      <c r="H283" s="137"/>
      <c r="I283" s="146"/>
      <c r="J283" s="147"/>
      <c r="K283" s="148"/>
    </row>
    <row r="284" spans="8:11" x14ac:dyDescent="0.25">
      <c r="H284" s="137"/>
      <c r="I284" s="146"/>
      <c r="J284" s="147"/>
      <c r="K284" s="148"/>
    </row>
    <row r="285" spans="8:11" x14ac:dyDescent="0.25">
      <c r="H285" s="137"/>
      <c r="I285" s="146"/>
      <c r="J285" s="147"/>
      <c r="K285" s="148"/>
    </row>
    <row r="286" spans="8:11" x14ac:dyDescent="0.25">
      <c r="H286" s="137"/>
      <c r="I286" s="146"/>
      <c r="J286" s="147"/>
      <c r="K286" s="148"/>
    </row>
    <row r="287" spans="8:11" x14ac:dyDescent="0.25">
      <c r="H287" s="137"/>
      <c r="I287" s="146"/>
      <c r="J287" s="147"/>
      <c r="K287" s="148"/>
    </row>
    <row r="288" spans="8:11" x14ac:dyDescent="0.25">
      <c r="H288" s="137"/>
      <c r="I288" s="146"/>
      <c r="J288" s="147"/>
      <c r="K288" s="148"/>
    </row>
    <row r="289" spans="8:11" x14ac:dyDescent="0.25">
      <c r="H289" s="137"/>
      <c r="I289" s="146"/>
      <c r="J289" s="147"/>
      <c r="K289" s="148"/>
    </row>
    <row r="290" spans="8:11" x14ac:dyDescent="0.25">
      <c r="H290" s="137"/>
      <c r="I290" s="146"/>
      <c r="J290" s="147"/>
      <c r="K290" s="148"/>
    </row>
    <row r="291" spans="8:11" x14ac:dyDescent="0.25">
      <c r="H291" s="137"/>
      <c r="I291" s="146"/>
      <c r="J291" s="147"/>
      <c r="K291" s="148"/>
    </row>
    <row r="292" spans="8:11" x14ac:dyDescent="0.25">
      <c r="H292" s="137"/>
      <c r="I292" s="146"/>
      <c r="J292" s="147"/>
      <c r="K292" s="148"/>
    </row>
    <row r="293" spans="8:11" x14ac:dyDescent="0.25">
      <c r="H293" s="137"/>
      <c r="I293" s="146"/>
      <c r="J293" s="147"/>
      <c r="K293" s="148"/>
    </row>
    <row r="294" spans="8:11" x14ac:dyDescent="0.25">
      <c r="H294" s="137"/>
      <c r="I294" s="146"/>
      <c r="J294" s="147"/>
      <c r="K294" s="148"/>
    </row>
    <row r="295" spans="8:11" x14ac:dyDescent="0.25">
      <c r="H295" s="137"/>
      <c r="I295" s="146"/>
      <c r="J295" s="147"/>
      <c r="K295" s="148"/>
    </row>
    <row r="296" spans="8:11" x14ac:dyDescent="0.25">
      <c r="H296" s="137"/>
      <c r="I296" s="146"/>
      <c r="J296" s="147"/>
      <c r="K296" s="148"/>
    </row>
    <row r="297" spans="8:11" x14ac:dyDescent="0.25">
      <c r="H297" s="137"/>
      <c r="I297" s="146"/>
      <c r="J297" s="147"/>
      <c r="K297" s="148"/>
    </row>
    <row r="298" spans="8:11" x14ac:dyDescent="0.25">
      <c r="H298" s="137"/>
      <c r="I298" s="146"/>
      <c r="J298" s="147"/>
      <c r="K298" s="148"/>
    </row>
    <row r="299" spans="8:11" x14ac:dyDescent="0.25">
      <c r="H299" s="137"/>
      <c r="I299" s="146"/>
      <c r="J299" s="147"/>
      <c r="K299" s="148"/>
    </row>
    <row r="300" spans="8:11" x14ac:dyDescent="0.25">
      <c r="H300" s="137"/>
      <c r="I300" s="146"/>
      <c r="J300" s="147"/>
      <c r="K300" s="148"/>
    </row>
    <row r="301" spans="8:11" x14ac:dyDescent="0.25">
      <c r="H301" s="137"/>
      <c r="I301" s="146"/>
      <c r="J301" s="147"/>
      <c r="K301" s="148"/>
    </row>
    <row r="302" spans="8:11" x14ac:dyDescent="0.25">
      <c r="H302" s="137"/>
      <c r="I302" s="146"/>
      <c r="J302" s="147"/>
      <c r="K302" s="148"/>
    </row>
    <row r="303" spans="8:11" x14ac:dyDescent="0.25">
      <c r="H303" s="137"/>
      <c r="I303" s="146"/>
      <c r="J303" s="147"/>
      <c r="K303" s="148"/>
    </row>
    <row r="304" spans="8:11" x14ac:dyDescent="0.25">
      <c r="H304" s="137"/>
      <c r="I304" s="146"/>
      <c r="J304" s="147"/>
      <c r="K304" s="148"/>
    </row>
    <row r="305" spans="8:11" x14ac:dyDescent="0.25">
      <c r="H305" s="137"/>
      <c r="I305" s="146"/>
      <c r="J305" s="147"/>
      <c r="K305" s="148"/>
    </row>
    <row r="306" spans="8:11" x14ac:dyDescent="0.25">
      <c r="H306" s="137"/>
      <c r="I306" s="146"/>
      <c r="J306" s="147"/>
      <c r="K306" s="148"/>
    </row>
    <row r="307" spans="8:11" x14ac:dyDescent="0.25">
      <c r="H307" s="137"/>
      <c r="I307" s="146"/>
      <c r="J307" s="147"/>
      <c r="K307" s="148"/>
    </row>
    <row r="308" spans="8:11" x14ac:dyDescent="0.25">
      <c r="H308" s="137"/>
      <c r="I308" s="146"/>
      <c r="J308" s="147"/>
      <c r="K308" s="148"/>
    </row>
    <row r="309" spans="8:11" x14ac:dyDescent="0.25">
      <c r="H309" s="137"/>
      <c r="I309" s="146"/>
      <c r="J309" s="147"/>
      <c r="K309" s="148"/>
    </row>
    <row r="310" spans="8:11" x14ac:dyDescent="0.25">
      <c r="H310" s="137"/>
      <c r="I310" s="146"/>
      <c r="J310" s="147"/>
      <c r="K310" s="148"/>
    </row>
    <row r="311" spans="8:11" x14ac:dyDescent="0.25">
      <c r="H311" s="137"/>
      <c r="I311" s="146"/>
      <c r="J311" s="147"/>
      <c r="K311" s="148"/>
    </row>
    <row r="312" spans="8:11" x14ac:dyDescent="0.25">
      <c r="H312" s="137"/>
      <c r="I312" s="146"/>
      <c r="J312" s="147"/>
      <c r="K312" s="148"/>
    </row>
    <row r="313" spans="8:11" x14ac:dyDescent="0.25">
      <c r="H313" s="137"/>
      <c r="I313" s="146"/>
      <c r="J313" s="147"/>
      <c r="K313" s="148"/>
    </row>
    <row r="314" spans="8:11" x14ac:dyDescent="0.25">
      <c r="H314" s="137"/>
      <c r="I314" s="146"/>
      <c r="J314" s="147"/>
      <c r="K314" s="148"/>
    </row>
    <row r="315" spans="8:11" x14ac:dyDescent="0.25">
      <c r="H315" s="137"/>
      <c r="I315" s="146"/>
      <c r="J315" s="147"/>
      <c r="K315" s="148"/>
    </row>
    <row r="316" spans="8:11" x14ac:dyDescent="0.25">
      <c r="H316" s="137"/>
      <c r="I316" s="146"/>
      <c r="J316" s="147"/>
      <c r="K316" s="148"/>
    </row>
    <row r="317" spans="8:11" x14ac:dyDescent="0.25">
      <c r="H317" s="137"/>
      <c r="I317" s="146"/>
      <c r="J317" s="147"/>
      <c r="K317" s="148"/>
    </row>
    <row r="318" spans="8:11" x14ac:dyDescent="0.25">
      <c r="H318" s="137"/>
      <c r="I318" s="146"/>
      <c r="J318" s="147"/>
      <c r="K318" s="148"/>
    </row>
    <row r="319" spans="8:11" x14ac:dyDescent="0.25">
      <c r="H319" s="137"/>
      <c r="I319" s="146"/>
      <c r="J319" s="147"/>
      <c r="K319" s="148"/>
    </row>
    <row r="320" spans="8:11" x14ac:dyDescent="0.25">
      <c r="H320" s="137"/>
      <c r="I320" s="146"/>
      <c r="J320" s="147"/>
      <c r="K320" s="148"/>
    </row>
    <row r="321" spans="8:11" x14ac:dyDescent="0.25">
      <c r="H321" s="137"/>
      <c r="I321" s="146"/>
      <c r="J321" s="147"/>
      <c r="K321" s="148"/>
    </row>
    <row r="322" spans="8:11" x14ac:dyDescent="0.25">
      <c r="H322" s="137"/>
      <c r="I322" s="146"/>
      <c r="J322" s="147"/>
      <c r="K322" s="148"/>
    </row>
    <row r="323" spans="8:11" x14ac:dyDescent="0.25">
      <c r="H323" s="137"/>
      <c r="I323" s="146"/>
      <c r="J323" s="147"/>
      <c r="K323" s="148"/>
    </row>
    <row r="324" spans="8:11" x14ac:dyDescent="0.25">
      <c r="H324" s="137"/>
      <c r="I324" s="146"/>
      <c r="J324" s="147"/>
      <c r="K324" s="148"/>
    </row>
    <row r="325" spans="8:11" x14ac:dyDescent="0.25">
      <c r="H325" s="137"/>
      <c r="I325" s="146"/>
      <c r="J325" s="147"/>
      <c r="K325" s="148"/>
    </row>
    <row r="326" spans="8:11" x14ac:dyDescent="0.25">
      <c r="H326" s="137"/>
      <c r="I326" s="146"/>
      <c r="J326" s="147"/>
      <c r="K326" s="148"/>
    </row>
    <row r="327" spans="8:11" x14ac:dyDescent="0.25">
      <c r="H327" s="137"/>
      <c r="I327" s="146"/>
      <c r="J327" s="147"/>
      <c r="K327" s="148"/>
    </row>
    <row r="328" spans="8:11" x14ac:dyDescent="0.25">
      <c r="H328" s="137"/>
      <c r="I328" s="146"/>
      <c r="J328" s="147"/>
      <c r="K328" s="148"/>
    </row>
    <row r="329" spans="8:11" x14ac:dyDescent="0.25">
      <c r="H329" s="137"/>
      <c r="I329" s="146"/>
      <c r="J329" s="147"/>
      <c r="K329" s="148"/>
    </row>
    <row r="330" spans="8:11" x14ac:dyDescent="0.25">
      <c r="H330" s="137"/>
      <c r="I330" s="146"/>
      <c r="J330" s="147"/>
      <c r="K330" s="148"/>
    </row>
    <row r="331" spans="8:11" x14ac:dyDescent="0.25">
      <c r="H331" s="137"/>
      <c r="I331" s="146"/>
      <c r="J331" s="147"/>
      <c r="K331" s="148"/>
    </row>
    <row r="332" spans="8:11" x14ac:dyDescent="0.25">
      <c r="H332" s="137"/>
      <c r="I332" s="146"/>
      <c r="J332" s="147"/>
      <c r="K332" s="148"/>
    </row>
    <row r="333" spans="8:11" x14ac:dyDescent="0.25">
      <c r="H333" s="137"/>
      <c r="I333" s="146"/>
      <c r="J333" s="147"/>
      <c r="K333" s="148"/>
    </row>
    <row r="334" spans="8:11" x14ac:dyDescent="0.25">
      <c r="H334" s="137"/>
      <c r="I334" s="146"/>
      <c r="J334" s="147"/>
      <c r="K334" s="148"/>
    </row>
    <row r="335" spans="8:11" x14ac:dyDescent="0.25">
      <c r="H335" s="137"/>
      <c r="I335" s="146"/>
      <c r="J335" s="147"/>
      <c r="K335" s="148"/>
    </row>
    <row r="336" spans="8:11" x14ac:dyDescent="0.25">
      <c r="H336" s="137"/>
      <c r="I336" s="146"/>
      <c r="J336" s="147"/>
      <c r="K336" s="148"/>
    </row>
    <row r="337" spans="8:11" x14ac:dyDescent="0.25">
      <c r="H337" s="137"/>
      <c r="I337" s="146"/>
      <c r="J337" s="147"/>
      <c r="K337" s="148"/>
    </row>
    <row r="338" spans="8:11" x14ac:dyDescent="0.25">
      <c r="H338" s="137"/>
      <c r="I338" s="146"/>
      <c r="J338" s="147"/>
      <c r="K338" s="148"/>
    </row>
    <row r="339" spans="8:11" x14ac:dyDescent="0.25">
      <c r="H339" s="137"/>
      <c r="I339" s="146"/>
      <c r="J339" s="147"/>
      <c r="K339" s="148"/>
    </row>
    <row r="340" spans="8:11" x14ac:dyDescent="0.25">
      <c r="H340" s="137"/>
      <c r="I340" s="146"/>
      <c r="J340" s="147"/>
      <c r="K340" s="148"/>
    </row>
    <row r="341" spans="8:11" x14ac:dyDescent="0.25">
      <c r="H341" s="137"/>
      <c r="I341" s="146"/>
      <c r="J341" s="147"/>
      <c r="K341" s="148"/>
    </row>
    <row r="342" spans="8:11" x14ac:dyDescent="0.25">
      <c r="H342" s="137"/>
      <c r="I342" s="146"/>
      <c r="J342" s="147"/>
      <c r="K342" s="148"/>
    </row>
    <row r="343" spans="8:11" x14ac:dyDescent="0.25">
      <c r="H343" s="137"/>
      <c r="I343" s="146"/>
      <c r="J343" s="147"/>
      <c r="K343" s="148"/>
    </row>
    <row r="344" spans="8:11" x14ac:dyDescent="0.25">
      <c r="H344" s="137"/>
      <c r="I344" s="146"/>
      <c r="J344" s="147"/>
      <c r="K344" s="148"/>
    </row>
    <row r="345" spans="8:11" x14ac:dyDescent="0.25">
      <c r="H345" s="137"/>
      <c r="I345" s="146"/>
      <c r="J345" s="147"/>
      <c r="K345" s="148"/>
    </row>
    <row r="346" spans="8:11" x14ac:dyDescent="0.25">
      <c r="H346" s="137"/>
      <c r="I346" s="146"/>
      <c r="J346" s="147"/>
      <c r="K346" s="148"/>
    </row>
    <row r="347" spans="8:11" x14ac:dyDescent="0.25">
      <c r="H347" s="137"/>
      <c r="I347" s="146"/>
      <c r="J347" s="147"/>
      <c r="K347" s="148"/>
    </row>
    <row r="348" spans="8:11" x14ac:dyDescent="0.25">
      <c r="H348" s="137"/>
      <c r="I348" s="146"/>
      <c r="J348" s="147"/>
      <c r="K348" s="148"/>
    </row>
    <row r="349" spans="8:11" x14ac:dyDescent="0.25">
      <c r="H349" s="137"/>
      <c r="I349" s="146"/>
      <c r="J349" s="147"/>
      <c r="K349" s="148"/>
    </row>
    <row r="350" spans="8:11" x14ac:dyDescent="0.25">
      <c r="H350" s="137"/>
      <c r="I350" s="146"/>
      <c r="J350" s="147"/>
      <c r="K350" s="148"/>
    </row>
    <row r="351" spans="8:11" x14ac:dyDescent="0.25">
      <c r="H351" s="137"/>
      <c r="I351" s="146"/>
      <c r="J351" s="147"/>
      <c r="K351" s="148"/>
    </row>
    <row r="352" spans="8:11" x14ac:dyDescent="0.25">
      <c r="H352" s="137"/>
      <c r="I352" s="146"/>
      <c r="J352" s="147"/>
      <c r="K352" s="148"/>
    </row>
    <row r="353" spans="8:11" x14ac:dyDescent="0.25">
      <c r="H353" s="137"/>
      <c r="I353" s="146"/>
      <c r="J353" s="147"/>
      <c r="K353" s="148"/>
    </row>
    <row r="354" spans="8:11" x14ac:dyDescent="0.25">
      <c r="H354" s="137"/>
      <c r="I354" s="146"/>
      <c r="J354" s="147"/>
      <c r="K354" s="148"/>
    </row>
    <row r="355" spans="8:11" x14ac:dyDescent="0.25">
      <c r="H355" s="137"/>
      <c r="I355" s="146"/>
      <c r="J355" s="147"/>
      <c r="K355" s="148"/>
    </row>
    <row r="356" spans="8:11" x14ac:dyDescent="0.25">
      <c r="H356" s="137"/>
      <c r="I356" s="146"/>
      <c r="J356" s="147"/>
      <c r="K356" s="148"/>
    </row>
    <row r="357" spans="8:11" x14ac:dyDescent="0.25">
      <c r="H357" s="137"/>
      <c r="I357" s="146"/>
      <c r="J357" s="147"/>
      <c r="K357" s="148"/>
    </row>
    <row r="358" spans="8:11" x14ac:dyDescent="0.25">
      <c r="H358" s="137"/>
      <c r="I358" s="146"/>
      <c r="J358" s="147"/>
      <c r="K358" s="148"/>
    </row>
    <row r="359" spans="8:11" x14ac:dyDescent="0.25">
      <c r="H359" s="137"/>
      <c r="I359" s="146"/>
      <c r="J359" s="147"/>
      <c r="K359" s="148"/>
    </row>
    <row r="360" spans="8:11" x14ac:dyDescent="0.25">
      <c r="H360" s="137"/>
      <c r="I360" s="146"/>
      <c r="J360" s="147"/>
      <c r="K360" s="148"/>
    </row>
    <row r="361" spans="8:11" x14ac:dyDescent="0.25">
      <c r="H361" s="137"/>
      <c r="I361" s="146"/>
      <c r="J361" s="147"/>
      <c r="K361" s="148"/>
    </row>
    <row r="362" spans="8:11" x14ac:dyDescent="0.25">
      <c r="H362" s="137"/>
      <c r="I362" s="146"/>
      <c r="J362" s="147"/>
      <c r="K362" s="148"/>
    </row>
    <row r="363" spans="8:11" x14ac:dyDescent="0.25">
      <c r="H363" s="137"/>
      <c r="I363" s="146"/>
      <c r="J363" s="147"/>
      <c r="K363" s="148"/>
    </row>
    <row r="364" spans="8:11" x14ac:dyDescent="0.25">
      <c r="H364" s="137"/>
      <c r="I364" s="146"/>
      <c r="J364" s="147"/>
      <c r="K364" s="148"/>
    </row>
    <row r="365" spans="8:11" x14ac:dyDescent="0.25">
      <c r="H365" s="137"/>
      <c r="I365" s="146"/>
      <c r="J365" s="147"/>
      <c r="K365" s="148"/>
    </row>
    <row r="366" spans="8:11" x14ac:dyDescent="0.25">
      <c r="H366" s="137"/>
      <c r="I366" s="146"/>
      <c r="J366" s="147"/>
      <c r="K366" s="148"/>
    </row>
    <row r="367" spans="8:11" x14ac:dyDescent="0.25">
      <c r="H367" s="137"/>
      <c r="I367" s="146"/>
      <c r="J367" s="147"/>
      <c r="K367" s="148"/>
    </row>
    <row r="368" spans="8:11" x14ac:dyDescent="0.25">
      <c r="H368" s="137"/>
      <c r="I368" s="146"/>
      <c r="J368" s="147"/>
      <c r="K368" s="148"/>
    </row>
    <row r="369" spans="8:11" x14ac:dyDescent="0.25">
      <c r="H369" s="137"/>
      <c r="I369" s="146"/>
      <c r="J369" s="147"/>
      <c r="K369" s="148"/>
    </row>
    <row r="370" spans="8:11" x14ac:dyDescent="0.25">
      <c r="H370" s="137"/>
      <c r="I370" s="146"/>
      <c r="J370" s="147"/>
      <c r="K370" s="148"/>
    </row>
    <row r="371" spans="8:11" x14ac:dyDescent="0.25">
      <c r="H371" s="137"/>
      <c r="I371" s="146"/>
      <c r="J371" s="147"/>
      <c r="K371" s="148"/>
    </row>
    <row r="372" spans="8:11" x14ac:dyDescent="0.25">
      <c r="H372" s="137"/>
      <c r="I372" s="146"/>
      <c r="J372" s="147"/>
      <c r="K372" s="148"/>
    </row>
    <row r="373" spans="8:11" x14ac:dyDescent="0.25">
      <c r="H373" s="137"/>
      <c r="I373" s="146"/>
      <c r="J373" s="147"/>
      <c r="K373" s="148"/>
    </row>
    <row r="374" spans="8:11" x14ac:dyDescent="0.25">
      <c r="H374" s="137"/>
      <c r="I374" s="146"/>
      <c r="J374" s="147"/>
      <c r="K374" s="148"/>
    </row>
    <row r="375" spans="8:11" x14ac:dyDescent="0.25">
      <c r="H375" s="137"/>
      <c r="I375" s="146"/>
      <c r="J375" s="147"/>
      <c r="K375" s="148"/>
    </row>
    <row r="376" spans="8:11" x14ac:dyDescent="0.25">
      <c r="H376" s="137"/>
      <c r="I376" s="146"/>
      <c r="J376" s="147"/>
      <c r="K376" s="148"/>
    </row>
    <row r="377" spans="8:11" x14ac:dyDescent="0.25">
      <c r="H377" s="137"/>
      <c r="I377" s="146"/>
      <c r="J377" s="147"/>
      <c r="K377" s="148"/>
    </row>
    <row r="378" spans="8:11" x14ac:dyDescent="0.25">
      <c r="H378" s="137"/>
      <c r="I378" s="146"/>
      <c r="J378" s="147"/>
      <c r="K378" s="148"/>
    </row>
    <row r="379" spans="8:11" x14ac:dyDescent="0.25">
      <c r="H379" s="137"/>
      <c r="I379" s="146"/>
      <c r="J379" s="147"/>
      <c r="K379" s="148"/>
    </row>
    <row r="380" spans="8:11" x14ac:dyDescent="0.25">
      <c r="H380" s="137"/>
      <c r="I380" s="146"/>
      <c r="J380" s="147"/>
      <c r="K380" s="148"/>
    </row>
    <row r="381" spans="8:11" x14ac:dyDescent="0.25">
      <c r="H381" s="137"/>
      <c r="I381" s="146"/>
      <c r="J381" s="147"/>
      <c r="K381" s="148"/>
    </row>
    <row r="382" spans="8:11" x14ac:dyDescent="0.25">
      <c r="H382" s="137"/>
      <c r="I382" s="146"/>
      <c r="J382" s="147"/>
      <c r="K382" s="148"/>
    </row>
    <row r="383" spans="8:11" x14ac:dyDescent="0.25">
      <c r="H383" s="137"/>
      <c r="I383" s="146"/>
      <c r="J383" s="147"/>
      <c r="K383" s="148"/>
    </row>
    <row r="384" spans="8:11" x14ac:dyDescent="0.25">
      <c r="H384" s="137"/>
      <c r="I384" s="146"/>
      <c r="J384" s="147"/>
      <c r="K384" s="148"/>
    </row>
    <row r="385" spans="8:11" x14ac:dyDescent="0.25">
      <c r="H385" s="137"/>
      <c r="I385" s="146"/>
      <c r="J385" s="147"/>
      <c r="K385" s="148"/>
    </row>
    <row r="386" spans="8:11" x14ac:dyDescent="0.25">
      <c r="H386" s="137"/>
      <c r="I386" s="146"/>
      <c r="J386" s="147"/>
      <c r="K386" s="148"/>
    </row>
    <row r="387" spans="8:11" x14ac:dyDescent="0.25">
      <c r="H387" s="137"/>
      <c r="I387" s="146"/>
      <c r="J387" s="147"/>
      <c r="K387" s="148"/>
    </row>
    <row r="388" spans="8:11" x14ac:dyDescent="0.25">
      <c r="H388" s="137"/>
      <c r="I388" s="146"/>
      <c r="J388" s="147"/>
      <c r="K388" s="148"/>
    </row>
    <row r="389" spans="8:11" x14ac:dyDescent="0.25">
      <c r="H389" s="137"/>
      <c r="I389" s="146"/>
      <c r="J389" s="147"/>
      <c r="K389" s="148"/>
    </row>
    <row r="390" spans="8:11" x14ac:dyDescent="0.25">
      <c r="H390" s="137"/>
      <c r="I390" s="146"/>
      <c r="J390" s="147"/>
      <c r="K390" s="148"/>
    </row>
    <row r="391" spans="8:11" x14ac:dyDescent="0.25">
      <c r="H391" s="137"/>
      <c r="I391" s="146"/>
      <c r="J391" s="147"/>
      <c r="K391" s="148"/>
    </row>
    <row r="392" spans="8:11" x14ac:dyDescent="0.25">
      <c r="H392" s="137"/>
      <c r="I392" s="146"/>
      <c r="J392" s="147"/>
      <c r="K392" s="148"/>
    </row>
    <row r="393" spans="8:11" x14ac:dyDescent="0.25">
      <c r="H393" s="137"/>
      <c r="I393" s="146"/>
      <c r="J393" s="147"/>
      <c r="K393" s="148"/>
    </row>
    <row r="394" spans="8:11" x14ac:dyDescent="0.25">
      <c r="H394" s="137"/>
      <c r="I394" s="146"/>
      <c r="J394" s="147"/>
      <c r="K394" s="148"/>
    </row>
    <row r="395" spans="8:11" x14ac:dyDescent="0.25">
      <c r="H395" s="137"/>
      <c r="I395" s="146"/>
      <c r="J395" s="147"/>
      <c r="K395" s="148"/>
    </row>
    <row r="396" spans="8:11" x14ac:dyDescent="0.25">
      <c r="H396" s="137"/>
      <c r="I396" s="146"/>
      <c r="J396" s="147"/>
      <c r="K396" s="148"/>
    </row>
    <row r="397" spans="8:11" x14ac:dyDescent="0.25">
      <c r="H397" s="137"/>
      <c r="I397" s="146"/>
      <c r="J397" s="147"/>
      <c r="K397" s="148"/>
    </row>
    <row r="398" spans="8:11" x14ac:dyDescent="0.25">
      <c r="H398" s="137"/>
      <c r="I398" s="146"/>
      <c r="J398" s="147"/>
      <c r="K398" s="148"/>
    </row>
    <row r="399" spans="8:11" x14ac:dyDescent="0.25">
      <c r="H399" s="137"/>
      <c r="I399" s="146"/>
      <c r="J399" s="147"/>
      <c r="K399" s="148"/>
    </row>
    <row r="400" spans="8:11" x14ac:dyDescent="0.25">
      <c r="H400" s="137"/>
      <c r="I400" s="146"/>
      <c r="J400" s="147"/>
      <c r="K400" s="148"/>
    </row>
    <row r="401" spans="8:11" x14ac:dyDescent="0.25">
      <c r="H401" s="137"/>
      <c r="I401" s="146"/>
      <c r="J401" s="147"/>
      <c r="K401" s="148"/>
    </row>
    <row r="402" spans="8:11" x14ac:dyDescent="0.25">
      <c r="H402" s="137"/>
      <c r="I402" s="146"/>
      <c r="J402" s="147"/>
      <c r="K402" s="148"/>
    </row>
    <row r="403" spans="8:11" x14ac:dyDescent="0.25">
      <c r="H403" s="137"/>
      <c r="I403" s="146"/>
      <c r="J403" s="147"/>
      <c r="K403" s="148"/>
    </row>
    <row r="404" spans="8:11" x14ac:dyDescent="0.25">
      <c r="H404" s="137"/>
      <c r="I404" s="146"/>
      <c r="J404" s="147"/>
      <c r="K404" s="148"/>
    </row>
    <row r="405" spans="8:11" x14ac:dyDescent="0.25">
      <c r="H405" s="137"/>
      <c r="I405" s="146"/>
      <c r="J405" s="147"/>
      <c r="K405" s="148"/>
    </row>
    <row r="406" spans="8:11" x14ac:dyDescent="0.25">
      <c r="H406" s="137"/>
      <c r="I406" s="146"/>
      <c r="J406" s="147"/>
      <c r="K406" s="148"/>
    </row>
    <row r="407" spans="8:11" x14ac:dyDescent="0.25">
      <c r="H407" s="137"/>
      <c r="I407" s="146"/>
      <c r="J407" s="147"/>
      <c r="K407" s="148"/>
    </row>
    <row r="408" spans="8:11" x14ac:dyDescent="0.25">
      <c r="H408" s="137"/>
      <c r="I408" s="146"/>
      <c r="J408" s="147"/>
      <c r="K408" s="148"/>
    </row>
    <row r="409" spans="8:11" x14ac:dyDescent="0.25">
      <c r="H409" s="137"/>
      <c r="I409" s="146"/>
      <c r="J409" s="147"/>
      <c r="K409" s="148"/>
    </row>
    <row r="410" spans="8:11" x14ac:dyDescent="0.25">
      <c r="H410" s="137"/>
      <c r="I410" s="146"/>
      <c r="J410" s="147"/>
      <c r="K410" s="148"/>
    </row>
    <row r="411" spans="8:11" x14ac:dyDescent="0.25">
      <c r="H411" s="137"/>
      <c r="I411" s="146"/>
      <c r="J411" s="147"/>
      <c r="K411" s="148"/>
    </row>
    <row r="412" spans="8:11" x14ac:dyDescent="0.25">
      <c r="H412" s="137"/>
      <c r="I412" s="146"/>
      <c r="J412" s="147"/>
      <c r="K412" s="148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pageSetUpPr fitToPage="1"/>
  </sheetPr>
  <dimension ref="A1:V190"/>
  <sheetViews>
    <sheetView zoomScaleNormal="100" workbookViewId="0">
      <pane ySplit="5" topLeftCell="A145" activePane="bottomLeft" state="frozen"/>
      <selection sqref="A1:XFD1048576"/>
      <selection pane="bottomLeft" activeCell="A7" sqref="A7:XFD159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0.7109375" style="136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46" customWidth="1"/>
    <col min="10" max="10" width="11.7109375" style="147" customWidth="1"/>
    <col min="11" max="11" width="9.140625" style="148"/>
    <col min="12" max="14" width="9.140625" style="120"/>
    <col min="15" max="22" width="9.140625" style="142"/>
    <col min="23" max="16384" width="9.140625" style="120"/>
  </cols>
  <sheetData>
    <row r="1" spans="1:14" ht="12.75" x14ac:dyDescent="0.2">
      <c r="A1" s="502" t="s">
        <v>104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2400000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237185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57" customHeight="1" x14ac:dyDescent="0.25">
      <c r="B5" s="122"/>
      <c r="H5" s="124" t="s">
        <v>99</v>
      </c>
      <c r="I5" s="143" t="s">
        <v>100</v>
      </c>
      <c r="J5" s="144" t="s">
        <v>101</v>
      </c>
      <c r="K5" s="127" t="s">
        <v>372</v>
      </c>
      <c r="L5" s="128"/>
      <c r="M5" s="128"/>
      <c r="N5" s="128"/>
    </row>
    <row r="6" spans="1:14" x14ac:dyDescent="0.25">
      <c r="B6" s="122"/>
      <c r="H6" s="124"/>
      <c r="I6" s="143"/>
      <c r="J6" s="144"/>
      <c r="K6" s="145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0.4</v>
      </c>
      <c r="F7" s="130">
        <f t="shared" ref="F7:F16" si="0">ROUND(D7/100*$A$3/365,6)</f>
        <v>26.301369999999999</v>
      </c>
    </row>
    <row r="8" spans="1:14" hidden="1" x14ac:dyDescent="0.25">
      <c r="B8" s="122">
        <f t="shared" ref="B8:B66" si="1">B7+1</f>
        <v>41396</v>
      </c>
      <c r="D8" s="136">
        <v>0.4</v>
      </c>
      <c r="F8" s="130">
        <f t="shared" si="0"/>
        <v>26.301369999999999</v>
      </c>
    </row>
    <row r="9" spans="1:14" hidden="1" x14ac:dyDescent="0.25">
      <c r="B9" s="122">
        <f t="shared" si="1"/>
        <v>41397</v>
      </c>
      <c r="D9" s="136">
        <v>0.4</v>
      </c>
      <c r="F9" s="130">
        <f t="shared" si="0"/>
        <v>26.301369999999999</v>
      </c>
    </row>
    <row r="10" spans="1:14" hidden="1" x14ac:dyDescent="0.25">
      <c r="B10" s="122">
        <f t="shared" si="1"/>
        <v>41398</v>
      </c>
      <c r="D10" s="136">
        <v>0.4</v>
      </c>
      <c r="F10" s="130">
        <f t="shared" si="0"/>
        <v>26.301369999999999</v>
      </c>
    </row>
    <row r="11" spans="1:14" hidden="1" x14ac:dyDescent="0.25">
      <c r="B11" s="122">
        <f t="shared" si="1"/>
        <v>41399</v>
      </c>
      <c r="D11" s="136">
        <v>0.4</v>
      </c>
      <c r="F11" s="130">
        <f t="shared" si="0"/>
        <v>26.301369999999999</v>
      </c>
    </row>
    <row r="12" spans="1:14" hidden="1" x14ac:dyDescent="0.25">
      <c r="B12" s="122">
        <f t="shared" si="1"/>
        <v>41400</v>
      </c>
      <c r="D12" s="136">
        <v>0.4</v>
      </c>
      <c r="F12" s="130">
        <f t="shared" si="0"/>
        <v>26.301369999999999</v>
      </c>
    </row>
    <row r="13" spans="1:14" hidden="1" x14ac:dyDescent="0.25">
      <c r="B13" s="122">
        <f t="shared" si="1"/>
        <v>41401</v>
      </c>
      <c r="D13" s="136">
        <v>0.4</v>
      </c>
      <c r="F13" s="130">
        <f t="shared" si="0"/>
        <v>26.301369999999999</v>
      </c>
    </row>
    <row r="14" spans="1:14" hidden="1" x14ac:dyDescent="0.25">
      <c r="B14" s="122">
        <f t="shared" si="1"/>
        <v>41402</v>
      </c>
      <c r="D14" s="136">
        <v>0.4</v>
      </c>
      <c r="F14" s="130">
        <f t="shared" si="0"/>
        <v>26.301369999999999</v>
      </c>
    </row>
    <row r="15" spans="1:14" hidden="1" x14ac:dyDescent="0.25">
      <c r="B15" s="122">
        <f t="shared" si="1"/>
        <v>41403</v>
      </c>
      <c r="D15" s="136">
        <v>0.4</v>
      </c>
      <c r="F15" s="130">
        <f t="shared" si="0"/>
        <v>26.301369999999999</v>
      </c>
    </row>
    <row r="16" spans="1:14" hidden="1" x14ac:dyDescent="0.25">
      <c r="B16" s="122">
        <f t="shared" si="1"/>
        <v>41404</v>
      </c>
      <c r="D16" s="136">
        <v>0.4</v>
      </c>
      <c r="F16" s="130">
        <f t="shared" si="0"/>
        <v>26.301369999999999</v>
      </c>
    </row>
    <row r="17" spans="2:6" hidden="1" x14ac:dyDescent="0.25">
      <c r="B17" s="122">
        <f t="shared" si="1"/>
        <v>41405</v>
      </c>
      <c r="D17" s="136">
        <v>0.4</v>
      </c>
      <c r="F17" s="130">
        <f t="shared" ref="F17:F80" si="2">ROUND(D17/100*$A$3/365,6)</f>
        <v>26.301369999999999</v>
      </c>
    </row>
    <row r="18" spans="2:6" hidden="1" x14ac:dyDescent="0.25">
      <c r="B18" s="122">
        <f t="shared" si="1"/>
        <v>41406</v>
      </c>
      <c r="D18" s="136">
        <v>0.4</v>
      </c>
      <c r="F18" s="130">
        <f t="shared" si="2"/>
        <v>26.301369999999999</v>
      </c>
    </row>
    <row r="19" spans="2:6" hidden="1" x14ac:dyDescent="0.25">
      <c r="B19" s="122">
        <f t="shared" si="1"/>
        <v>41407</v>
      </c>
      <c r="D19" s="136">
        <v>0.4</v>
      </c>
      <c r="F19" s="130">
        <f t="shared" si="2"/>
        <v>26.301369999999999</v>
      </c>
    </row>
    <row r="20" spans="2:6" hidden="1" x14ac:dyDescent="0.25">
      <c r="B20" s="122">
        <f t="shared" si="1"/>
        <v>41408</v>
      </c>
      <c r="D20" s="136">
        <v>0.4</v>
      </c>
      <c r="F20" s="130">
        <f t="shared" si="2"/>
        <v>26.301369999999999</v>
      </c>
    </row>
    <row r="21" spans="2:6" hidden="1" x14ac:dyDescent="0.25">
      <c r="B21" s="122">
        <f t="shared" si="1"/>
        <v>41409</v>
      </c>
      <c r="D21" s="136">
        <v>0.4</v>
      </c>
      <c r="F21" s="130">
        <f t="shared" si="2"/>
        <v>26.301369999999999</v>
      </c>
    </row>
    <row r="22" spans="2:6" hidden="1" x14ac:dyDescent="0.25">
      <c r="B22" s="122">
        <f t="shared" si="1"/>
        <v>41410</v>
      </c>
      <c r="D22" s="136">
        <v>0.4</v>
      </c>
      <c r="F22" s="130">
        <f t="shared" si="2"/>
        <v>26.301369999999999</v>
      </c>
    </row>
    <row r="23" spans="2:6" hidden="1" x14ac:dyDescent="0.25">
      <c r="B23" s="122">
        <f t="shared" si="1"/>
        <v>41411</v>
      </c>
      <c r="D23" s="136">
        <v>0.4</v>
      </c>
      <c r="F23" s="130">
        <f t="shared" si="2"/>
        <v>26.301369999999999</v>
      </c>
    </row>
    <row r="24" spans="2:6" hidden="1" x14ac:dyDescent="0.25">
      <c r="B24" s="122">
        <f t="shared" si="1"/>
        <v>41412</v>
      </c>
      <c r="D24" s="136">
        <v>0.4</v>
      </c>
      <c r="F24" s="130">
        <f t="shared" si="2"/>
        <v>26.301369999999999</v>
      </c>
    </row>
    <row r="25" spans="2:6" hidden="1" x14ac:dyDescent="0.25">
      <c r="B25" s="122">
        <f t="shared" si="1"/>
        <v>41413</v>
      </c>
      <c r="D25" s="136">
        <v>0.4</v>
      </c>
      <c r="F25" s="130">
        <f t="shared" si="2"/>
        <v>26.301369999999999</v>
      </c>
    </row>
    <row r="26" spans="2:6" hidden="1" x14ac:dyDescent="0.25">
      <c r="B26" s="122">
        <f t="shared" si="1"/>
        <v>41414</v>
      </c>
      <c r="D26" s="136">
        <v>0.4</v>
      </c>
      <c r="F26" s="130">
        <f t="shared" si="2"/>
        <v>26.301369999999999</v>
      </c>
    </row>
    <row r="27" spans="2:6" hidden="1" x14ac:dyDescent="0.25">
      <c r="B27" s="122">
        <f t="shared" si="1"/>
        <v>41415</v>
      </c>
      <c r="D27" s="136">
        <v>0.4</v>
      </c>
      <c r="F27" s="130">
        <f t="shared" si="2"/>
        <v>26.301369999999999</v>
      </c>
    </row>
    <row r="28" spans="2:6" hidden="1" x14ac:dyDescent="0.25">
      <c r="B28" s="122">
        <f t="shared" si="1"/>
        <v>41416</v>
      </c>
      <c r="D28" s="136">
        <v>0.4</v>
      </c>
      <c r="F28" s="130">
        <f t="shared" si="2"/>
        <v>26.301369999999999</v>
      </c>
    </row>
    <row r="29" spans="2:6" hidden="1" x14ac:dyDescent="0.25">
      <c r="B29" s="122">
        <f t="shared" si="1"/>
        <v>41417</v>
      </c>
      <c r="D29" s="136">
        <v>0.4</v>
      </c>
      <c r="F29" s="130">
        <f t="shared" si="2"/>
        <v>26.301369999999999</v>
      </c>
    </row>
    <row r="30" spans="2:6" hidden="1" x14ac:dyDescent="0.25">
      <c r="B30" s="122">
        <f t="shared" si="1"/>
        <v>41418</v>
      </c>
      <c r="D30" s="136">
        <v>0.4</v>
      </c>
      <c r="F30" s="130">
        <f t="shared" si="2"/>
        <v>26.301369999999999</v>
      </c>
    </row>
    <row r="31" spans="2:6" hidden="1" x14ac:dyDescent="0.25">
      <c r="B31" s="122">
        <f t="shared" si="1"/>
        <v>41419</v>
      </c>
      <c r="D31" s="136">
        <v>0.4</v>
      </c>
      <c r="F31" s="130">
        <f t="shared" si="2"/>
        <v>26.301369999999999</v>
      </c>
    </row>
    <row r="32" spans="2:6" hidden="1" x14ac:dyDescent="0.25">
      <c r="B32" s="122">
        <f t="shared" si="1"/>
        <v>41420</v>
      </c>
      <c r="D32" s="136">
        <v>0.4</v>
      </c>
      <c r="F32" s="130">
        <f t="shared" si="2"/>
        <v>26.301369999999999</v>
      </c>
    </row>
    <row r="33" spans="1:11" hidden="1" x14ac:dyDescent="0.25">
      <c r="B33" s="122">
        <f t="shared" si="1"/>
        <v>41421</v>
      </c>
      <c r="D33" s="136">
        <v>0.4</v>
      </c>
      <c r="F33" s="130">
        <f t="shared" si="2"/>
        <v>26.301369999999999</v>
      </c>
    </row>
    <row r="34" spans="1:11" hidden="1" x14ac:dyDescent="0.25">
      <c r="B34" s="122">
        <f t="shared" si="1"/>
        <v>41422</v>
      </c>
      <c r="D34" s="136">
        <v>0.4</v>
      </c>
      <c r="F34" s="130">
        <f t="shared" si="2"/>
        <v>26.301369999999999</v>
      </c>
    </row>
    <row r="35" spans="1:11" hidden="1" x14ac:dyDescent="0.25">
      <c r="B35" s="122">
        <f t="shared" si="1"/>
        <v>41423</v>
      </c>
      <c r="D35" s="136">
        <v>0.4</v>
      </c>
      <c r="F35" s="130">
        <f t="shared" si="2"/>
        <v>26.301369999999999</v>
      </c>
    </row>
    <row r="36" spans="1:11" hidden="1" x14ac:dyDescent="0.25">
      <c r="B36" s="122">
        <f t="shared" si="1"/>
        <v>41424</v>
      </c>
      <c r="D36" s="136">
        <v>0.4</v>
      </c>
      <c r="F36" s="130">
        <f t="shared" si="2"/>
        <v>26.301369999999999</v>
      </c>
    </row>
    <row r="37" spans="1:11" hidden="1" x14ac:dyDescent="0.25">
      <c r="B37" s="122">
        <f t="shared" si="1"/>
        <v>41425</v>
      </c>
      <c r="D37" s="136">
        <v>0.4</v>
      </c>
      <c r="F37" s="130">
        <f t="shared" si="2"/>
        <v>26.301369999999999</v>
      </c>
      <c r="H37" s="133">
        <f>SUM(F7:F37)</f>
        <v>815.34247000000039</v>
      </c>
      <c r="I37" s="149">
        <f>AVERAGE(D7:D37)</f>
        <v>0.40000000000000019</v>
      </c>
      <c r="J37" s="150">
        <f>AVERAGE(D7:D37)</f>
        <v>0.40000000000000019</v>
      </c>
      <c r="K37" s="148">
        <f>AVERAGE(D7:D37)</f>
        <v>0.40000000000000019</v>
      </c>
    </row>
    <row r="38" spans="1:11" hidden="1" x14ac:dyDescent="0.25">
      <c r="A38" s="121">
        <v>41426</v>
      </c>
      <c r="B38" s="122">
        <f t="shared" si="1"/>
        <v>41426</v>
      </c>
      <c r="D38" s="136">
        <v>0.4</v>
      </c>
      <c r="F38" s="130">
        <f t="shared" si="2"/>
        <v>26.301369999999999</v>
      </c>
    </row>
    <row r="39" spans="1:11" hidden="1" x14ac:dyDescent="0.25">
      <c r="B39" s="122">
        <f t="shared" si="1"/>
        <v>41427</v>
      </c>
      <c r="D39" s="136">
        <v>0.4</v>
      </c>
      <c r="F39" s="130">
        <f t="shared" si="2"/>
        <v>26.301369999999999</v>
      </c>
    </row>
    <row r="40" spans="1:11" hidden="1" x14ac:dyDescent="0.25">
      <c r="B40" s="122">
        <f t="shared" si="1"/>
        <v>41428</v>
      </c>
      <c r="D40" s="136">
        <v>0.4</v>
      </c>
      <c r="F40" s="130">
        <f t="shared" si="2"/>
        <v>26.301369999999999</v>
      </c>
    </row>
    <row r="41" spans="1:11" hidden="1" x14ac:dyDescent="0.25">
      <c r="B41" s="122">
        <f t="shared" si="1"/>
        <v>41429</v>
      </c>
      <c r="D41" s="136">
        <v>0.4</v>
      </c>
      <c r="F41" s="130">
        <f t="shared" si="2"/>
        <v>26.301369999999999</v>
      </c>
    </row>
    <row r="42" spans="1:11" hidden="1" x14ac:dyDescent="0.25">
      <c r="B42" s="122">
        <f t="shared" si="1"/>
        <v>41430</v>
      </c>
      <c r="D42" s="136">
        <v>0.4</v>
      </c>
      <c r="F42" s="130">
        <f t="shared" si="2"/>
        <v>26.301369999999999</v>
      </c>
    </row>
    <row r="43" spans="1:11" hidden="1" x14ac:dyDescent="0.25">
      <c r="B43" s="122">
        <f t="shared" si="1"/>
        <v>41431</v>
      </c>
      <c r="D43" s="136">
        <v>0.4</v>
      </c>
      <c r="F43" s="130">
        <f t="shared" si="2"/>
        <v>26.301369999999999</v>
      </c>
    </row>
    <row r="44" spans="1:11" hidden="1" x14ac:dyDescent="0.25">
      <c r="B44" s="122">
        <f t="shared" si="1"/>
        <v>41432</v>
      </c>
      <c r="D44" s="136">
        <v>0.4</v>
      </c>
      <c r="F44" s="130">
        <f t="shared" si="2"/>
        <v>26.301369999999999</v>
      </c>
    </row>
    <row r="45" spans="1:11" hidden="1" x14ac:dyDescent="0.25">
      <c r="B45" s="122">
        <f t="shared" si="1"/>
        <v>41433</v>
      </c>
      <c r="D45" s="136">
        <v>0.4</v>
      </c>
      <c r="F45" s="130">
        <f t="shared" si="2"/>
        <v>26.301369999999999</v>
      </c>
    </row>
    <row r="46" spans="1:11" hidden="1" x14ac:dyDescent="0.25">
      <c r="B46" s="122">
        <f t="shared" si="1"/>
        <v>41434</v>
      </c>
      <c r="D46" s="136">
        <v>0.4</v>
      </c>
      <c r="F46" s="130">
        <f t="shared" si="2"/>
        <v>26.301369999999999</v>
      </c>
    </row>
    <row r="47" spans="1:11" hidden="1" x14ac:dyDescent="0.25">
      <c r="B47" s="122">
        <f t="shared" si="1"/>
        <v>41435</v>
      </c>
      <c r="D47" s="136">
        <v>0.4</v>
      </c>
      <c r="F47" s="130">
        <f t="shared" si="2"/>
        <v>26.301369999999999</v>
      </c>
    </row>
    <row r="48" spans="1:11" hidden="1" x14ac:dyDescent="0.25">
      <c r="B48" s="122">
        <f t="shared" si="1"/>
        <v>41436</v>
      </c>
      <c r="D48" s="136">
        <v>0.4</v>
      </c>
      <c r="F48" s="130">
        <f t="shared" si="2"/>
        <v>26.301369999999999</v>
      </c>
    </row>
    <row r="49" spans="2:6" hidden="1" x14ac:dyDescent="0.25">
      <c r="B49" s="122">
        <f t="shared" si="1"/>
        <v>41437</v>
      </c>
      <c r="D49" s="136">
        <v>0.4</v>
      </c>
      <c r="F49" s="130">
        <f t="shared" si="2"/>
        <v>26.301369999999999</v>
      </c>
    </row>
    <row r="50" spans="2:6" hidden="1" x14ac:dyDescent="0.25">
      <c r="B50" s="122">
        <f t="shared" si="1"/>
        <v>41438</v>
      </c>
      <c r="D50" s="136">
        <v>0.4</v>
      </c>
      <c r="F50" s="130">
        <f t="shared" si="2"/>
        <v>26.301369999999999</v>
      </c>
    </row>
    <row r="51" spans="2:6" hidden="1" x14ac:dyDescent="0.25">
      <c r="B51" s="122">
        <f t="shared" si="1"/>
        <v>41439</v>
      </c>
      <c r="D51" s="136">
        <v>0.4</v>
      </c>
      <c r="F51" s="130">
        <f t="shared" si="2"/>
        <v>26.301369999999999</v>
      </c>
    </row>
    <row r="52" spans="2:6" hidden="1" x14ac:dyDescent="0.25">
      <c r="B52" s="122">
        <f t="shared" si="1"/>
        <v>41440</v>
      </c>
      <c r="D52" s="136">
        <v>0.4</v>
      </c>
      <c r="F52" s="130">
        <f t="shared" si="2"/>
        <v>26.301369999999999</v>
      </c>
    </row>
    <row r="53" spans="2:6" hidden="1" x14ac:dyDescent="0.25">
      <c r="B53" s="122">
        <f t="shared" si="1"/>
        <v>41441</v>
      </c>
      <c r="D53" s="136">
        <v>0.4</v>
      </c>
      <c r="F53" s="130">
        <f t="shared" si="2"/>
        <v>26.301369999999999</v>
      </c>
    </row>
    <row r="54" spans="2:6" hidden="1" x14ac:dyDescent="0.25">
      <c r="B54" s="122">
        <f t="shared" si="1"/>
        <v>41442</v>
      </c>
      <c r="D54" s="136">
        <v>0.4</v>
      </c>
      <c r="F54" s="130">
        <f t="shared" si="2"/>
        <v>26.301369999999999</v>
      </c>
    </row>
    <row r="55" spans="2:6" hidden="1" x14ac:dyDescent="0.25">
      <c r="B55" s="122">
        <f t="shared" si="1"/>
        <v>41443</v>
      </c>
      <c r="D55" s="136">
        <v>0.4</v>
      </c>
      <c r="F55" s="130">
        <f t="shared" si="2"/>
        <v>26.301369999999999</v>
      </c>
    </row>
    <row r="56" spans="2:6" hidden="1" x14ac:dyDescent="0.25">
      <c r="B56" s="122">
        <f t="shared" si="1"/>
        <v>41444</v>
      </c>
      <c r="D56" s="136">
        <v>0.4</v>
      </c>
      <c r="F56" s="130">
        <f t="shared" si="2"/>
        <v>26.301369999999999</v>
      </c>
    </row>
    <row r="57" spans="2:6" hidden="1" x14ac:dyDescent="0.25">
      <c r="B57" s="122">
        <f t="shared" si="1"/>
        <v>41445</v>
      </c>
      <c r="D57" s="136">
        <v>0.4</v>
      </c>
      <c r="F57" s="130">
        <f t="shared" si="2"/>
        <v>26.301369999999999</v>
      </c>
    </row>
    <row r="58" spans="2:6" hidden="1" x14ac:dyDescent="0.25">
      <c r="B58" s="122">
        <f t="shared" si="1"/>
        <v>41446</v>
      </c>
      <c r="D58" s="136">
        <v>0.4</v>
      </c>
      <c r="F58" s="130">
        <f t="shared" si="2"/>
        <v>26.301369999999999</v>
      </c>
    </row>
    <row r="59" spans="2:6" hidden="1" x14ac:dyDescent="0.25">
      <c r="B59" s="122">
        <f t="shared" si="1"/>
        <v>41447</v>
      </c>
      <c r="D59" s="136">
        <v>0.4</v>
      </c>
      <c r="F59" s="130">
        <f t="shared" si="2"/>
        <v>26.301369999999999</v>
      </c>
    </row>
    <row r="60" spans="2:6" hidden="1" x14ac:dyDescent="0.25">
      <c r="B60" s="122">
        <f t="shared" si="1"/>
        <v>41448</v>
      </c>
      <c r="D60" s="136">
        <v>0.4</v>
      </c>
      <c r="F60" s="130">
        <f t="shared" si="2"/>
        <v>26.301369999999999</v>
      </c>
    </row>
    <row r="61" spans="2:6" hidden="1" x14ac:dyDescent="0.25">
      <c r="B61" s="122">
        <f t="shared" si="1"/>
        <v>41449</v>
      </c>
      <c r="D61" s="136">
        <v>0.4</v>
      </c>
      <c r="F61" s="130">
        <f t="shared" si="2"/>
        <v>26.301369999999999</v>
      </c>
    </row>
    <row r="62" spans="2:6" hidden="1" x14ac:dyDescent="0.25">
      <c r="B62" s="122">
        <f t="shared" si="1"/>
        <v>41450</v>
      </c>
      <c r="D62" s="136">
        <v>0.4</v>
      </c>
      <c r="F62" s="130">
        <f t="shared" si="2"/>
        <v>26.301369999999999</v>
      </c>
    </row>
    <row r="63" spans="2:6" hidden="1" x14ac:dyDescent="0.25">
      <c r="B63" s="122">
        <f t="shared" si="1"/>
        <v>41451</v>
      </c>
      <c r="D63" s="136">
        <v>0.4</v>
      </c>
      <c r="F63" s="130">
        <f t="shared" si="2"/>
        <v>26.301369999999999</v>
      </c>
    </row>
    <row r="64" spans="2:6" hidden="1" x14ac:dyDescent="0.25">
      <c r="B64" s="122">
        <f t="shared" si="1"/>
        <v>41452</v>
      </c>
      <c r="D64" s="136">
        <v>0.4</v>
      </c>
      <c r="F64" s="130">
        <f t="shared" si="2"/>
        <v>26.301369999999999</v>
      </c>
    </row>
    <row r="65" spans="1:11" hidden="1" x14ac:dyDescent="0.25">
      <c r="B65" s="122">
        <f t="shared" si="1"/>
        <v>41453</v>
      </c>
      <c r="D65" s="136">
        <v>0.4</v>
      </c>
      <c r="F65" s="130">
        <f t="shared" si="2"/>
        <v>26.301369999999999</v>
      </c>
    </row>
    <row r="66" spans="1:11" hidden="1" x14ac:dyDescent="0.25">
      <c r="B66" s="122">
        <f t="shared" si="1"/>
        <v>41454</v>
      </c>
      <c r="D66" s="136">
        <v>0.4</v>
      </c>
      <c r="F66" s="130">
        <f t="shared" si="2"/>
        <v>26.301369999999999</v>
      </c>
    </row>
    <row r="67" spans="1:11" hidden="1" x14ac:dyDescent="0.25">
      <c r="B67" s="122">
        <f t="shared" ref="B67:B130" si="3">B66+1</f>
        <v>41455</v>
      </c>
      <c r="D67" s="136">
        <v>0.4</v>
      </c>
      <c r="F67" s="130">
        <f t="shared" si="2"/>
        <v>26.301369999999999</v>
      </c>
      <c r="H67" s="133">
        <f>SUM(F38:F67)</f>
        <v>789.04110000000037</v>
      </c>
      <c r="I67" s="149">
        <f>AVERAGE(D38:D67)</f>
        <v>0.40000000000000019</v>
      </c>
      <c r="J67" s="150">
        <f>AVERAGE(D7:D67)</f>
        <v>0.39999999999999963</v>
      </c>
      <c r="K67" s="148">
        <f>AVERAGE(D7:D67)</f>
        <v>0.39999999999999963</v>
      </c>
    </row>
    <row r="68" spans="1:11" hidden="1" x14ac:dyDescent="0.25">
      <c r="A68" s="121">
        <v>41456</v>
      </c>
      <c r="B68" s="122">
        <f t="shared" si="3"/>
        <v>41456</v>
      </c>
      <c r="D68" s="136">
        <v>0.4</v>
      </c>
      <c r="F68" s="130">
        <f t="shared" si="2"/>
        <v>26.301369999999999</v>
      </c>
    </row>
    <row r="69" spans="1:11" hidden="1" x14ac:dyDescent="0.25">
      <c r="B69" s="122">
        <f t="shared" si="3"/>
        <v>41457</v>
      </c>
      <c r="D69" s="136">
        <v>0.4</v>
      </c>
      <c r="F69" s="130">
        <f t="shared" si="2"/>
        <v>26.301369999999999</v>
      </c>
    </row>
    <row r="70" spans="1:11" hidden="1" x14ac:dyDescent="0.25">
      <c r="B70" s="122">
        <f t="shared" si="3"/>
        <v>41458</v>
      </c>
      <c r="D70" s="136">
        <v>0.4</v>
      </c>
      <c r="F70" s="130">
        <f t="shared" si="2"/>
        <v>26.301369999999999</v>
      </c>
    </row>
    <row r="71" spans="1:11" hidden="1" x14ac:dyDescent="0.25">
      <c r="B71" s="122">
        <f t="shared" si="3"/>
        <v>41459</v>
      </c>
      <c r="D71" s="136">
        <v>0.4</v>
      </c>
      <c r="F71" s="130">
        <f t="shared" si="2"/>
        <v>26.301369999999999</v>
      </c>
    </row>
    <row r="72" spans="1:11" hidden="1" x14ac:dyDescent="0.25">
      <c r="B72" s="122">
        <f t="shared" si="3"/>
        <v>41460</v>
      </c>
      <c r="D72" s="136">
        <v>0.4</v>
      </c>
      <c r="F72" s="130">
        <f t="shared" si="2"/>
        <v>26.301369999999999</v>
      </c>
    </row>
    <row r="73" spans="1:11" hidden="1" x14ac:dyDescent="0.25">
      <c r="B73" s="122">
        <f t="shared" si="3"/>
        <v>41461</v>
      </c>
      <c r="D73" s="136">
        <v>0.4</v>
      </c>
      <c r="F73" s="130">
        <f t="shared" si="2"/>
        <v>26.301369999999999</v>
      </c>
    </row>
    <row r="74" spans="1:11" hidden="1" x14ac:dyDescent="0.25">
      <c r="B74" s="122">
        <f t="shared" si="3"/>
        <v>41462</v>
      </c>
      <c r="D74" s="136">
        <v>0.4</v>
      </c>
      <c r="F74" s="130">
        <f t="shared" si="2"/>
        <v>26.301369999999999</v>
      </c>
    </row>
    <row r="75" spans="1:11" hidden="1" x14ac:dyDescent="0.25">
      <c r="B75" s="122">
        <f t="shared" si="3"/>
        <v>41463</v>
      </c>
      <c r="D75" s="136">
        <v>0.4</v>
      </c>
      <c r="F75" s="130">
        <f t="shared" si="2"/>
        <v>26.301369999999999</v>
      </c>
    </row>
    <row r="76" spans="1:11" hidden="1" x14ac:dyDescent="0.25">
      <c r="B76" s="122">
        <f t="shared" si="3"/>
        <v>41464</v>
      </c>
      <c r="D76" s="136">
        <v>0.4</v>
      </c>
      <c r="F76" s="130">
        <f t="shared" si="2"/>
        <v>26.301369999999999</v>
      </c>
    </row>
    <row r="77" spans="1:11" hidden="1" x14ac:dyDescent="0.25">
      <c r="B77" s="122">
        <f t="shared" si="3"/>
        <v>41465</v>
      </c>
      <c r="D77" s="136">
        <v>0.4</v>
      </c>
      <c r="F77" s="130">
        <f t="shared" si="2"/>
        <v>26.301369999999999</v>
      </c>
    </row>
    <row r="78" spans="1:11" hidden="1" x14ac:dyDescent="0.25">
      <c r="B78" s="122">
        <f t="shared" si="3"/>
        <v>41466</v>
      </c>
      <c r="D78" s="136">
        <v>0.4</v>
      </c>
      <c r="F78" s="130">
        <f t="shared" si="2"/>
        <v>26.301369999999999</v>
      </c>
    </row>
    <row r="79" spans="1:11" hidden="1" x14ac:dyDescent="0.25">
      <c r="B79" s="122">
        <f t="shared" si="3"/>
        <v>41467</v>
      </c>
      <c r="D79" s="136">
        <v>0.4</v>
      </c>
      <c r="F79" s="130">
        <f t="shared" si="2"/>
        <v>26.301369999999999</v>
      </c>
    </row>
    <row r="80" spans="1:11" hidden="1" x14ac:dyDescent="0.25">
      <c r="B80" s="122">
        <f t="shared" si="3"/>
        <v>41468</v>
      </c>
      <c r="D80" s="136">
        <v>0.4</v>
      </c>
      <c r="F80" s="130">
        <f t="shared" si="2"/>
        <v>26.301369999999999</v>
      </c>
    </row>
    <row r="81" spans="2:6" hidden="1" x14ac:dyDescent="0.25">
      <c r="B81" s="122">
        <f t="shared" si="3"/>
        <v>41469</v>
      </c>
      <c r="D81" s="136">
        <v>0.4</v>
      </c>
      <c r="F81" s="130">
        <f t="shared" ref="F81:F144" si="4">ROUND(D81/100*$A$3/365,6)</f>
        <v>26.301369999999999</v>
      </c>
    </row>
    <row r="82" spans="2:6" hidden="1" x14ac:dyDescent="0.25">
      <c r="B82" s="122">
        <f t="shared" si="3"/>
        <v>41470</v>
      </c>
      <c r="D82" s="136">
        <v>0.4</v>
      </c>
      <c r="F82" s="130">
        <f t="shared" si="4"/>
        <v>26.301369999999999</v>
      </c>
    </row>
    <row r="83" spans="2:6" hidden="1" x14ac:dyDescent="0.25">
      <c r="B83" s="122">
        <f t="shared" si="3"/>
        <v>41471</v>
      </c>
      <c r="D83" s="136">
        <v>0.4</v>
      </c>
      <c r="F83" s="130">
        <f t="shared" si="4"/>
        <v>26.301369999999999</v>
      </c>
    </row>
    <row r="84" spans="2:6" hidden="1" x14ac:dyDescent="0.25">
      <c r="B84" s="122">
        <f t="shared" si="3"/>
        <v>41472</v>
      </c>
      <c r="D84" s="136">
        <v>0.4</v>
      </c>
      <c r="F84" s="130">
        <f t="shared" si="4"/>
        <v>26.301369999999999</v>
      </c>
    </row>
    <row r="85" spans="2:6" hidden="1" x14ac:dyDescent="0.25">
      <c r="B85" s="122">
        <f t="shared" si="3"/>
        <v>41473</v>
      </c>
      <c r="D85" s="136">
        <v>0.4</v>
      </c>
      <c r="F85" s="130">
        <f t="shared" si="4"/>
        <v>26.301369999999999</v>
      </c>
    </row>
    <row r="86" spans="2:6" hidden="1" x14ac:dyDescent="0.25">
      <c r="B86" s="122">
        <f t="shared" si="3"/>
        <v>41474</v>
      </c>
      <c r="D86" s="136">
        <v>0.4</v>
      </c>
      <c r="F86" s="130">
        <f t="shared" si="4"/>
        <v>26.301369999999999</v>
      </c>
    </row>
    <row r="87" spans="2:6" hidden="1" x14ac:dyDescent="0.25">
      <c r="B87" s="122">
        <f t="shared" si="3"/>
        <v>41475</v>
      </c>
      <c r="D87" s="136">
        <v>0.4</v>
      </c>
      <c r="F87" s="130">
        <f t="shared" si="4"/>
        <v>26.301369999999999</v>
      </c>
    </row>
    <row r="88" spans="2:6" hidden="1" x14ac:dyDescent="0.25">
      <c r="B88" s="122">
        <f t="shared" si="3"/>
        <v>41476</v>
      </c>
      <c r="D88" s="136">
        <v>0.4</v>
      </c>
      <c r="F88" s="130">
        <f t="shared" si="4"/>
        <v>26.301369999999999</v>
      </c>
    </row>
    <row r="89" spans="2:6" hidden="1" x14ac:dyDescent="0.25">
      <c r="B89" s="122">
        <f t="shared" si="3"/>
        <v>41477</v>
      </c>
      <c r="D89" s="136">
        <v>0.4</v>
      </c>
      <c r="F89" s="130">
        <f t="shared" si="4"/>
        <v>26.301369999999999</v>
      </c>
    </row>
    <row r="90" spans="2:6" hidden="1" x14ac:dyDescent="0.25">
      <c r="B90" s="122">
        <f t="shared" si="3"/>
        <v>41478</v>
      </c>
      <c r="D90" s="136">
        <v>0.4</v>
      </c>
      <c r="F90" s="130">
        <f t="shared" si="4"/>
        <v>26.301369999999999</v>
      </c>
    </row>
    <row r="91" spans="2:6" hidden="1" x14ac:dyDescent="0.25">
      <c r="B91" s="122">
        <f t="shared" si="3"/>
        <v>41479</v>
      </c>
      <c r="D91" s="136">
        <v>0.4</v>
      </c>
      <c r="F91" s="130">
        <f t="shared" si="4"/>
        <v>26.301369999999999</v>
      </c>
    </row>
    <row r="92" spans="2:6" hidden="1" x14ac:dyDescent="0.25">
      <c r="B92" s="122">
        <f t="shared" si="3"/>
        <v>41480</v>
      </c>
      <c r="D92" s="136">
        <v>0.4</v>
      </c>
      <c r="F92" s="130">
        <f t="shared" si="4"/>
        <v>26.301369999999999</v>
      </c>
    </row>
    <row r="93" spans="2:6" hidden="1" x14ac:dyDescent="0.25">
      <c r="B93" s="122">
        <f t="shared" si="3"/>
        <v>41481</v>
      </c>
      <c r="D93" s="136">
        <v>0.4</v>
      </c>
      <c r="F93" s="130">
        <f t="shared" si="4"/>
        <v>26.301369999999999</v>
      </c>
    </row>
    <row r="94" spans="2:6" hidden="1" x14ac:dyDescent="0.25">
      <c r="B94" s="122">
        <f t="shared" si="3"/>
        <v>41482</v>
      </c>
      <c r="D94" s="136">
        <v>0.4</v>
      </c>
      <c r="F94" s="130">
        <f t="shared" si="4"/>
        <v>26.301369999999999</v>
      </c>
    </row>
    <row r="95" spans="2:6" hidden="1" x14ac:dyDescent="0.25">
      <c r="B95" s="122">
        <f t="shared" si="3"/>
        <v>41483</v>
      </c>
      <c r="D95" s="136">
        <v>0.4</v>
      </c>
      <c r="F95" s="130">
        <f t="shared" si="4"/>
        <v>26.301369999999999</v>
      </c>
    </row>
    <row r="96" spans="2:6" hidden="1" x14ac:dyDescent="0.25">
      <c r="B96" s="122">
        <f t="shared" si="3"/>
        <v>41484</v>
      </c>
      <c r="D96" s="136">
        <v>0.4</v>
      </c>
      <c r="F96" s="130">
        <f t="shared" si="4"/>
        <v>26.301369999999999</v>
      </c>
    </row>
    <row r="97" spans="1:11" hidden="1" x14ac:dyDescent="0.25">
      <c r="B97" s="122">
        <f t="shared" si="3"/>
        <v>41485</v>
      </c>
      <c r="D97" s="136">
        <v>0.4</v>
      </c>
      <c r="F97" s="130">
        <f t="shared" si="4"/>
        <v>26.301369999999999</v>
      </c>
    </row>
    <row r="98" spans="1:11" hidden="1" x14ac:dyDescent="0.25">
      <c r="B98" s="122">
        <f t="shared" si="3"/>
        <v>41486</v>
      </c>
      <c r="D98" s="136">
        <v>0.4</v>
      </c>
      <c r="F98" s="130">
        <f t="shared" si="4"/>
        <v>26.301369999999999</v>
      </c>
      <c r="H98" s="133">
        <f>SUM(F68:F98)</f>
        <v>815.34247000000039</v>
      </c>
      <c r="I98" s="149">
        <f>AVERAGE(D68:D98)</f>
        <v>0.40000000000000019</v>
      </c>
      <c r="J98" s="150">
        <f>AVERAGE(D7:D98)</f>
        <v>0.3999999999999993</v>
      </c>
      <c r="K98" s="148">
        <f>AVERAGE(D7:D98)</f>
        <v>0.3999999999999993</v>
      </c>
    </row>
    <row r="99" spans="1:11" hidden="1" x14ac:dyDescent="0.25">
      <c r="A99" s="121">
        <v>41487</v>
      </c>
      <c r="B99" s="122">
        <f t="shared" si="3"/>
        <v>41487</v>
      </c>
      <c r="D99" s="136">
        <v>0.4</v>
      </c>
      <c r="F99" s="130">
        <f t="shared" si="4"/>
        <v>26.301369999999999</v>
      </c>
    </row>
    <row r="100" spans="1:11" hidden="1" x14ac:dyDescent="0.25">
      <c r="B100" s="122">
        <f t="shared" si="3"/>
        <v>41488</v>
      </c>
      <c r="D100" s="136">
        <v>0.4</v>
      </c>
      <c r="F100" s="130">
        <f t="shared" si="4"/>
        <v>26.301369999999999</v>
      </c>
    </row>
    <row r="101" spans="1:11" hidden="1" x14ac:dyDescent="0.25">
      <c r="B101" s="122">
        <f t="shared" si="3"/>
        <v>41489</v>
      </c>
      <c r="D101" s="136">
        <v>0.4</v>
      </c>
      <c r="F101" s="130">
        <f t="shared" si="4"/>
        <v>26.301369999999999</v>
      </c>
    </row>
    <row r="102" spans="1:11" hidden="1" x14ac:dyDescent="0.25">
      <c r="B102" s="122">
        <f t="shared" si="3"/>
        <v>41490</v>
      </c>
      <c r="D102" s="136">
        <v>0.4</v>
      </c>
      <c r="F102" s="130">
        <f t="shared" si="4"/>
        <v>26.301369999999999</v>
      </c>
    </row>
    <row r="103" spans="1:11" hidden="1" x14ac:dyDescent="0.25">
      <c r="B103" s="122">
        <f t="shared" si="3"/>
        <v>41491</v>
      </c>
      <c r="D103" s="136">
        <v>0.4</v>
      </c>
      <c r="F103" s="130">
        <f t="shared" si="4"/>
        <v>26.301369999999999</v>
      </c>
    </row>
    <row r="104" spans="1:11" hidden="1" x14ac:dyDescent="0.25">
      <c r="B104" s="122">
        <f t="shared" si="3"/>
        <v>41492</v>
      </c>
      <c r="D104" s="136">
        <v>0.4</v>
      </c>
      <c r="F104" s="130">
        <f t="shared" si="4"/>
        <v>26.301369999999999</v>
      </c>
    </row>
    <row r="105" spans="1:11" hidden="1" x14ac:dyDescent="0.25">
      <c r="B105" s="122">
        <f t="shared" si="3"/>
        <v>41493</v>
      </c>
      <c r="D105" s="136">
        <v>0.4</v>
      </c>
      <c r="F105" s="130">
        <f t="shared" si="4"/>
        <v>26.301369999999999</v>
      </c>
    </row>
    <row r="106" spans="1:11" hidden="1" x14ac:dyDescent="0.25">
      <c r="B106" s="122">
        <f t="shared" si="3"/>
        <v>41494</v>
      </c>
      <c r="D106" s="136">
        <v>0.4</v>
      </c>
      <c r="F106" s="130">
        <f t="shared" si="4"/>
        <v>26.301369999999999</v>
      </c>
    </row>
    <row r="107" spans="1:11" hidden="1" x14ac:dyDescent="0.25">
      <c r="B107" s="122">
        <f t="shared" si="3"/>
        <v>41495</v>
      </c>
      <c r="D107" s="136">
        <v>0.4</v>
      </c>
      <c r="F107" s="130">
        <f t="shared" si="4"/>
        <v>26.301369999999999</v>
      </c>
    </row>
    <row r="108" spans="1:11" hidden="1" x14ac:dyDescent="0.25">
      <c r="B108" s="122">
        <f t="shared" si="3"/>
        <v>41496</v>
      </c>
      <c r="D108" s="136">
        <v>0.4</v>
      </c>
      <c r="F108" s="130">
        <f t="shared" si="4"/>
        <v>26.301369999999999</v>
      </c>
    </row>
    <row r="109" spans="1:11" hidden="1" x14ac:dyDescent="0.25">
      <c r="B109" s="122">
        <f t="shared" si="3"/>
        <v>41497</v>
      </c>
      <c r="D109" s="136">
        <v>0.4</v>
      </c>
      <c r="F109" s="130">
        <f t="shared" si="4"/>
        <v>26.301369999999999</v>
      </c>
    </row>
    <row r="110" spans="1:11" hidden="1" x14ac:dyDescent="0.25">
      <c r="B110" s="122">
        <f t="shared" si="3"/>
        <v>41498</v>
      </c>
      <c r="D110" s="136">
        <v>0.4</v>
      </c>
      <c r="F110" s="130">
        <f t="shared" si="4"/>
        <v>26.301369999999999</v>
      </c>
    </row>
    <row r="111" spans="1:11" hidden="1" x14ac:dyDescent="0.25">
      <c r="B111" s="122">
        <f t="shared" si="3"/>
        <v>41499</v>
      </c>
      <c r="D111" s="136">
        <v>0.4</v>
      </c>
      <c r="F111" s="130">
        <f t="shared" si="4"/>
        <v>26.301369999999999</v>
      </c>
    </row>
    <row r="112" spans="1:11" hidden="1" x14ac:dyDescent="0.25">
      <c r="B112" s="122">
        <f t="shared" si="3"/>
        <v>41500</v>
      </c>
      <c r="D112" s="136">
        <v>0.4</v>
      </c>
      <c r="F112" s="130">
        <f t="shared" si="4"/>
        <v>26.301369999999999</v>
      </c>
    </row>
    <row r="113" spans="2:6" hidden="1" x14ac:dyDescent="0.25">
      <c r="B113" s="122">
        <f t="shared" si="3"/>
        <v>41501</v>
      </c>
      <c r="D113" s="136">
        <v>0.4</v>
      </c>
      <c r="F113" s="130">
        <f t="shared" si="4"/>
        <v>26.301369999999999</v>
      </c>
    </row>
    <row r="114" spans="2:6" hidden="1" x14ac:dyDescent="0.25">
      <c r="B114" s="122">
        <f t="shared" si="3"/>
        <v>41502</v>
      </c>
      <c r="D114" s="136">
        <v>0.4</v>
      </c>
      <c r="F114" s="130">
        <f t="shared" si="4"/>
        <v>26.301369999999999</v>
      </c>
    </row>
    <row r="115" spans="2:6" hidden="1" x14ac:dyDescent="0.25">
      <c r="B115" s="122">
        <f t="shared" si="3"/>
        <v>41503</v>
      </c>
      <c r="D115" s="136">
        <v>0.4</v>
      </c>
      <c r="F115" s="130">
        <f t="shared" si="4"/>
        <v>26.301369999999999</v>
      </c>
    </row>
    <row r="116" spans="2:6" hidden="1" x14ac:dyDescent="0.25">
      <c r="B116" s="122">
        <f t="shared" si="3"/>
        <v>41504</v>
      </c>
      <c r="D116" s="136">
        <v>0.4</v>
      </c>
      <c r="F116" s="130">
        <f t="shared" si="4"/>
        <v>26.301369999999999</v>
      </c>
    </row>
    <row r="117" spans="2:6" hidden="1" x14ac:dyDescent="0.25">
      <c r="B117" s="122">
        <f t="shared" si="3"/>
        <v>41505</v>
      </c>
      <c r="D117" s="136">
        <v>0.4</v>
      </c>
      <c r="F117" s="130">
        <f t="shared" si="4"/>
        <v>26.301369999999999</v>
      </c>
    </row>
    <row r="118" spans="2:6" hidden="1" x14ac:dyDescent="0.25">
      <c r="B118" s="122">
        <f t="shared" si="3"/>
        <v>41506</v>
      </c>
      <c r="D118" s="136">
        <v>0.4</v>
      </c>
      <c r="F118" s="130">
        <f t="shared" si="4"/>
        <v>26.301369999999999</v>
      </c>
    </row>
    <row r="119" spans="2:6" hidden="1" x14ac:dyDescent="0.25">
      <c r="B119" s="122">
        <f t="shared" si="3"/>
        <v>41507</v>
      </c>
      <c r="D119" s="136">
        <v>0.4</v>
      </c>
      <c r="F119" s="130">
        <f t="shared" si="4"/>
        <v>26.301369999999999</v>
      </c>
    </row>
    <row r="120" spans="2:6" hidden="1" x14ac:dyDescent="0.25">
      <c r="B120" s="122">
        <f t="shared" si="3"/>
        <v>41508</v>
      </c>
      <c r="D120" s="136">
        <v>0.3</v>
      </c>
      <c r="F120" s="130">
        <f t="shared" si="4"/>
        <v>19.726026999999998</v>
      </c>
    </row>
    <row r="121" spans="2:6" hidden="1" x14ac:dyDescent="0.25">
      <c r="B121" s="122">
        <f t="shared" si="3"/>
        <v>41509</v>
      </c>
      <c r="D121" s="136">
        <v>0.3</v>
      </c>
      <c r="F121" s="130">
        <f t="shared" si="4"/>
        <v>19.726026999999998</v>
      </c>
    </row>
    <row r="122" spans="2:6" hidden="1" x14ac:dyDescent="0.25">
      <c r="B122" s="122">
        <f t="shared" si="3"/>
        <v>41510</v>
      </c>
      <c r="D122" s="136">
        <v>0.3</v>
      </c>
      <c r="F122" s="130">
        <f t="shared" si="4"/>
        <v>19.726026999999998</v>
      </c>
    </row>
    <row r="123" spans="2:6" hidden="1" x14ac:dyDescent="0.25">
      <c r="B123" s="122">
        <f t="shared" si="3"/>
        <v>41511</v>
      </c>
      <c r="D123" s="136">
        <v>0.3</v>
      </c>
      <c r="F123" s="130">
        <f t="shared" si="4"/>
        <v>19.726026999999998</v>
      </c>
    </row>
    <row r="124" spans="2:6" hidden="1" x14ac:dyDescent="0.25">
      <c r="B124" s="122">
        <f t="shared" si="3"/>
        <v>41512</v>
      </c>
      <c r="D124" s="136">
        <v>0.3</v>
      </c>
      <c r="F124" s="130">
        <f t="shared" si="4"/>
        <v>19.726026999999998</v>
      </c>
    </row>
    <row r="125" spans="2:6" hidden="1" x14ac:dyDescent="0.25">
      <c r="B125" s="122">
        <f t="shared" si="3"/>
        <v>41513</v>
      </c>
      <c r="D125" s="136">
        <v>0.3</v>
      </c>
      <c r="F125" s="130">
        <f t="shared" si="4"/>
        <v>19.726026999999998</v>
      </c>
    </row>
    <row r="126" spans="2:6" hidden="1" x14ac:dyDescent="0.25">
      <c r="B126" s="122">
        <f t="shared" si="3"/>
        <v>41514</v>
      </c>
      <c r="D126" s="136">
        <v>0.3</v>
      </c>
      <c r="F126" s="130">
        <f t="shared" si="4"/>
        <v>19.726026999999998</v>
      </c>
    </row>
    <row r="127" spans="2:6" hidden="1" x14ac:dyDescent="0.25">
      <c r="B127" s="122">
        <f t="shared" si="3"/>
        <v>41515</v>
      </c>
      <c r="D127" s="136">
        <v>0.3</v>
      </c>
      <c r="F127" s="130">
        <f t="shared" si="4"/>
        <v>19.726026999999998</v>
      </c>
    </row>
    <row r="128" spans="2:6" hidden="1" x14ac:dyDescent="0.25">
      <c r="B128" s="122">
        <f t="shared" si="3"/>
        <v>41516</v>
      </c>
      <c r="D128" s="136">
        <v>0.3</v>
      </c>
      <c r="F128" s="130">
        <f t="shared" si="4"/>
        <v>19.726026999999998</v>
      </c>
    </row>
    <row r="129" spans="1:11" hidden="1" x14ac:dyDescent="0.25">
      <c r="B129" s="122">
        <f t="shared" si="3"/>
        <v>41517</v>
      </c>
      <c r="D129" s="136">
        <v>0.3</v>
      </c>
      <c r="F129" s="130">
        <f t="shared" si="4"/>
        <v>19.726026999999998</v>
      </c>
      <c r="H129" s="133">
        <f>SUM(F99:F129)</f>
        <v>749.58904000000064</v>
      </c>
      <c r="I129" s="149">
        <f>AVERAGE(D99:D129)</f>
        <v>0.36774193548387124</v>
      </c>
      <c r="J129" s="150">
        <f>AVERAGE(D7:D129)</f>
        <v>0.39186991869918597</v>
      </c>
      <c r="K129" s="148">
        <f>AVERAGE(D7:D129)</f>
        <v>0.39186991869918597</v>
      </c>
    </row>
    <row r="130" spans="1:11" hidden="1" x14ac:dyDescent="0.25">
      <c r="A130" s="121">
        <v>41518</v>
      </c>
      <c r="B130" s="122">
        <f t="shared" si="3"/>
        <v>41518</v>
      </c>
      <c r="D130" s="136">
        <v>0.3</v>
      </c>
      <c r="F130" s="130">
        <f t="shared" si="4"/>
        <v>19.726026999999998</v>
      </c>
    </row>
    <row r="131" spans="1:11" hidden="1" x14ac:dyDescent="0.25">
      <c r="B131" s="122">
        <f t="shared" ref="B131:B190" si="5">B130+1</f>
        <v>41519</v>
      </c>
      <c r="D131" s="136">
        <v>0.3</v>
      </c>
      <c r="F131" s="130">
        <f t="shared" si="4"/>
        <v>19.726026999999998</v>
      </c>
    </row>
    <row r="132" spans="1:11" hidden="1" x14ac:dyDescent="0.25">
      <c r="B132" s="122">
        <f t="shared" si="5"/>
        <v>41520</v>
      </c>
      <c r="D132" s="136">
        <v>0.3</v>
      </c>
      <c r="F132" s="130">
        <f t="shared" si="4"/>
        <v>19.726026999999998</v>
      </c>
    </row>
    <row r="133" spans="1:11" hidden="1" x14ac:dyDescent="0.25">
      <c r="B133" s="122">
        <f t="shared" si="5"/>
        <v>41521</v>
      </c>
      <c r="D133" s="136">
        <v>0.3</v>
      </c>
      <c r="F133" s="130">
        <f t="shared" si="4"/>
        <v>19.726026999999998</v>
      </c>
    </row>
    <row r="134" spans="1:11" hidden="1" x14ac:dyDescent="0.25">
      <c r="B134" s="122">
        <f t="shared" si="5"/>
        <v>41522</v>
      </c>
      <c r="D134" s="136">
        <v>0.3</v>
      </c>
      <c r="F134" s="130">
        <f t="shared" si="4"/>
        <v>19.726026999999998</v>
      </c>
    </row>
    <row r="135" spans="1:11" hidden="1" x14ac:dyDescent="0.25">
      <c r="B135" s="122">
        <f t="shared" si="5"/>
        <v>41523</v>
      </c>
      <c r="D135" s="136">
        <v>0.3</v>
      </c>
      <c r="F135" s="130">
        <f t="shared" si="4"/>
        <v>19.726026999999998</v>
      </c>
    </row>
    <row r="136" spans="1:11" hidden="1" x14ac:dyDescent="0.25">
      <c r="B136" s="122">
        <f t="shared" si="5"/>
        <v>41524</v>
      </c>
      <c r="D136" s="136">
        <v>0.3</v>
      </c>
      <c r="F136" s="130">
        <f t="shared" si="4"/>
        <v>19.726026999999998</v>
      </c>
    </row>
    <row r="137" spans="1:11" hidden="1" x14ac:dyDescent="0.25">
      <c r="B137" s="122">
        <f t="shared" si="5"/>
        <v>41525</v>
      </c>
      <c r="D137" s="136">
        <v>0.3</v>
      </c>
      <c r="F137" s="130">
        <f t="shared" si="4"/>
        <v>19.726026999999998</v>
      </c>
    </row>
    <row r="138" spans="1:11" hidden="1" x14ac:dyDescent="0.25">
      <c r="B138" s="122">
        <f t="shared" si="5"/>
        <v>41526</v>
      </c>
      <c r="D138" s="136">
        <v>0.3</v>
      </c>
      <c r="F138" s="130">
        <f t="shared" si="4"/>
        <v>19.726026999999998</v>
      </c>
    </row>
    <row r="139" spans="1:11" hidden="1" x14ac:dyDescent="0.25">
      <c r="B139" s="122">
        <f t="shared" si="5"/>
        <v>41527</v>
      </c>
      <c r="D139" s="136">
        <v>0.3</v>
      </c>
      <c r="F139" s="130">
        <f t="shared" si="4"/>
        <v>19.726026999999998</v>
      </c>
    </row>
    <row r="140" spans="1:11" hidden="1" x14ac:dyDescent="0.25">
      <c r="B140" s="122">
        <f t="shared" si="5"/>
        <v>41528</v>
      </c>
      <c r="D140" s="136">
        <v>0.3</v>
      </c>
      <c r="F140" s="130">
        <f t="shared" si="4"/>
        <v>19.726026999999998</v>
      </c>
    </row>
    <row r="141" spans="1:11" hidden="1" x14ac:dyDescent="0.25">
      <c r="B141" s="122">
        <f t="shared" si="5"/>
        <v>41529</v>
      </c>
      <c r="D141" s="136">
        <v>0.3</v>
      </c>
      <c r="F141" s="130">
        <f t="shared" si="4"/>
        <v>19.726026999999998</v>
      </c>
    </row>
    <row r="142" spans="1:11" hidden="1" x14ac:dyDescent="0.25">
      <c r="B142" s="122">
        <f t="shared" si="5"/>
        <v>41530</v>
      </c>
      <c r="D142" s="136">
        <v>0.3</v>
      </c>
      <c r="F142" s="130">
        <f t="shared" si="4"/>
        <v>19.726026999999998</v>
      </c>
    </row>
    <row r="143" spans="1:11" hidden="1" x14ac:dyDescent="0.25">
      <c r="B143" s="122">
        <f t="shared" si="5"/>
        <v>41531</v>
      </c>
      <c r="D143" s="136">
        <v>0.3</v>
      </c>
      <c r="F143" s="130">
        <f t="shared" si="4"/>
        <v>19.726026999999998</v>
      </c>
    </row>
    <row r="144" spans="1:11" hidden="1" x14ac:dyDescent="0.25">
      <c r="B144" s="122">
        <f t="shared" si="5"/>
        <v>41532</v>
      </c>
      <c r="D144" s="136">
        <v>0.3</v>
      </c>
      <c r="F144" s="130">
        <f t="shared" si="4"/>
        <v>19.726026999999998</v>
      </c>
    </row>
    <row r="145" spans="1:11" hidden="1" x14ac:dyDescent="0.25">
      <c r="B145" s="122">
        <f t="shared" si="5"/>
        <v>41533</v>
      </c>
      <c r="D145" s="136">
        <v>0.3</v>
      </c>
      <c r="F145" s="130">
        <f t="shared" ref="F145:F190" si="6">ROUND(D145/100*$A$3/365,6)</f>
        <v>19.726026999999998</v>
      </c>
    </row>
    <row r="146" spans="1:11" hidden="1" x14ac:dyDescent="0.25">
      <c r="B146" s="122">
        <f t="shared" si="5"/>
        <v>41534</v>
      </c>
      <c r="D146" s="136">
        <v>0.3</v>
      </c>
      <c r="F146" s="130">
        <f t="shared" si="6"/>
        <v>19.726026999999998</v>
      </c>
    </row>
    <row r="147" spans="1:11" hidden="1" x14ac:dyDescent="0.25">
      <c r="B147" s="122">
        <f t="shared" si="5"/>
        <v>41535</v>
      </c>
      <c r="D147" s="136">
        <v>0.3</v>
      </c>
      <c r="F147" s="130">
        <f t="shared" si="6"/>
        <v>19.726026999999998</v>
      </c>
    </row>
    <row r="148" spans="1:11" hidden="1" x14ac:dyDescent="0.25">
      <c r="B148" s="122">
        <f t="shared" si="5"/>
        <v>41536</v>
      </c>
      <c r="D148" s="136">
        <v>0.3</v>
      </c>
      <c r="F148" s="130">
        <f t="shared" si="6"/>
        <v>19.726026999999998</v>
      </c>
    </row>
    <row r="149" spans="1:11" hidden="1" x14ac:dyDescent="0.25">
      <c r="B149" s="122">
        <f t="shared" si="5"/>
        <v>41537</v>
      </c>
      <c r="D149" s="136">
        <v>0.3</v>
      </c>
      <c r="F149" s="130">
        <f t="shared" si="6"/>
        <v>19.726026999999998</v>
      </c>
    </row>
    <row r="150" spans="1:11" hidden="1" x14ac:dyDescent="0.25">
      <c r="B150" s="122">
        <f t="shared" si="5"/>
        <v>41538</v>
      </c>
      <c r="D150" s="136">
        <v>0.3</v>
      </c>
      <c r="F150" s="130">
        <f t="shared" si="6"/>
        <v>19.726026999999998</v>
      </c>
    </row>
    <row r="151" spans="1:11" hidden="1" x14ac:dyDescent="0.25">
      <c r="B151" s="122">
        <f t="shared" si="5"/>
        <v>41539</v>
      </c>
      <c r="D151" s="136">
        <v>0.3</v>
      </c>
      <c r="F151" s="130">
        <f t="shared" si="6"/>
        <v>19.726026999999998</v>
      </c>
    </row>
    <row r="152" spans="1:11" hidden="1" x14ac:dyDescent="0.25">
      <c r="B152" s="122">
        <f t="shared" si="5"/>
        <v>41540</v>
      </c>
      <c r="D152" s="136">
        <v>0.3</v>
      </c>
      <c r="F152" s="130">
        <f t="shared" si="6"/>
        <v>19.726026999999998</v>
      </c>
    </row>
    <row r="153" spans="1:11" hidden="1" x14ac:dyDescent="0.25">
      <c r="B153" s="122">
        <f t="shared" si="5"/>
        <v>41541</v>
      </c>
      <c r="D153" s="136">
        <v>0.3</v>
      </c>
      <c r="F153" s="130">
        <f t="shared" si="6"/>
        <v>19.726026999999998</v>
      </c>
    </row>
    <row r="154" spans="1:11" hidden="1" x14ac:dyDescent="0.25">
      <c r="B154" s="122">
        <f t="shared" si="5"/>
        <v>41542</v>
      </c>
      <c r="D154" s="136">
        <v>0.3</v>
      </c>
      <c r="F154" s="130">
        <f t="shared" si="6"/>
        <v>19.726026999999998</v>
      </c>
    </row>
    <row r="155" spans="1:11" hidden="1" x14ac:dyDescent="0.25">
      <c r="B155" s="122">
        <f t="shared" si="5"/>
        <v>41543</v>
      </c>
      <c r="D155" s="136">
        <v>0.3</v>
      </c>
      <c r="F155" s="130">
        <f t="shared" si="6"/>
        <v>19.726026999999998</v>
      </c>
    </row>
    <row r="156" spans="1:11" hidden="1" x14ac:dyDescent="0.25">
      <c r="B156" s="122">
        <f t="shared" si="5"/>
        <v>41544</v>
      </c>
      <c r="D156" s="136">
        <v>0.3</v>
      </c>
      <c r="F156" s="130">
        <f t="shared" si="6"/>
        <v>19.726026999999998</v>
      </c>
    </row>
    <row r="157" spans="1:11" hidden="1" x14ac:dyDescent="0.25">
      <c r="B157" s="122">
        <f t="shared" si="5"/>
        <v>41545</v>
      </c>
      <c r="D157" s="136">
        <v>0.3</v>
      </c>
      <c r="F157" s="130">
        <f t="shared" si="6"/>
        <v>19.726026999999998</v>
      </c>
    </row>
    <row r="158" spans="1:11" hidden="1" x14ac:dyDescent="0.25">
      <c r="B158" s="122">
        <f t="shared" si="5"/>
        <v>41546</v>
      </c>
      <c r="D158" s="136">
        <v>0.3</v>
      </c>
      <c r="F158" s="130">
        <f t="shared" si="6"/>
        <v>19.726026999999998</v>
      </c>
    </row>
    <row r="159" spans="1:11" hidden="1" x14ac:dyDescent="0.25">
      <c r="B159" s="122">
        <f t="shared" si="5"/>
        <v>41547</v>
      </c>
      <c r="D159" s="136">
        <v>0.3</v>
      </c>
      <c r="F159" s="130">
        <f t="shared" si="6"/>
        <v>19.726026999999998</v>
      </c>
      <c r="H159" s="133">
        <f>SUM(F130:F159)</f>
        <v>591.78080999999997</v>
      </c>
      <c r="I159" s="149">
        <f>AVERAGE(D130:D159)</f>
        <v>0.3</v>
      </c>
      <c r="J159" s="150">
        <f>AVERAGE(D7:D159)</f>
        <v>0.37385620915032541</v>
      </c>
      <c r="K159" s="148">
        <f>AVERAGE(D7:D159)</f>
        <v>0.37385620915032541</v>
      </c>
    </row>
    <row r="160" spans="1:11" x14ac:dyDescent="0.25">
      <c r="A160" s="121">
        <v>41548</v>
      </c>
      <c r="B160" s="122">
        <f t="shared" si="5"/>
        <v>41548</v>
      </c>
      <c r="D160" s="136">
        <v>0.3</v>
      </c>
      <c r="F160" s="130">
        <f t="shared" si="6"/>
        <v>19.726026999999998</v>
      </c>
    </row>
    <row r="161" spans="2:6" x14ac:dyDescent="0.25">
      <c r="B161" s="122">
        <f t="shared" si="5"/>
        <v>41549</v>
      </c>
      <c r="D161" s="136">
        <v>0.3</v>
      </c>
      <c r="F161" s="130">
        <f t="shared" si="6"/>
        <v>19.726026999999998</v>
      </c>
    </row>
    <row r="162" spans="2:6" x14ac:dyDescent="0.25">
      <c r="B162" s="122">
        <f t="shared" si="5"/>
        <v>41550</v>
      </c>
      <c r="D162" s="136">
        <v>0.3</v>
      </c>
      <c r="F162" s="130">
        <f t="shared" si="6"/>
        <v>19.726026999999998</v>
      </c>
    </row>
    <row r="163" spans="2:6" x14ac:dyDescent="0.25">
      <c r="B163" s="122">
        <f t="shared" si="5"/>
        <v>41551</v>
      </c>
      <c r="D163" s="136">
        <v>0.3</v>
      </c>
      <c r="F163" s="130">
        <f t="shared" si="6"/>
        <v>19.726026999999998</v>
      </c>
    </row>
    <row r="164" spans="2:6" x14ac:dyDescent="0.25">
      <c r="B164" s="122">
        <f t="shared" si="5"/>
        <v>41552</v>
      </c>
      <c r="D164" s="136">
        <v>0.3</v>
      </c>
      <c r="F164" s="130">
        <f t="shared" si="6"/>
        <v>19.726026999999998</v>
      </c>
    </row>
    <row r="165" spans="2:6" x14ac:dyDescent="0.25">
      <c r="B165" s="122">
        <f t="shared" si="5"/>
        <v>41553</v>
      </c>
      <c r="D165" s="136">
        <v>0.3</v>
      </c>
      <c r="F165" s="130">
        <f t="shared" si="6"/>
        <v>19.726026999999998</v>
      </c>
    </row>
    <row r="166" spans="2:6" x14ac:dyDescent="0.25">
      <c r="B166" s="122">
        <f t="shared" si="5"/>
        <v>41554</v>
      </c>
      <c r="D166" s="136">
        <v>0.3</v>
      </c>
      <c r="F166" s="130">
        <f t="shared" si="6"/>
        <v>19.726026999999998</v>
      </c>
    </row>
    <row r="167" spans="2:6" x14ac:dyDescent="0.25">
      <c r="B167" s="122">
        <f t="shared" si="5"/>
        <v>41555</v>
      </c>
      <c r="D167" s="136">
        <v>0.3</v>
      </c>
      <c r="F167" s="130">
        <f t="shared" si="6"/>
        <v>19.726026999999998</v>
      </c>
    </row>
    <row r="168" spans="2:6" x14ac:dyDescent="0.25">
      <c r="B168" s="122">
        <f t="shared" si="5"/>
        <v>41556</v>
      </c>
      <c r="D168" s="136">
        <v>0.3</v>
      </c>
      <c r="F168" s="130">
        <f t="shared" si="6"/>
        <v>19.726026999999998</v>
      </c>
    </row>
    <row r="169" spans="2:6" x14ac:dyDescent="0.25">
      <c r="B169" s="122">
        <f t="shared" si="5"/>
        <v>41557</v>
      </c>
      <c r="D169" s="136">
        <v>0.3</v>
      </c>
      <c r="F169" s="130">
        <f t="shared" si="6"/>
        <v>19.726026999999998</v>
      </c>
    </row>
    <row r="170" spans="2:6" x14ac:dyDescent="0.25">
      <c r="B170" s="122">
        <f t="shared" si="5"/>
        <v>41558</v>
      </c>
      <c r="D170" s="136">
        <v>0.3</v>
      </c>
      <c r="F170" s="130">
        <f t="shared" si="6"/>
        <v>19.726026999999998</v>
      </c>
    </row>
    <row r="171" spans="2:6" x14ac:dyDescent="0.25">
      <c r="B171" s="122">
        <f t="shared" si="5"/>
        <v>41559</v>
      </c>
      <c r="D171" s="136">
        <v>0.3</v>
      </c>
      <c r="F171" s="130">
        <f t="shared" si="6"/>
        <v>19.726026999999998</v>
      </c>
    </row>
    <row r="172" spans="2:6" x14ac:dyDescent="0.25">
      <c r="B172" s="122">
        <f t="shared" si="5"/>
        <v>41560</v>
      </c>
      <c r="D172" s="136">
        <v>0.3</v>
      </c>
      <c r="F172" s="130">
        <f t="shared" si="6"/>
        <v>19.726026999999998</v>
      </c>
    </row>
    <row r="173" spans="2:6" x14ac:dyDescent="0.25">
      <c r="B173" s="122">
        <f t="shared" si="5"/>
        <v>41561</v>
      </c>
      <c r="D173" s="136">
        <v>0.3</v>
      </c>
      <c r="F173" s="130">
        <f t="shared" si="6"/>
        <v>19.726026999999998</v>
      </c>
    </row>
    <row r="174" spans="2:6" x14ac:dyDescent="0.25">
      <c r="B174" s="122">
        <f t="shared" si="5"/>
        <v>41562</v>
      </c>
      <c r="D174" s="136">
        <v>0.3</v>
      </c>
      <c r="F174" s="130">
        <f t="shared" si="6"/>
        <v>19.726026999999998</v>
      </c>
    </row>
    <row r="175" spans="2:6" x14ac:dyDescent="0.25">
      <c r="B175" s="122">
        <f t="shared" si="5"/>
        <v>41563</v>
      </c>
      <c r="D175" s="136">
        <v>0.3</v>
      </c>
      <c r="F175" s="130">
        <f t="shared" si="6"/>
        <v>19.726026999999998</v>
      </c>
    </row>
    <row r="176" spans="2:6" x14ac:dyDescent="0.25">
      <c r="B176" s="122">
        <f t="shared" si="5"/>
        <v>41564</v>
      </c>
      <c r="D176" s="136">
        <v>0.3</v>
      </c>
      <c r="F176" s="130">
        <f t="shared" si="6"/>
        <v>19.726026999999998</v>
      </c>
    </row>
    <row r="177" spans="2:11" x14ac:dyDescent="0.25">
      <c r="B177" s="122">
        <f t="shared" si="5"/>
        <v>41565</v>
      </c>
      <c r="D177" s="136">
        <v>0.3</v>
      </c>
      <c r="F177" s="130">
        <f t="shared" si="6"/>
        <v>19.726026999999998</v>
      </c>
    </row>
    <row r="178" spans="2:11" x14ac:dyDescent="0.25">
      <c r="B178" s="122">
        <f t="shared" si="5"/>
        <v>41566</v>
      </c>
      <c r="D178" s="136">
        <v>0.3</v>
      </c>
      <c r="F178" s="130">
        <f t="shared" si="6"/>
        <v>19.726026999999998</v>
      </c>
    </row>
    <row r="179" spans="2:11" x14ac:dyDescent="0.25">
      <c r="B179" s="122">
        <f t="shared" si="5"/>
        <v>41567</v>
      </c>
      <c r="D179" s="136">
        <v>0.3</v>
      </c>
      <c r="F179" s="130">
        <f t="shared" si="6"/>
        <v>19.726026999999998</v>
      </c>
    </row>
    <row r="180" spans="2:11" x14ac:dyDescent="0.25">
      <c r="B180" s="122">
        <f t="shared" si="5"/>
        <v>41568</v>
      </c>
      <c r="D180" s="136">
        <v>0.3</v>
      </c>
      <c r="F180" s="130">
        <f t="shared" si="6"/>
        <v>19.726026999999998</v>
      </c>
    </row>
    <row r="181" spans="2:11" x14ac:dyDescent="0.25">
      <c r="B181" s="122">
        <f t="shared" si="5"/>
        <v>41569</v>
      </c>
      <c r="D181" s="136">
        <v>0.3</v>
      </c>
      <c r="F181" s="130">
        <f t="shared" si="6"/>
        <v>19.726026999999998</v>
      </c>
    </row>
    <row r="182" spans="2:11" x14ac:dyDescent="0.25">
      <c r="B182" s="122">
        <f t="shared" si="5"/>
        <v>41570</v>
      </c>
      <c r="D182" s="136">
        <v>0.3</v>
      </c>
      <c r="F182" s="130">
        <f t="shared" si="6"/>
        <v>19.726026999999998</v>
      </c>
    </row>
    <row r="183" spans="2:11" x14ac:dyDescent="0.25">
      <c r="B183" s="122">
        <f t="shared" si="5"/>
        <v>41571</v>
      </c>
      <c r="D183" s="136">
        <v>0.3</v>
      </c>
      <c r="F183" s="130">
        <f t="shared" si="6"/>
        <v>19.726026999999998</v>
      </c>
    </row>
    <row r="184" spans="2:11" x14ac:dyDescent="0.25">
      <c r="B184" s="122">
        <f t="shared" si="5"/>
        <v>41572</v>
      </c>
      <c r="D184" s="136">
        <v>0.3</v>
      </c>
      <c r="F184" s="130">
        <f t="shared" si="6"/>
        <v>19.726026999999998</v>
      </c>
    </row>
    <row r="185" spans="2:11" x14ac:dyDescent="0.25">
      <c r="B185" s="122">
        <f t="shared" si="5"/>
        <v>41573</v>
      </c>
      <c r="D185" s="136">
        <v>0.3</v>
      </c>
      <c r="F185" s="130">
        <f t="shared" si="6"/>
        <v>19.726026999999998</v>
      </c>
    </row>
    <row r="186" spans="2:11" x14ac:dyDescent="0.25">
      <c r="B186" s="122">
        <f t="shared" si="5"/>
        <v>41574</v>
      </c>
      <c r="D186" s="136">
        <v>0.3</v>
      </c>
      <c r="F186" s="130">
        <f t="shared" si="6"/>
        <v>19.726026999999998</v>
      </c>
    </row>
    <row r="187" spans="2:11" x14ac:dyDescent="0.25">
      <c r="B187" s="122">
        <f t="shared" si="5"/>
        <v>41575</v>
      </c>
      <c r="D187" s="136">
        <v>0.3</v>
      </c>
      <c r="F187" s="130">
        <f t="shared" si="6"/>
        <v>19.726026999999998</v>
      </c>
    </row>
    <row r="188" spans="2:11" x14ac:dyDescent="0.25">
      <c r="B188" s="122">
        <f t="shared" si="5"/>
        <v>41576</v>
      </c>
      <c r="D188" s="136">
        <v>0.3</v>
      </c>
      <c r="F188" s="130">
        <f t="shared" si="6"/>
        <v>19.726026999999998</v>
      </c>
    </row>
    <row r="189" spans="2:11" x14ac:dyDescent="0.25">
      <c r="B189" s="122">
        <f t="shared" si="5"/>
        <v>41577</v>
      </c>
      <c r="D189" s="136">
        <v>0.3</v>
      </c>
      <c r="F189" s="130">
        <f t="shared" si="6"/>
        <v>19.726026999999998</v>
      </c>
    </row>
    <row r="190" spans="2:11" x14ac:dyDescent="0.25">
      <c r="B190" s="122">
        <f t="shared" si="5"/>
        <v>41578</v>
      </c>
      <c r="D190" s="136">
        <v>0.3</v>
      </c>
      <c r="F190" s="130">
        <f t="shared" si="6"/>
        <v>19.726026999999998</v>
      </c>
      <c r="H190" s="133">
        <f>SUM(F160:F190)</f>
        <v>611.50683700000002</v>
      </c>
      <c r="I190" s="149">
        <f>AVERAGE(D160:D190)</f>
        <v>0.30000000000000004</v>
      </c>
      <c r="J190" s="150">
        <f>AVERAGE(D7:D190)</f>
        <v>0.36141304347825925</v>
      </c>
      <c r="K190" s="148">
        <f>AVERAGE(D7:D190)</f>
        <v>0.36141304347825925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>
    <pageSetUpPr fitToPage="1"/>
  </sheetPr>
  <dimension ref="A1:V190"/>
  <sheetViews>
    <sheetView zoomScaleNormal="100" workbookViewId="0">
      <pane ySplit="5" topLeftCell="A6" activePane="bottomLeft" state="frozen"/>
      <selection sqref="A1:XFD1048576"/>
      <selection pane="bottomLeft" activeCell="A7" sqref="A7:XFD159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46" customWidth="1"/>
    <col min="10" max="10" width="11.7109375" style="147" customWidth="1"/>
    <col min="11" max="11" width="9.140625" style="154"/>
    <col min="12" max="14" width="9.140625" style="120"/>
    <col min="15" max="22" width="9.140625" style="142"/>
    <col min="23" max="16384" width="9.140625" style="120"/>
  </cols>
  <sheetData>
    <row r="1" spans="1:14" ht="12.75" x14ac:dyDescent="0.2">
      <c r="A1" s="502" t="s">
        <v>105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2400000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237187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57" customHeight="1" x14ac:dyDescent="0.25">
      <c r="B5" s="122"/>
      <c r="D5" s="123"/>
      <c r="H5" s="124" t="s">
        <v>99</v>
      </c>
      <c r="I5" s="143" t="s">
        <v>100</v>
      </c>
      <c r="J5" s="144" t="s">
        <v>101</v>
      </c>
      <c r="K5" s="127" t="s">
        <v>372</v>
      </c>
      <c r="L5" s="128"/>
      <c r="M5" s="128"/>
      <c r="N5" s="128"/>
    </row>
    <row r="6" spans="1:14" x14ac:dyDescent="0.25">
      <c r="B6" s="122"/>
      <c r="D6" s="123"/>
      <c r="H6" s="124"/>
      <c r="I6" s="143"/>
      <c r="J6" s="144"/>
      <c r="K6" s="155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0.4</v>
      </c>
      <c r="F7" s="130">
        <f t="shared" ref="F7:F15" si="0">ROUND(D7/100*$A$3/365,6)</f>
        <v>26.301369999999999</v>
      </c>
    </row>
    <row r="8" spans="1:14" hidden="1" x14ac:dyDescent="0.25">
      <c r="B8" s="122">
        <f t="shared" ref="B8:B66" si="1">B7+1</f>
        <v>41396</v>
      </c>
      <c r="D8" s="136">
        <v>0.4</v>
      </c>
      <c r="F8" s="130">
        <f t="shared" si="0"/>
        <v>26.301369999999999</v>
      </c>
    </row>
    <row r="9" spans="1:14" hidden="1" x14ac:dyDescent="0.25">
      <c r="B9" s="122">
        <f t="shared" si="1"/>
        <v>41397</v>
      </c>
      <c r="D9" s="136">
        <v>0.4</v>
      </c>
      <c r="F9" s="130">
        <f t="shared" si="0"/>
        <v>26.301369999999999</v>
      </c>
    </row>
    <row r="10" spans="1:14" hidden="1" x14ac:dyDescent="0.25">
      <c r="B10" s="122">
        <f t="shared" si="1"/>
        <v>41398</v>
      </c>
      <c r="D10" s="136">
        <v>0.4</v>
      </c>
      <c r="F10" s="130">
        <f t="shared" si="0"/>
        <v>26.301369999999999</v>
      </c>
    </row>
    <row r="11" spans="1:14" hidden="1" x14ac:dyDescent="0.25">
      <c r="B11" s="122">
        <f t="shared" si="1"/>
        <v>41399</v>
      </c>
      <c r="D11" s="136">
        <v>0.4</v>
      </c>
      <c r="F11" s="130">
        <f t="shared" si="0"/>
        <v>26.301369999999999</v>
      </c>
    </row>
    <row r="12" spans="1:14" hidden="1" x14ac:dyDescent="0.25">
      <c r="B12" s="122">
        <f t="shared" si="1"/>
        <v>41400</v>
      </c>
      <c r="D12" s="136">
        <v>0.4</v>
      </c>
      <c r="F12" s="130">
        <f t="shared" si="0"/>
        <v>26.301369999999999</v>
      </c>
    </row>
    <row r="13" spans="1:14" hidden="1" x14ac:dyDescent="0.25">
      <c r="B13" s="122">
        <f t="shared" si="1"/>
        <v>41401</v>
      </c>
      <c r="D13" s="136">
        <v>0.4</v>
      </c>
      <c r="F13" s="130">
        <f t="shared" si="0"/>
        <v>26.301369999999999</v>
      </c>
    </row>
    <row r="14" spans="1:14" hidden="1" x14ac:dyDescent="0.25">
      <c r="B14" s="122">
        <f t="shared" si="1"/>
        <v>41402</v>
      </c>
      <c r="D14" s="136">
        <v>0.4</v>
      </c>
      <c r="F14" s="130">
        <f t="shared" si="0"/>
        <v>26.301369999999999</v>
      </c>
    </row>
    <row r="15" spans="1:14" hidden="1" x14ac:dyDescent="0.25">
      <c r="B15" s="122">
        <f t="shared" si="1"/>
        <v>41403</v>
      </c>
      <c r="D15" s="136">
        <v>0.4</v>
      </c>
      <c r="F15" s="130">
        <f t="shared" si="0"/>
        <v>26.301369999999999</v>
      </c>
    </row>
    <row r="16" spans="1:14" hidden="1" x14ac:dyDescent="0.25">
      <c r="B16" s="122">
        <f t="shared" si="1"/>
        <v>41404</v>
      </c>
      <c r="D16" s="136">
        <v>0.4</v>
      </c>
      <c r="F16" s="130">
        <f t="shared" ref="F16:F79" si="2">ROUND(D16/100*$A$3/365,6)</f>
        <v>26.301369999999999</v>
      </c>
    </row>
    <row r="17" spans="2:6" hidden="1" x14ac:dyDescent="0.25">
      <c r="B17" s="122">
        <f t="shared" si="1"/>
        <v>41405</v>
      </c>
      <c r="D17" s="136">
        <v>0.4</v>
      </c>
      <c r="F17" s="130">
        <f t="shared" si="2"/>
        <v>26.301369999999999</v>
      </c>
    </row>
    <row r="18" spans="2:6" hidden="1" x14ac:dyDescent="0.25">
      <c r="B18" s="122">
        <f t="shared" si="1"/>
        <v>41406</v>
      </c>
      <c r="D18" s="136">
        <v>0.4</v>
      </c>
      <c r="F18" s="130">
        <f t="shared" si="2"/>
        <v>26.301369999999999</v>
      </c>
    </row>
    <row r="19" spans="2:6" hidden="1" x14ac:dyDescent="0.25">
      <c r="B19" s="122">
        <f t="shared" si="1"/>
        <v>41407</v>
      </c>
      <c r="D19" s="136">
        <v>0.4</v>
      </c>
      <c r="F19" s="130">
        <f t="shared" si="2"/>
        <v>26.301369999999999</v>
      </c>
    </row>
    <row r="20" spans="2:6" hidden="1" x14ac:dyDescent="0.25">
      <c r="B20" s="122">
        <f t="shared" si="1"/>
        <v>41408</v>
      </c>
      <c r="D20" s="136">
        <v>0.4</v>
      </c>
      <c r="F20" s="130">
        <f t="shared" si="2"/>
        <v>26.301369999999999</v>
      </c>
    </row>
    <row r="21" spans="2:6" hidden="1" x14ac:dyDescent="0.25">
      <c r="B21" s="122">
        <f t="shared" si="1"/>
        <v>41409</v>
      </c>
      <c r="D21" s="136">
        <v>0.4</v>
      </c>
      <c r="F21" s="130">
        <f t="shared" si="2"/>
        <v>26.301369999999999</v>
      </c>
    </row>
    <row r="22" spans="2:6" hidden="1" x14ac:dyDescent="0.25">
      <c r="B22" s="122">
        <f t="shared" si="1"/>
        <v>41410</v>
      </c>
      <c r="D22" s="136">
        <v>0.4</v>
      </c>
      <c r="F22" s="130">
        <f t="shared" si="2"/>
        <v>26.301369999999999</v>
      </c>
    </row>
    <row r="23" spans="2:6" hidden="1" x14ac:dyDescent="0.25">
      <c r="B23" s="122">
        <f t="shared" si="1"/>
        <v>41411</v>
      </c>
      <c r="D23" s="136">
        <v>0.4</v>
      </c>
      <c r="F23" s="130">
        <f t="shared" si="2"/>
        <v>26.301369999999999</v>
      </c>
    </row>
    <row r="24" spans="2:6" hidden="1" x14ac:dyDescent="0.25">
      <c r="B24" s="122">
        <f t="shared" si="1"/>
        <v>41412</v>
      </c>
      <c r="D24" s="136">
        <v>0.4</v>
      </c>
      <c r="F24" s="130">
        <f t="shared" si="2"/>
        <v>26.301369999999999</v>
      </c>
    </row>
    <row r="25" spans="2:6" hidden="1" x14ac:dyDescent="0.25">
      <c r="B25" s="122">
        <f t="shared" si="1"/>
        <v>41413</v>
      </c>
      <c r="D25" s="136">
        <v>0.4</v>
      </c>
      <c r="F25" s="130">
        <f t="shared" si="2"/>
        <v>26.301369999999999</v>
      </c>
    </row>
    <row r="26" spans="2:6" hidden="1" x14ac:dyDescent="0.25">
      <c r="B26" s="122">
        <f t="shared" si="1"/>
        <v>41414</v>
      </c>
      <c r="D26" s="136">
        <v>0.4</v>
      </c>
      <c r="F26" s="130">
        <f t="shared" si="2"/>
        <v>26.301369999999999</v>
      </c>
    </row>
    <row r="27" spans="2:6" hidden="1" x14ac:dyDescent="0.25">
      <c r="B27" s="122">
        <f t="shared" si="1"/>
        <v>41415</v>
      </c>
      <c r="D27" s="136">
        <v>0.4</v>
      </c>
      <c r="F27" s="130">
        <f t="shared" si="2"/>
        <v>26.301369999999999</v>
      </c>
    </row>
    <row r="28" spans="2:6" hidden="1" x14ac:dyDescent="0.25">
      <c r="B28" s="122">
        <f t="shared" si="1"/>
        <v>41416</v>
      </c>
      <c r="D28" s="136">
        <v>0.4</v>
      </c>
      <c r="F28" s="130">
        <f t="shared" si="2"/>
        <v>26.301369999999999</v>
      </c>
    </row>
    <row r="29" spans="2:6" hidden="1" x14ac:dyDescent="0.25">
      <c r="B29" s="122">
        <f t="shared" si="1"/>
        <v>41417</v>
      </c>
      <c r="D29" s="136">
        <v>0.4</v>
      </c>
      <c r="F29" s="130">
        <f t="shared" si="2"/>
        <v>26.301369999999999</v>
      </c>
    </row>
    <row r="30" spans="2:6" hidden="1" x14ac:dyDescent="0.25">
      <c r="B30" s="122">
        <f t="shared" si="1"/>
        <v>41418</v>
      </c>
      <c r="D30" s="136">
        <v>0.4</v>
      </c>
      <c r="F30" s="130">
        <f t="shared" si="2"/>
        <v>26.301369999999999</v>
      </c>
    </row>
    <row r="31" spans="2:6" hidden="1" x14ac:dyDescent="0.25">
      <c r="B31" s="122">
        <f t="shared" si="1"/>
        <v>41419</v>
      </c>
      <c r="D31" s="136">
        <v>0.4</v>
      </c>
      <c r="F31" s="130">
        <f t="shared" si="2"/>
        <v>26.301369999999999</v>
      </c>
    </row>
    <row r="32" spans="2:6" hidden="1" x14ac:dyDescent="0.25">
      <c r="B32" s="122">
        <f t="shared" si="1"/>
        <v>41420</v>
      </c>
      <c r="D32" s="136">
        <v>0.4</v>
      </c>
      <c r="F32" s="130">
        <f t="shared" si="2"/>
        <v>26.301369999999999</v>
      </c>
    </row>
    <row r="33" spans="1:11" hidden="1" x14ac:dyDescent="0.25">
      <c r="B33" s="122">
        <f t="shared" si="1"/>
        <v>41421</v>
      </c>
      <c r="D33" s="136">
        <v>0.4</v>
      </c>
      <c r="F33" s="130">
        <f t="shared" si="2"/>
        <v>26.301369999999999</v>
      </c>
    </row>
    <row r="34" spans="1:11" hidden="1" x14ac:dyDescent="0.25">
      <c r="B34" s="122">
        <f t="shared" si="1"/>
        <v>41422</v>
      </c>
      <c r="D34" s="136">
        <v>0.4</v>
      </c>
      <c r="F34" s="130">
        <f t="shared" si="2"/>
        <v>26.301369999999999</v>
      </c>
    </row>
    <row r="35" spans="1:11" hidden="1" x14ac:dyDescent="0.25">
      <c r="B35" s="122">
        <f t="shared" si="1"/>
        <v>41423</v>
      </c>
      <c r="D35" s="136">
        <v>0.4</v>
      </c>
      <c r="F35" s="130">
        <f t="shared" si="2"/>
        <v>26.301369999999999</v>
      </c>
    </row>
    <row r="36" spans="1:11" hidden="1" x14ac:dyDescent="0.25">
      <c r="B36" s="122">
        <f t="shared" si="1"/>
        <v>41424</v>
      </c>
      <c r="D36" s="136">
        <v>0.4</v>
      </c>
      <c r="F36" s="130">
        <f t="shared" si="2"/>
        <v>26.301369999999999</v>
      </c>
    </row>
    <row r="37" spans="1:11" hidden="1" x14ac:dyDescent="0.25">
      <c r="B37" s="122">
        <f t="shared" si="1"/>
        <v>41425</v>
      </c>
      <c r="D37" s="136">
        <v>0.4</v>
      </c>
      <c r="F37" s="130">
        <f t="shared" si="2"/>
        <v>26.301369999999999</v>
      </c>
      <c r="H37" s="133">
        <f>SUM(F7:F37)</f>
        <v>815.34247000000039</v>
      </c>
      <c r="I37" s="149">
        <f>AVERAGE(D7:D37)</f>
        <v>0.40000000000000019</v>
      </c>
      <c r="J37" s="150">
        <f>AVERAGE(D7:D37)</f>
        <v>0.40000000000000019</v>
      </c>
      <c r="K37" s="148">
        <f>AVERAGE(D7:D37)</f>
        <v>0.40000000000000019</v>
      </c>
    </row>
    <row r="38" spans="1:11" hidden="1" x14ac:dyDescent="0.25">
      <c r="A38" s="121">
        <v>41426</v>
      </c>
      <c r="B38" s="122">
        <f t="shared" si="1"/>
        <v>41426</v>
      </c>
      <c r="D38" s="136">
        <v>0.4</v>
      </c>
      <c r="F38" s="130">
        <f t="shared" si="2"/>
        <v>26.301369999999999</v>
      </c>
    </row>
    <row r="39" spans="1:11" hidden="1" x14ac:dyDescent="0.25">
      <c r="B39" s="122">
        <f t="shared" si="1"/>
        <v>41427</v>
      </c>
      <c r="D39" s="136">
        <v>0.4</v>
      </c>
      <c r="F39" s="130">
        <f t="shared" si="2"/>
        <v>26.301369999999999</v>
      </c>
    </row>
    <row r="40" spans="1:11" hidden="1" x14ac:dyDescent="0.25">
      <c r="B40" s="122">
        <f t="shared" si="1"/>
        <v>41428</v>
      </c>
      <c r="D40" s="136">
        <v>0.4</v>
      </c>
      <c r="F40" s="130">
        <f t="shared" si="2"/>
        <v>26.301369999999999</v>
      </c>
    </row>
    <row r="41" spans="1:11" hidden="1" x14ac:dyDescent="0.25">
      <c r="B41" s="122">
        <f t="shared" si="1"/>
        <v>41429</v>
      </c>
      <c r="D41" s="136">
        <v>0.4</v>
      </c>
      <c r="F41" s="130">
        <f t="shared" si="2"/>
        <v>26.301369999999999</v>
      </c>
    </row>
    <row r="42" spans="1:11" hidden="1" x14ac:dyDescent="0.25">
      <c r="B42" s="122">
        <f t="shared" si="1"/>
        <v>41430</v>
      </c>
      <c r="D42" s="136">
        <v>0.4</v>
      </c>
      <c r="F42" s="130">
        <f t="shared" si="2"/>
        <v>26.301369999999999</v>
      </c>
    </row>
    <row r="43" spans="1:11" hidden="1" x14ac:dyDescent="0.25">
      <c r="B43" s="122">
        <f t="shared" si="1"/>
        <v>41431</v>
      </c>
      <c r="D43" s="136">
        <v>0.4</v>
      </c>
      <c r="F43" s="130">
        <f t="shared" si="2"/>
        <v>26.301369999999999</v>
      </c>
    </row>
    <row r="44" spans="1:11" hidden="1" x14ac:dyDescent="0.25">
      <c r="B44" s="122">
        <f t="shared" si="1"/>
        <v>41432</v>
      </c>
      <c r="D44" s="136">
        <v>0.4</v>
      </c>
      <c r="F44" s="130">
        <f t="shared" si="2"/>
        <v>26.301369999999999</v>
      </c>
    </row>
    <row r="45" spans="1:11" hidden="1" x14ac:dyDescent="0.25">
      <c r="B45" s="122">
        <f t="shared" si="1"/>
        <v>41433</v>
      </c>
      <c r="D45" s="136">
        <v>0.4</v>
      </c>
      <c r="F45" s="130">
        <f t="shared" si="2"/>
        <v>26.301369999999999</v>
      </c>
    </row>
    <row r="46" spans="1:11" hidden="1" x14ac:dyDescent="0.25">
      <c r="B46" s="122">
        <f t="shared" si="1"/>
        <v>41434</v>
      </c>
      <c r="D46" s="136">
        <v>0.4</v>
      </c>
      <c r="F46" s="130">
        <f t="shared" si="2"/>
        <v>26.301369999999999</v>
      </c>
    </row>
    <row r="47" spans="1:11" hidden="1" x14ac:dyDescent="0.25">
      <c r="B47" s="122">
        <f t="shared" si="1"/>
        <v>41435</v>
      </c>
      <c r="D47" s="136">
        <v>0.4</v>
      </c>
      <c r="F47" s="130">
        <f t="shared" si="2"/>
        <v>26.301369999999999</v>
      </c>
    </row>
    <row r="48" spans="1:11" hidden="1" x14ac:dyDescent="0.25">
      <c r="B48" s="122">
        <f t="shared" si="1"/>
        <v>41436</v>
      </c>
      <c r="D48" s="136">
        <v>0.4</v>
      </c>
      <c r="F48" s="130">
        <f t="shared" si="2"/>
        <v>26.301369999999999</v>
      </c>
    </row>
    <row r="49" spans="2:6" hidden="1" x14ac:dyDescent="0.25">
      <c r="B49" s="122">
        <f t="shared" si="1"/>
        <v>41437</v>
      </c>
      <c r="D49" s="136">
        <v>0.4</v>
      </c>
      <c r="F49" s="130">
        <f t="shared" si="2"/>
        <v>26.301369999999999</v>
      </c>
    </row>
    <row r="50" spans="2:6" hidden="1" x14ac:dyDescent="0.25">
      <c r="B50" s="122">
        <f t="shared" si="1"/>
        <v>41438</v>
      </c>
      <c r="D50" s="136">
        <v>0.4</v>
      </c>
      <c r="F50" s="130">
        <f t="shared" si="2"/>
        <v>26.301369999999999</v>
      </c>
    </row>
    <row r="51" spans="2:6" hidden="1" x14ac:dyDescent="0.25">
      <c r="B51" s="122">
        <f t="shared" si="1"/>
        <v>41439</v>
      </c>
      <c r="D51" s="136">
        <v>0.4</v>
      </c>
      <c r="F51" s="130">
        <f t="shared" si="2"/>
        <v>26.301369999999999</v>
      </c>
    </row>
    <row r="52" spans="2:6" hidden="1" x14ac:dyDescent="0.25">
      <c r="B52" s="122">
        <f t="shared" si="1"/>
        <v>41440</v>
      </c>
      <c r="D52" s="136">
        <v>0.4</v>
      </c>
      <c r="F52" s="130">
        <f t="shared" si="2"/>
        <v>26.301369999999999</v>
      </c>
    </row>
    <row r="53" spans="2:6" hidden="1" x14ac:dyDescent="0.25">
      <c r="B53" s="122">
        <f t="shared" si="1"/>
        <v>41441</v>
      </c>
      <c r="D53" s="136">
        <v>0.4</v>
      </c>
      <c r="F53" s="130">
        <f t="shared" si="2"/>
        <v>26.301369999999999</v>
      </c>
    </row>
    <row r="54" spans="2:6" hidden="1" x14ac:dyDescent="0.25">
      <c r="B54" s="122">
        <f t="shared" si="1"/>
        <v>41442</v>
      </c>
      <c r="D54" s="136">
        <v>0.4</v>
      </c>
      <c r="F54" s="130">
        <f t="shared" si="2"/>
        <v>26.301369999999999</v>
      </c>
    </row>
    <row r="55" spans="2:6" hidden="1" x14ac:dyDescent="0.25">
      <c r="B55" s="122">
        <f t="shared" si="1"/>
        <v>41443</v>
      </c>
      <c r="D55" s="136">
        <v>0.4</v>
      </c>
      <c r="F55" s="130">
        <f t="shared" si="2"/>
        <v>26.301369999999999</v>
      </c>
    </row>
    <row r="56" spans="2:6" hidden="1" x14ac:dyDescent="0.25">
      <c r="B56" s="122">
        <f t="shared" si="1"/>
        <v>41444</v>
      </c>
      <c r="D56" s="136">
        <v>0.4</v>
      </c>
      <c r="F56" s="130">
        <f t="shared" si="2"/>
        <v>26.301369999999999</v>
      </c>
    </row>
    <row r="57" spans="2:6" hidden="1" x14ac:dyDescent="0.25">
      <c r="B57" s="122">
        <f t="shared" si="1"/>
        <v>41445</v>
      </c>
      <c r="D57" s="136">
        <v>0.4</v>
      </c>
      <c r="F57" s="130">
        <f t="shared" si="2"/>
        <v>26.301369999999999</v>
      </c>
    </row>
    <row r="58" spans="2:6" hidden="1" x14ac:dyDescent="0.25">
      <c r="B58" s="122">
        <f t="shared" si="1"/>
        <v>41446</v>
      </c>
      <c r="D58" s="136">
        <v>0.4</v>
      </c>
      <c r="F58" s="130">
        <f t="shared" si="2"/>
        <v>26.301369999999999</v>
      </c>
    </row>
    <row r="59" spans="2:6" hidden="1" x14ac:dyDescent="0.25">
      <c r="B59" s="122">
        <f t="shared" si="1"/>
        <v>41447</v>
      </c>
      <c r="D59" s="136">
        <v>0.4</v>
      </c>
      <c r="F59" s="130">
        <f t="shared" si="2"/>
        <v>26.301369999999999</v>
      </c>
    </row>
    <row r="60" spans="2:6" hidden="1" x14ac:dyDescent="0.25">
      <c r="B60" s="122">
        <f t="shared" si="1"/>
        <v>41448</v>
      </c>
      <c r="D60" s="136">
        <v>0.4</v>
      </c>
      <c r="F60" s="130">
        <f t="shared" si="2"/>
        <v>26.301369999999999</v>
      </c>
    </row>
    <row r="61" spans="2:6" hidden="1" x14ac:dyDescent="0.25">
      <c r="B61" s="122">
        <f t="shared" si="1"/>
        <v>41449</v>
      </c>
      <c r="D61" s="136">
        <v>0.4</v>
      </c>
      <c r="F61" s="130">
        <f t="shared" si="2"/>
        <v>26.301369999999999</v>
      </c>
    </row>
    <row r="62" spans="2:6" hidden="1" x14ac:dyDescent="0.25">
      <c r="B62" s="122">
        <f t="shared" si="1"/>
        <v>41450</v>
      </c>
      <c r="D62" s="136">
        <v>0.4</v>
      </c>
      <c r="F62" s="130">
        <f t="shared" si="2"/>
        <v>26.301369999999999</v>
      </c>
    </row>
    <row r="63" spans="2:6" hidden="1" x14ac:dyDescent="0.25">
      <c r="B63" s="122">
        <f t="shared" si="1"/>
        <v>41451</v>
      </c>
      <c r="D63" s="136">
        <v>0.4</v>
      </c>
      <c r="F63" s="130">
        <f t="shared" si="2"/>
        <v>26.301369999999999</v>
      </c>
    </row>
    <row r="64" spans="2:6" hidden="1" x14ac:dyDescent="0.25">
      <c r="B64" s="122">
        <f t="shared" si="1"/>
        <v>41452</v>
      </c>
      <c r="D64" s="136">
        <v>0.4</v>
      </c>
      <c r="F64" s="130">
        <f t="shared" si="2"/>
        <v>26.301369999999999</v>
      </c>
    </row>
    <row r="65" spans="1:11" hidden="1" x14ac:dyDescent="0.25">
      <c r="B65" s="122">
        <f t="shared" si="1"/>
        <v>41453</v>
      </c>
      <c r="D65" s="136">
        <v>0.4</v>
      </c>
      <c r="F65" s="130">
        <f t="shared" si="2"/>
        <v>26.301369999999999</v>
      </c>
    </row>
    <row r="66" spans="1:11" hidden="1" x14ac:dyDescent="0.25">
      <c r="B66" s="122">
        <f t="shared" si="1"/>
        <v>41454</v>
      </c>
      <c r="D66" s="136">
        <v>0.4</v>
      </c>
      <c r="F66" s="130">
        <f t="shared" si="2"/>
        <v>26.301369999999999</v>
      </c>
    </row>
    <row r="67" spans="1:11" hidden="1" x14ac:dyDescent="0.25">
      <c r="B67" s="122">
        <f t="shared" ref="B67:B130" si="3">B66+1</f>
        <v>41455</v>
      </c>
      <c r="D67" s="136">
        <v>0.4</v>
      </c>
      <c r="F67" s="130">
        <f t="shared" si="2"/>
        <v>26.301369999999999</v>
      </c>
      <c r="H67" s="133">
        <f>SUM(F38:F67)</f>
        <v>789.04110000000037</v>
      </c>
      <c r="I67" s="149">
        <f>AVERAGE(D38:D67)</f>
        <v>0.40000000000000019</v>
      </c>
      <c r="J67" s="150">
        <f>AVERAGE(D7:D67)</f>
        <v>0.39999999999999963</v>
      </c>
      <c r="K67" s="148">
        <f>AVERAGE(D7:D67)</f>
        <v>0.39999999999999963</v>
      </c>
    </row>
    <row r="68" spans="1:11" hidden="1" x14ac:dyDescent="0.25">
      <c r="A68" s="121">
        <v>41456</v>
      </c>
      <c r="B68" s="122">
        <f t="shared" si="3"/>
        <v>41456</v>
      </c>
      <c r="D68" s="136">
        <v>0.4</v>
      </c>
      <c r="F68" s="130">
        <f t="shared" si="2"/>
        <v>26.301369999999999</v>
      </c>
    </row>
    <row r="69" spans="1:11" hidden="1" x14ac:dyDescent="0.25">
      <c r="B69" s="122">
        <f t="shared" si="3"/>
        <v>41457</v>
      </c>
      <c r="D69" s="136">
        <v>0.4</v>
      </c>
      <c r="F69" s="130">
        <f t="shared" si="2"/>
        <v>26.301369999999999</v>
      </c>
    </row>
    <row r="70" spans="1:11" hidden="1" x14ac:dyDescent="0.25">
      <c r="B70" s="122">
        <f t="shared" si="3"/>
        <v>41458</v>
      </c>
      <c r="D70" s="136">
        <v>0.4</v>
      </c>
      <c r="F70" s="130">
        <f t="shared" si="2"/>
        <v>26.301369999999999</v>
      </c>
    </row>
    <row r="71" spans="1:11" hidden="1" x14ac:dyDescent="0.25">
      <c r="B71" s="122">
        <f t="shared" si="3"/>
        <v>41459</v>
      </c>
      <c r="D71" s="136">
        <v>0.4</v>
      </c>
      <c r="F71" s="130">
        <f t="shared" si="2"/>
        <v>26.301369999999999</v>
      </c>
    </row>
    <row r="72" spans="1:11" hidden="1" x14ac:dyDescent="0.25">
      <c r="B72" s="122">
        <f t="shared" si="3"/>
        <v>41460</v>
      </c>
      <c r="D72" s="136">
        <v>0.4</v>
      </c>
      <c r="F72" s="130">
        <f t="shared" si="2"/>
        <v>26.301369999999999</v>
      </c>
    </row>
    <row r="73" spans="1:11" hidden="1" x14ac:dyDescent="0.25">
      <c r="B73" s="122">
        <f t="shared" si="3"/>
        <v>41461</v>
      </c>
      <c r="D73" s="136">
        <v>0.4</v>
      </c>
      <c r="F73" s="130">
        <f t="shared" si="2"/>
        <v>26.301369999999999</v>
      </c>
    </row>
    <row r="74" spans="1:11" hidden="1" x14ac:dyDescent="0.25">
      <c r="B74" s="122">
        <f t="shared" si="3"/>
        <v>41462</v>
      </c>
      <c r="D74" s="136">
        <v>0.4</v>
      </c>
      <c r="F74" s="130">
        <f t="shared" si="2"/>
        <v>26.301369999999999</v>
      </c>
    </row>
    <row r="75" spans="1:11" hidden="1" x14ac:dyDescent="0.25">
      <c r="B75" s="122">
        <f t="shared" si="3"/>
        <v>41463</v>
      </c>
      <c r="D75" s="136">
        <v>0.4</v>
      </c>
      <c r="F75" s="130">
        <f t="shared" si="2"/>
        <v>26.301369999999999</v>
      </c>
    </row>
    <row r="76" spans="1:11" hidden="1" x14ac:dyDescent="0.25">
      <c r="B76" s="122">
        <f t="shared" si="3"/>
        <v>41464</v>
      </c>
      <c r="D76" s="136">
        <v>0.4</v>
      </c>
      <c r="F76" s="130">
        <f t="shared" si="2"/>
        <v>26.301369999999999</v>
      </c>
    </row>
    <row r="77" spans="1:11" hidden="1" x14ac:dyDescent="0.25">
      <c r="B77" s="122">
        <f t="shared" si="3"/>
        <v>41465</v>
      </c>
      <c r="D77" s="136">
        <v>0.4</v>
      </c>
      <c r="F77" s="130">
        <f t="shared" si="2"/>
        <v>26.301369999999999</v>
      </c>
    </row>
    <row r="78" spans="1:11" hidden="1" x14ac:dyDescent="0.25">
      <c r="B78" s="122">
        <f t="shared" si="3"/>
        <v>41466</v>
      </c>
      <c r="D78" s="136">
        <v>0.4</v>
      </c>
      <c r="F78" s="130">
        <f t="shared" si="2"/>
        <v>26.301369999999999</v>
      </c>
    </row>
    <row r="79" spans="1:11" hidden="1" x14ac:dyDescent="0.25">
      <c r="B79" s="122">
        <f t="shared" si="3"/>
        <v>41467</v>
      </c>
      <c r="D79" s="136">
        <v>0.4</v>
      </c>
      <c r="F79" s="130">
        <f t="shared" si="2"/>
        <v>26.301369999999999</v>
      </c>
    </row>
    <row r="80" spans="1:11" hidden="1" x14ac:dyDescent="0.25">
      <c r="B80" s="122">
        <f t="shared" si="3"/>
        <v>41468</v>
      </c>
      <c r="D80" s="136">
        <v>0.4</v>
      </c>
      <c r="F80" s="130">
        <f t="shared" ref="F80:F143" si="4">ROUND(D80/100*$A$3/365,6)</f>
        <v>26.301369999999999</v>
      </c>
    </row>
    <row r="81" spans="2:6" hidden="1" x14ac:dyDescent="0.25">
      <c r="B81" s="122">
        <f t="shared" si="3"/>
        <v>41469</v>
      </c>
      <c r="D81" s="136">
        <v>0.4</v>
      </c>
      <c r="F81" s="130">
        <f t="shared" si="4"/>
        <v>26.301369999999999</v>
      </c>
    </row>
    <row r="82" spans="2:6" hidden="1" x14ac:dyDescent="0.25">
      <c r="B82" s="122">
        <f t="shared" si="3"/>
        <v>41470</v>
      </c>
      <c r="D82" s="136">
        <v>0.4</v>
      </c>
      <c r="F82" s="130">
        <f t="shared" si="4"/>
        <v>26.301369999999999</v>
      </c>
    </row>
    <row r="83" spans="2:6" hidden="1" x14ac:dyDescent="0.25">
      <c r="B83" s="122">
        <f t="shared" si="3"/>
        <v>41471</v>
      </c>
      <c r="D83" s="136">
        <v>0.4</v>
      </c>
      <c r="F83" s="130">
        <f t="shared" si="4"/>
        <v>26.301369999999999</v>
      </c>
    </row>
    <row r="84" spans="2:6" hidden="1" x14ac:dyDescent="0.25">
      <c r="B84" s="122">
        <f t="shared" si="3"/>
        <v>41472</v>
      </c>
      <c r="D84" s="136">
        <v>0.4</v>
      </c>
      <c r="F84" s="130">
        <f t="shared" si="4"/>
        <v>26.301369999999999</v>
      </c>
    </row>
    <row r="85" spans="2:6" hidden="1" x14ac:dyDescent="0.25">
      <c r="B85" s="122">
        <f t="shared" si="3"/>
        <v>41473</v>
      </c>
      <c r="D85" s="136">
        <v>0.4</v>
      </c>
      <c r="F85" s="130">
        <f t="shared" si="4"/>
        <v>26.301369999999999</v>
      </c>
    </row>
    <row r="86" spans="2:6" hidden="1" x14ac:dyDescent="0.25">
      <c r="B86" s="122">
        <f t="shared" si="3"/>
        <v>41474</v>
      </c>
      <c r="D86" s="136">
        <v>0.4</v>
      </c>
      <c r="F86" s="130">
        <f t="shared" si="4"/>
        <v>26.301369999999999</v>
      </c>
    </row>
    <row r="87" spans="2:6" hidden="1" x14ac:dyDescent="0.25">
      <c r="B87" s="122">
        <f t="shared" si="3"/>
        <v>41475</v>
      </c>
      <c r="D87" s="136">
        <v>0.4</v>
      </c>
      <c r="F87" s="130">
        <f t="shared" si="4"/>
        <v>26.301369999999999</v>
      </c>
    </row>
    <row r="88" spans="2:6" hidden="1" x14ac:dyDescent="0.25">
      <c r="B88" s="122">
        <f t="shared" si="3"/>
        <v>41476</v>
      </c>
      <c r="D88" s="136">
        <v>0.4</v>
      </c>
      <c r="F88" s="130">
        <f t="shared" si="4"/>
        <v>26.301369999999999</v>
      </c>
    </row>
    <row r="89" spans="2:6" hidden="1" x14ac:dyDescent="0.25">
      <c r="B89" s="122">
        <f t="shared" si="3"/>
        <v>41477</v>
      </c>
      <c r="D89" s="136">
        <v>0.4</v>
      </c>
      <c r="F89" s="130">
        <f t="shared" si="4"/>
        <v>26.301369999999999</v>
      </c>
    </row>
    <row r="90" spans="2:6" hidden="1" x14ac:dyDescent="0.25">
      <c r="B90" s="122">
        <f t="shared" si="3"/>
        <v>41478</v>
      </c>
      <c r="D90" s="136">
        <v>0.4</v>
      </c>
      <c r="F90" s="130">
        <f t="shared" si="4"/>
        <v>26.301369999999999</v>
      </c>
    </row>
    <row r="91" spans="2:6" hidden="1" x14ac:dyDescent="0.25">
      <c r="B91" s="122">
        <f t="shared" si="3"/>
        <v>41479</v>
      </c>
      <c r="D91" s="136">
        <v>0.4</v>
      </c>
      <c r="F91" s="130">
        <f t="shared" si="4"/>
        <v>26.301369999999999</v>
      </c>
    </row>
    <row r="92" spans="2:6" hidden="1" x14ac:dyDescent="0.25">
      <c r="B92" s="122">
        <f t="shared" si="3"/>
        <v>41480</v>
      </c>
      <c r="D92" s="136">
        <v>0.4</v>
      </c>
      <c r="F92" s="130">
        <f t="shared" si="4"/>
        <v>26.301369999999999</v>
      </c>
    </row>
    <row r="93" spans="2:6" hidden="1" x14ac:dyDescent="0.25">
      <c r="B93" s="122">
        <f t="shared" si="3"/>
        <v>41481</v>
      </c>
      <c r="D93" s="136">
        <v>0.4</v>
      </c>
      <c r="F93" s="130">
        <f t="shared" si="4"/>
        <v>26.301369999999999</v>
      </c>
    </row>
    <row r="94" spans="2:6" hidden="1" x14ac:dyDescent="0.25">
      <c r="B94" s="122">
        <f t="shared" si="3"/>
        <v>41482</v>
      </c>
      <c r="D94" s="136">
        <v>0.4</v>
      </c>
      <c r="F94" s="130">
        <f t="shared" si="4"/>
        <v>26.301369999999999</v>
      </c>
    </row>
    <row r="95" spans="2:6" hidden="1" x14ac:dyDescent="0.25">
      <c r="B95" s="122">
        <f t="shared" si="3"/>
        <v>41483</v>
      </c>
      <c r="D95" s="136">
        <v>0.4</v>
      </c>
      <c r="F95" s="130">
        <f t="shared" si="4"/>
        <v>26.301369999999999</v>
      </c>
    </row>
    <row r="96" spans="2:6" hidden="1" x14ac:dyDescent="0.25">
      <c r="B96" s="122">
        <f t="shared" si="3"/>
        <v>41484</v>
      </c>
      <c r="D96" s="136">
        <v>0.4</v>
      </c>
      <c r="F96" s="130">
        <f t="shared" si="4"/>
        <v>26.301369999999999</v>
      </c>
    </row>
    <row r="97" spans="1:11" hidden="1" x14ac:dyDescent="0.25">
      <c r="B97" s="122">
        <f t="shared" si="3"/>
        <v>41485</v>
      </c>
      <c r="D97" s="136">
        <v>0.4</v>
      </c>
      <c r="F97" s="130">
        <f t="shared" si="4"/>
        <v>26.301369999999999</v>
      </c>
    </row>
    <row r="98" spans="1:11" hidden="1" x14ac:dyDescent="0.25">
      <c r="B98" s="122">
        <f t="shared" si="3"/>
        <v>41486</v>
      </c>
      <c r="D98" s="136">
        <v>0.4</v>
      </c>
      <c r="F98" s="130">
        <f t="shared" si="4"/>
        <v>26.301369999999999</v>
      </c>
      <c r="H98" s="133">
        <f>SUM(F68:F98)</f>
        <v>815.34247000000039</v>
      </c>
      <c r="I98" s="149">
        <f>AVERAGE(D68:D98)</f>
        <v>0.40000000000000019</v>
      </c>
      <c r="J98" s="150">
        <f>AVERAGE(D7:D98)</f>
        <v>0.3999999999999993</v>
      </c>
      <c r="K98" s="148">
        <f>AVERAGE(D7:D98)</f>
        <v>0.3999999999999993</v>
      </c>
    </row>
    <row r="99" spans="1:11" hidden="1" x14ac:dyDescent="0.25">
      <c r="A99" s="121">
        <v>41487</v>
      </c>
      <c r="B99" s="122">
        <f t="shared" si="3"/>
        <v>41487</v>
      </c>
      <c r="D99" s="136">
        <v>0.4</v>
      </c>
      <c r="F99" s="130">
        <f t="shared" si="4"/>
        <v>26.301369999999999</v>
      </c>
    </row>
    <row r="100" spans="1:11" hidden="1" x14ac:dyDescent="0.25">
      <c r="B100" s="122">
        <f t="shared" si="3"/>
        <v>41488</v>
      </c>
      <c r="D100" s="136">
        <v>0.4</v>
      </c>
      <c r="F100" s="130">
        <f t="shared" si="4"/>
        <v>26.301369999999999</v>
      </c>
    </row>
    <row r="101" spans="1:11" hidden="1" x14ac:dyDescent="0.25">
      <c r="B101" s="122">
        <f t="shared" si="3"/>
        <v>41489</v>
      </c>
      <c r="D101" s="136">
        <v>0.4</v>
      </c>
      <c r="F101" s="130">
        <f t="shared" si="4"/>
        <v>26.301369999999999</v>
      </c>
    </row>
    <row r="102" spans="1:11" hidden="1" x14ac:dyDescent="0.25">
      <c r="B102" s="122">
        <f t="shared" si="3"/>
        <v>41490</v>
      </c>
      <c r="D102" s="136">
        <v>0.4</v>
      </c>
      <c r="F102" s="130">
        <f t="shared" si="4"/>
        <v>26.301369999999999</v>
      </c>
    </row>
    <row r="103" spans="1:11" hidden="1" x14ac:dyDescent="0.25">
      <c r="B103" s="122">
        <f t="shared" si="3"/>
        <v>41491</v>
      </c>
      <c r="D103" s="136">
        <v>0.4</v>
      </c>
      <c r="F103" s="130">
        <f t="shared" si="4"/>
        <v>26.301369999999999</v>
      </c>
    </row>
    <row r="104" spans="1:11" hidden="1" x14ac:dyDescent="0.25">
      <c r="B104" s="122">
        <f t="shared" si="3"/>
        <v>41492</v>
      </c>
      <c r="D104" s="136">
        <v>0.4</v>
      </c>
      <c r="F104" s="130">
        <f t="shared" si="4"/>
        <v>26.301369999999999</v>
      </c>
    </row>
    <row r="105" spans="1:11" hidden="1" x14ac:dyDescent="0.25">
      <c r="B105" s="122">
        <f t="shared" si="3"/>
        <v>41493</v>
      </c>
      <c r="D105" s="136">
        <v>0.4</v>
      </c>
      <c r="F105" s="130">
        <f t="shared" si="4"/>
        <v>26.301369999999999</v>
      </c>
    </row>
    <row r="106" spans="1:11" hidden="1" x14ac:dyDescent="0.25">
      <c r="B106" s="122">
        <f t="shared" si="3"/>
        <v>41494</v>
      </c>
      <c r="D106" s="136">
        <v>0.4</v>
      </c>
      <c r="F106" s="130">
        <f t="shared" si="4"/>
        <v>26.301369999999999</v>
      </c>
    </row>
    <row r="107" spans="1:11" hidden="1" x14ac:dyDescent="0.25">
      <c r="B107" s="122">
        <f t="shared" si="3"/>
        <v>41495</v>
      </c>
      <c r="D107" s="136">
        <v>0.4</v>
      </c>
      <c r="F107" s="130">
        <f t="shared" si="4"/>
        <v>26.301369999999999</v>
      </c>
    </row>
    <row r="108" spans="1:11" hidden="1" x14ac:dyDescent="0.25">
      <c r="B108" s="122">
        <f t="shared" si="3"/>
        <v>41496</v>
      </c>
      <c r="D108" s="136">
        <v>0.4</v>
      </c>
      <c r="F108" s="130">
        <f t="shared" si="4"/>
        <v>26.301369999999999</v>
      </c>
    </row>
    <row r="109" spans="1:11" hidden="1" x14ac:dyDescent="0.25">
      <c r="B109" s="122">
        <f t="shared" si="3"/>
        <v>41497</v>
      </c>
      <c r="D109" s="136">
        <v>0.4</v>
      </c>
      <c r="F109" s="130">
        <f t="shared" si="4"/>
        <v>26.301369999999999</v>
      </c>
    </row>
    <row r="110" spans="1:11" hidden="1" x14ac:dyDescent="0.25">
      <c r="B110" s="122">
        <f t="shared" si="3"/>
        <v>41498</v>
      </c>
      <c r="D110" s="136">
        <v>0.4</v>
      </c>
      <c r="F110" s="130">
        <f t="shared" si="4"/>
        <v>26.301369999999999</v>
      </c>
    </row>
    <row r="111" spans="1:11" hidden="1" x14ac:dyDescent="0.25">
      <c r="B111" s="122">
        <f t="shared" si="3"/>
        <v>41499</v>
      </c>
      <c r="D111" s="136">
        <v>0.4</v>
      </c>
      <c r="F111" s="130">
        <f t="shared" si="4"/>
        <v>26.301369999999999</v>
      </c>
    </row>
    <row r="112" spans="1:11" hidden="1" x14ac:dyDescent="0.25">
      <c r="B112" s="122">
        <f t="shared" si="3"/>
        <v>41500</v>
      </c>
      <c r="D112" s="136">
        <v>0.4</v>
      </c>
      <c r="F112" s="130">
        <f t="shared" si="4"/>
        <v>26.301369999999999</v>
      </c>
    </row>
    <row r="113" spans="2:6" hidden="1" x14ac:dyDescent="0.25">
      <c r="B113" s="122">
        <f t="shared" si="3"/>
        <v>41501</v>
      </c>
      <c r="D113" s="136">
        <v>0.4</v>
      </c>
      <c r="F113" s="130">
        <f t="shared" si="4"/>
        <v>26.301369999999999</v>
      </c>
    </row>
    <row r="114" spans="2:6" hidden="1" x14ac:dyDescent="0.25">
      <c r="B114" s="122">
        <f t="shared" si="3"/>
        <v>41502</v>
      </c>
      <c r="D114" s="136">
        <v>0.4</v>
      </c>
      <c r="F114" s="130">
        <f t="shared" si="4"/>
        <v>26.301369999999999</v>
      </c>
    </row>
    <row r="115" spans="2:6" hidden="1" x14ac:dyDescent="0.25">
      <c r="B115" s="122">
        <f t="shared" si="3"/>
        <v>41503</v>
      </c>
      <c r="D115" s="136">
        <v>0.4</v>
      </c>
      <c r="F115" s="130">
        <f t="shared" si="4"/>
        <v>26.301369999999999</v>
      </c>
    </row>
    <row r="116" spans="2:6" hidden="1" x14ac:dyDescent="0.25">
      <c r="B116" s="122">
        <f t="shared" si="3"/>
        <v>41504</v>
      </c>
      <c r="D116" s="136">
        <v>0.4</v>
      </c>
      <c r="F116" s="130">
        <f t="shared" si="4"/>
        <v>26.301369999999999</v>
      </c>
    </row>
    <row r="117" spans="2:6" hidden="1" x14ac:dyDescent="0.25">
      <c r="B117" s="122">
        <f t="shared" si="3"/>
        <v>41505</v>
      </c>
      <c r="D117" s="136">
        <v>0.4</v>
      </c>
      <c r="F117" s="130">
        <f t="shared" si="4"/>
        <v>26.301369999999999</v>
      </c>
    </row>
    <row r="118" spans="2:6" hidden="1" x14ac:dyDescent="0.25">
      <c r="B118" s="122">
        <f t="shared" si="3"/>
        <v>41506</v>
      </c>
      <c r="D118" s="136">
        <v>0.4</v>
      </c>
      <c r="F118" s="130">
        <f t="shared" si="4"/>
        <v>26.301369999999999</v>
      </c>
    </row>
    <row r="119" spans="2:6" hidden="1" x14ac:dyDescent="0.25">
      <c r="B119" s="122">
        <f t="shared" si="3"/>
        <v>41507</v>
      </c>
      <c r="D119" s="136">
        <v>0.4</v>
      </c>
      <c r="F119" s="130">
        <f t="shared" si="4"/>
        <v>26.301369999999999</v>
      </c>
    </row>
    <row r="120" spans="2:6" hidden="1" x14ac:dyDescent="0.25">
      <c r="B120" s="122">
        <f t="shared" si="3"/>
        <v>41508</v>
      </c>
      <c r="D120" s="136">
        <v>0.4</v>
      </c>
      <c r="F120" s="130">
        <f t="shared" si="4"/>
        <v>26.301369999999999</v>
      </c>
    </row>
    <row r="121" spans="2:6" hidden="1" x14ac:dyDescent="0.25">
      <c r="B121" s="122">
        <f t="shared" si="3"/>
        <v>41509</v>
      </c>
      <c r="D121" s="136">
        <v>0.4</v>
      </c>
      <c r="F121" s="130">
        <f t="shared" si="4"/>
        <v>26.301369999999999</v>
      </c>
    </row>
    <row r="122" spans="2:6" hidden="1" x14ac:dyDescent="0.25">
      <c r="B122" s="122">
        <f t="shared" si="3"/>
        <v>41510</v>
      </c>
      <c r="D122" s="136">
        <v>0.4</v>
      </c>
      <c r="F122" s="130">
        <f t="shared" si="4"/>
        <v>26.301369999999999</v>
      </c>
    </row>
    <row r="123" spans="2:6" hidden="1" x14ac:dyDescent="0.25">
      <c r="B123" s="122">
        <f t="shared" si="3"/>
        <v>41511</v>
      </c>
      <c r="D123" s="136">
        <v>0.4</v>
      </c>
      <c r="F123" s="130">
        <f t="shared" si="4"/>
        <v>26.301369999999999</v>
      </c>
    </row>
    <row r="124" spans="2:6" hidden="1" x14ac:dyDescent="0.25">
      <c r="B124" s="122">
        <f t="shared" si="3"/>
        <v>41512</v>
      </c>
      <c r="D124" s="136">
        <v>0.4</v>
      </c>
      <c r="F124" s="130">
        <f t="shared" si="4"/>
        <v>26.301369999999999</v>
      </c>
    </row>
    <row r="125" spans="2:6" hidden="1" x14ac:dyDescent="0.25">
      <c r="B125" s="122">
        <f t="shared" si="3"/>
        <v>41513</v>
      </c>
      <c r="D125" s="136">
        <v>0.4</v>
      </c>
      <c r="F125" s="130">
        <f t="shared" si="4"/>
        <v>26.301369999999999</v>
      </c>
    </row>
    <row r="126" spans="2:6" hidden="1" x14ac:dyDescent="0.25">
      <c r="B126" s="122">
        <f t="shared" si="3"/>
        <v>41514</v>
      </c>
      <c r="D126" s="136">
        <v>0.4</v>
      </c>
      <c r="F126" s="130">
        <f t="shared" si="4"/>
        <v>26.301369999999999</v>
      </c>
    </row>
    <row r="127" spans="2:6" hidden="1" x14ac:dyDescent="0.25">
      <c r="B127" s="122">
        <f t="shared" si="3"/>
        <v>41515</v>
      </c>
      <c r="D127" s="136">
        <v>0.3</v>
      </c>
      <c r="F127" s="130">
        <f t="shared" si="4"/>
        <v>19.726026999999998</v>
      </c>
    </row>
    <row r="128" spans="2:6" hidden="1" x14ac:dyDescent="0.25">
      <c r="B128" s="122">
        <f t="shared" si="3"/>
        <v>41516</v>
      </c>
      <c r="D128" s="136">
        <v>0.3</v>
      </c>
      <c r="F128" s="130">
        <f t="shared" si="4"/>
        <v>19.726026999999998</v>
      </c>
    </row>
    <row r="129" spans="1:12" hidden="1" x14ac:dyDescent="0.25">
      <c r="B129" s="122">
        <f t="shared" si="3"/>
        <v>41517</v>
      </c>
      <c r="D129" s="136">
        <v>0.3</v>
      </c>
      <c r="F129" s="130">
        <f t="shared" si="4"/>
        <v>19.726026999999998</v>
      </c>
      <c r="H129" s="133">
        <f>SUM(F99:F129)</f>
        <v>795.61644100000046</v>
      </c>
      <c r="I129" s="149">
        <f>AVERAGE(D99:D129)</f>
        <v>0.39032258064516151</v>
      </c>
      <c r="J129" s="150">
        <f>AVERAGE(D7:D129)</f>
        <v>0.39756097560975517</v>
      </c>
      <c r="K129" s="148">
        <f>AVERAGE(D7:D129)</f>
        <v>0.39756097560975517</v>
      </c>
      <c r="L129" s="156"/>
    </row>
    <row r="130" spans="1:12" hidden="1" x14ac:dyDescent="0.25">
      <c r="A130" s="121">
        <v>41518</v>
      </c>
      <c r="B130" s="122">
        <f t="shared" si="3"/>
        <v>41518</v>
      </c>
      <c r="D130" s="136">
        <v>0.3</v>
      </c>
      <c r="F130" s="130">
        <f t="shared" si="4"/>
        <v>19.726026999999998</v>
      </c>
    </row>
    <row r="131" spans="1:12" hidden="1" x14ac:dyDescent="0.25">
      <c r="B131" s="122">
        <f t="shared" ref="B131:B190" si="5">B130+1</f>
        <v>41519</v>
      </c>
      <c r="D131" s="136">
        <v>0.3</v>
      </c>
      <c r="F131" s="130">
        <f t="shared" si="4"/>
        <v>19.726026999999998</v>
      </c>
    </row>
    <row r="132" spans="1:12" hidden="1" x14ac:dyDescent="0.25">
      <c r="B132" s="122">
        <f t="shared" si="5"/>
        <v>41520</v>
      </c>
      <c r="D132" s="136">
        <v>0.3</v>
      </c>
      <c r="F132" s="130">
        <f t="shared" si="4"/>
        <v>19.726026999999998</v>
      </c>
    </row>
    <row r="133" spans="1:12" hidden="1" x14ac:dyDescent="0.25">
      <c r="B133" s="122">
        <f t="shared" si="5"/>
        <v>41521</v>
      </c>
      <c r="D133" s="136">
        <v>0.3</v>
      </c>
      <c r="F133" s="130">
        <f t="shared" si="4"/>
        <v>19.726026999999998</v>
      </c>
    </row>
    <row r="134" spans="1:12" hidden="1" x14ac:dyDescent="0.25">
      <c r="B134" s="122">
        <f t="shared" si="5"/>
        <v>41522</v>
      </c>
      <c r="D134" s="136">
        <v>0.3</v>
      </c>
      <c r="F134" s="130">
        <f t="shared" si="4"/>
        <v>19.726026999999998</v>
      </c>
    </row>
    <row r="135" spans="1:12" hidden="1" x14ac:dyDescent="0.25">
      <c r="B135" s="122">
        <f t="shared" si="5"/>
        <v>41523</v>
      </c>
      <c r="D135" s="136">
        <v>0.3</v>
      </c>
      <c r="F135" s="130">
        <f t="shared" si="4"/>
        <v>19.726026999999998</v>
      </c>
    </row>
    <row r="136" spans="1:12" hidden="1" x14ac:dyDescent="0.25">
      <c r="B136" s="122">
        <f t="shared" si="5"/>
        <v>41524</v>
      </c>
      <c r="D136" s="136">
        <v>0.3</v>
      </c>
      <c r="F136" s="130">
        <f t="shared" si="4"/>
        <v>19.726026999999998</v>
      </c>
    </row>
    <row r="137" spans="1:12" hidden="1" x14ac:dyDescent="0.25">
      <c r="B137" s="122">
        <f t="shared" si="5"/>
        <v>41525</v>
      </c>
      <c r="D137" s="136">
        <v>0.3</v>
      </c>
      <c r="F137" s="130">
        <f t="shared" si="4"/>
        <v>19.726026999999998</v>
      </c>
    </row>
    <row r="138" spans="1:12" hidden="1" x14ac:dyDescent="0.25">
      <c r="B138" s="122">
        <f t="shared" si="5"/>
        <v>41526</v>
      </c>
      <c r="D138" s="136">
        <v>0.3</v>
      </c>
      <c r="F138" s="130">
        <f t="shared" si="4"/>
        <v>19.726026999999998</v>
      </c>
    </row>
    <row r="139" spans="1:12" hidden="1" x14ac:dyDescent="0.25">
      <c r="B139" s="122">
        <f t="shared" si="5"/>
        <v>41527</v>
      </c>
      <c r="D139" s="136">
        <v>0.3</v>
      </c>
      <c r="F139" s="130">
        <f t="shared" si="4"/>
        <v>19.726026999999998</v>
      </c>
    </row>
    <row r="140" spans="1:12" hidden="1" x14ac:dyDescent="0.25">
      <c r="B140" s="122">
        <f t="shared" si="5"/>
        <v>41528</v>
      </c>
      <c r="D140" s="136">
        <v>0.3</v>
      </c>
      <c r="F140" s="130">
        <f t="shared" si="4"/>
        <v>19.726026999999998</v>
      </c>
    </row>
    <row r="141" spans="1:12" hidden="1" x14ac:dyDescent="0.25">
      <c r="B141" s="122">
        <f t="shared" si="5"/>
        <v>41529</v>
      </c>
      <c r="D141" s="136">
        <v>0.3</v>
      </c>
      <c r="F141" s="130">
        <f t="shared" si="4"/>
        <v>19.726026999999998</v>
      </c>
    </row>
    <row r="142" spans="1:12" hidden="1" x14ac:dyDescent="0.25">
      <c r="B142" s="122">
        <f t="shared" si="5"/>
        <v>41530</v>
      </c>
      <c r="D142" s="136">
        <v>0.3</v>
      </c>
      <c r="F142" s="130">
        <f t="shared" si="4"/>
        <v>19.726026999999998</v>
      </c>
    </row>
    <row r="143" spans="1:12" hidden="1" x14ac:dyDescent="0.25">
      <c r="B143" s="122">
        <f t="shared" si="5"/>
        <v>41531</v>
      </c>
      <c r="D143" s="136">
        <v>0.3</v>
      </c>
      <c r="F143" s="130">
        <f t="shared" si="4"/>
        <v>19.726026999999998</v>
      </c>
    </row>
    <row r="144" spans="1:12" hidden="1" x14ac:dyDescent="0.25">
      <c r="B144" s="122">
        <f t="shared" si="5"/>
        <v>41532</v>
      </c>
      <c r="D144" s="136">
        <v>0.3</v>
      </c>
      <c r="F144" s="130">
        <f t="shared" ref="F144:F190" si="6">ROUND(D144/100*$A$3/365,6)</f>
        <v>19.726026999999998</v>
      </c>
    </row>
    <row r="145" spans="1:11" hidden="1" x14ac:dyDescent="0.25">
      <c r="B145" s="122">
        <f t="shared" si="5"/>
        <v>41533</v>
      </c>
      <c r="D145" s="136">
        <v>0.3</v>
      </c>
      <c r="F145" s="130">
        <f t="shared" si="6"/>
        <v>19.726026999999998</v>
      </c>
    </row>
    <row r="146" spans="1:11" hidden="1" x14ac:dyDescent="0.25">
      <c r="B146" s="122">
        <f t="shared" si="5"/>
        <v>41534</v>
      </c>
      <c r="D146" s="136">
        <v>0.3</v>
      </c>
      <c r="F146" s="130">
        <f t="shared" si="6"/>
        <v>19.726026999999998</v>
      </c>
    </row>
    <row r="147" spans="1:11" hidden="1" x14ac:dyDescent="0.25">
      <c r="B147" s="122">
        <f t="shared" si="5"/>
        <v>41535</v>
      </c>
      <c r="D147" s="136">
        <v>0.3</v>
      </c>
      <c r="F147" s="130">
        <f t="shared" si="6"/>
        <v>19.726026999999998</v>
      </c>
    </row>
    <row r="148" spans="1:11" hidden="1" x14ac:dyDescent="0.25">
      <c r="B148" s="122">
        <f t="shared" si="5"/>
        <v>41536</v>
      </c>
      <c r="D148" s="136">
        <v>0.3</v>
      </c>
      <c r="F148" s="130">
        <f t="shared" si="6"/>
        <v>19.726026999999998</v>
      </c>
    </row>
    <row r="149" spans="1:11" hidden="1" x14ac:dyDescent="0.25">
      <c r="B149" s="122">
        <f t="shared" si="5"/>
        <v>41537</v>
      </c>
      <c r="D149" s="136">
        <v>0.3</v>
      </c>
      <c r="F149" s="130">
        <f t="shared" si="6"/>
        <v>19.726026999999998</v>
      </c>
    </row>
    <row r="150" spans="1:11" hidden="1" x14ac:dyDescent="0.25">
      <c r="B150" s="122">
        <f t="shared" si="5"/>
        <v>41538</v>
      </c>
      <c r="D150" s="136">
        <v>0.3</v>
      </c>
      <c r="F150" s="130">
        <f t="shared" si="6"/>
        <v>19.726026999999998</v>
      </c>
    </row>
    <row r="151" spans="1:11" hidden="1" x14ac:dyDescent="0.25">
      <c r="B151" s="122">
        <f t="shared" si="5"/>
        <v>41539</v>
      </c>
      <c r="D151" s="136">
        <v>0.3</v>
      </c>
      <c r="F151" s="130">
        <f t="shared" si="6"/>
        <v>19.726026999999998</v>
      </c>
    </row>
    <row r="152" spans="1:11" hidden="1" x14ac:dyDescent="0.25">
      <c r="B152" s="122">
        <f t="shared" si="5"/>
        <v>41540</v>
      </c>
      <c r="D152" s="136">
        <v>0.3</v>
      </c>
      <c r="F152" s="130">
        <f t="shared" si="6"/>
        <v>19.726026999999998</v>
      </c>
    </row>
    <row r="153" spans="1:11" hidden="1" x14ac:dyDescent="0.25">
      <c r="B153" s="122">
        <f t="shared" si="5"/>
        <v>41541</v>
      </c>
      <c r="D153" s="136">
        <v>0.3</v>
      </c>
      <c r="F153" s="130">
        <f t="shared" si="6"/>
        <v>19.726026999999998</v>
      </c>
    </row>
    <row r="154" spans="1:11" hidden="1" x14ac:dyDescent="0.25">
      <c r="B154" s="122">
        <f t="shared" si="5"/>
        <v>41542</v>
      </c>
      <c r="D154" s="136">
        <v>0.3</v>
      </c>
      <c r="F154" s="130">
        <f t="shared" si="6"/>
        <v>19.726026999999998</v>
      </c>
    </row>
    <row r="155" spans="1:11" hidden="1" x14ac:dyDescent="0.25">
      <c r="B155" s="122">
        <f t="shared" si="5"/>
        <v>41543</v>
      </c>
      <c r="D155" s="136">
        <v>0.3</v>
      </c>
      <c r="F155" s="130">
        <f t="shared" si="6"/>
        <v>19.726026999999998</v>
      </c>
    </row>
    <row r="156" spans="1:11" hidden="1" x14ac:dyDescent="0.25">
      <c r="B156" s="122">
        <f t="shared" si="5"/>
        <v>41544</v>
      </c>
      <c r="D156" s="136">
        <v>0.3</v>
      </c>
      <c r="F156" s="130">
        <f t="shared" si="6"/>
        <v>19.726026999999998</v>
      </c>
    </row>
    <row r="157" spans="1:11" hidden="1" x14ac:dyDescent="0.25">
      <c r="B157" s="122">
        <f t="shared" si="5"/>
        <v>41545</v>
      </c>
      <c r="D157" s="136">
        <v>0.3</v>
      </c>
      <c r="F157" s="130">
        <f t="shared" si="6"/>
        <v>19.726026999999998</v>
      </c>
    </row>
    <row r="158" spans="1:11" hidden="1" x14ac:dyDescent="0.25">
      <c r="B158" s="122">
        <f t="shared" si="5"/>
        <v>41546</v>
      </c>
      <c r="D158" s="136">
        <v>0.3</v>
      </c>
      <c r="F158" s="130">
        <f t="shared" si="6"/>
        <v>19.726026999999998</v>
      </c>
    </row>
    <row r="159" spans="1:11" hidden="1" x14ac:dyDescent="0.25">
      <c r="B159" s="122">
        <f t="shared" si="5"/>
        <v>41547</v>
      </c>
      <c r="D159" s="136">
        <v>0.3</v>
      </c>
      <c r="F159" s="130">
        <f t="shared" si="6"/>
        <v>19.726026999999998</v>
      </c>
      <c r="H159" s="133">
        <f>SUM(F130:F159)</f>
        <v>591.78080999999997</v>
      </c>
      <c r="I159" s="149">
        <f>AVERAGE(D130:D159)</f>
        <v>0.3</v>
      </c>
      <c r="J159" s="150">
        <f>AVERAGE(D7:D159)</f>
        <v>0.37843137254901832</v>
      </c>
      <c r="K159" s="148">
        <f>AVERAGE(D7:D159)</f>
        <v>0.37843137254901832</v>
      </c>
    </row>
    <row r="160" spans="1:11" x14ac:dyDescent="0.25">
      <c r="A160" s="121">
        <v>41548</v>
      </c>
      <c r="B160" s="122">
        <f t="shared" si="5"/>
        <v>41548</v>
      </c>
      <c r="D160" s="136">
        <v>0.3</v>
      </c>
      <c r="F160" s="130">
        <f t="shared" si="6"/>
        <v>19.726026999999998</v>
      </c>
    </row>
    <row r="161" spans="2:6" x14ac:dyDescent="0.25">
      <c r="B161" s="122">
        <f t="shared" si="5"/>
        <v>41549</v>
      </c>
      <c r="D161" s="136">
        <v>0.3</v>
      </c>
      <c r="F161" s="130">
        <f t="shared" si="6"/>
        <v>19.726026999999998</v>
      </c>
    </row>
    <row r="162" spans="2:6" x14ac:dyDescent="0.25">
      <c r="B162" s="122">
        <f t="shared" si="5"/>
        <v>41550</v>
      </c>
      <c r="D162" s="136">
        <v>0.3</v>
      </c>
      <c r="F162" s="130">
        <f t="shared" si="6"/>
        <v>19.726026999999998</v>
      </c>
    </row>
    <row r="163" spans="2:6" x14ac:dyDescent="0.25">
      <c r="B163" s="122">
        <f t="shared" si="5"/>
        <v>41551</v>
      </c>
      <c r="D163" s="136">
        <v>0.3</v>
      </c>
      <c r="F163" s="130">
        <f t="shared" si="6"/>
        <v>19.726026999999998</v>
      </c>
    </row>
    <row r="164" spans="2:6" x14ac:dyDescent="0.25">
      <c r="B164" s="122">
        <f t="shared" si="5"/>
        <v>41552</v>
      </c>
      <c r="D164" s="136">
        <v>0.3</v>
      </c>
      <c r="F164" s="130">
        <f t="shared" si="6"/>
        <v>19.726026999999998</v>
      </c>
    </row>
    <row r="165" spans="2:6" x14ac:dyDescent="0.25">
      <c r="B165" s="122">
        <f t="shared" si="5"/>
        <v>41553</v>
      </c>
      <c r="D165" s="136">
        <v>0.3</v>
      </c>
      <c r="F165" s="130">
        <f t="shared" si="6"/>
        <v>19.726026999999998</v>
      </c>
    </row>
    <row r="166" spans="2:6" x14ac:dyDescent="0.25">
      <c r="B166" s="122">
        <f t="shared" si="5"/>
        <v>41554</v>
      </c>
      <c r="D166" s="136">
        <v>0.3</v>
      </c>
      <c r="F166" s="130">
        <f t="shared" si="6"/>
        <v>19.726026999999998</v>
      </c>
    </row>
    <row r="167" spans="2:6" x14ac:dyDescent="0.25">
      <c r="B167" s="122">
        <f t="shared" si="5"/>
        <v>41555</v>
      </c>
      <c r="D167" s="136">
        <v>0.3</v>
      </c>
      <c r="F167" s="130">
        <f t="shared" si="6"/>
        <v>19.726026999999998</v>
      </c>
    </row>
    <row r="168" spans="2:6" x14ac:dyDescent="0.25">
      <c r="B168" s="122">
        <f t="shared" si="5"/>
        <v>41556</v>
      </c>
      <c r="D168" s="136">
        <v>0.3</v>
      </c>
      <c r="F168" s="130">
        <f t="shared" si="6"/>
        <v>19.726026999999998</v>
      </c>
    </row>
    <row r="169" spans="2:6" x14ac:dyDescent="0.25">
      <c r="B169" s="122">
        <f t="shared" si="5"/>
        <v>41557</v>
      </c>
      <c r="D169" s="136">
        <v>0.3</v>
      </c>
      <c r="F169" s="130">
        <f t="shared" si="6"/>
        <v>19.726026999999998</v>
      </c>
    </row>
    <row r="170" spans="2:6" x14ac:dyDescent="0.25">
      <c r="B170" s="122">
        <f t="shared" si="5"/>
        <v>41558</v>
      </c>
      <c r="D170" s="136">
        <v>0.3</v>
      </c>
      <c r="F170" s="130">
        <f t="shared" si="6"/>
        <v>19.726026999999998</v>
      </c>
    </row>
    <row r="171" spans="2:6" x14ac:dyDescent="0.25">
      <c r="B171" s="122">
        <f t="shared" si="5"/>
        <v>41559</v>
      </c>
      <c r="D171" s="136">
        <v>0.3</v>
      </c>
      <c r="F171" s="130">
        <f t="shared" si="6"/>
        <v>19.726026999999998</v>
      </c>
    </row>
    <row r="172" spans="2:6" x14ac:dyDescent="0.25">
      <c r="B172" s="122">
        <f t="shared" si="5"/>
        <v>41560</v>
      </c>
      <c r="D172" s="136">
        <v>0.3</v>
      </c>
      <c r="F172" s="130">
        <f t="shared" si="6"/>
        <v>19.726026999999998</v>
      </c>
    </row>
    <row r="173" spans="2:6" x14ac:dyDescent="0.25">
      <c r="B173" s="122">
        <f t="shared" si="5"/>
        <v>41561</v>
      </c>
      <c r="D173" s="136">
        <v>0.3</v>
      </c>
      <c r="F173" s="130">
        <f t="shared" si="6"/>
        <v>19.726026999999998</v>
      </c>
    </row>
    <row r="174" spans="2:6" x14ac:dyDescent="0.25">
      <c r="B174" s="122">
        <f t="shared" si="5"/>
        <v>41562</v>
      </c>
      <c r="D174" s="136">
        <v>0.3</v>
      </c>
      <c r="F174" s="130">
        <f t="shared" si="6"/>
        <v>19.726026999999998</v>
      </c>
    </row>
    <row r="175" spans="2:6" x14ac:dyDescent="0.25">
      <c r="B175" s="122">
        <f t="shared" si="5"/>
        <v>41563</v>
      </c>
      <c r="D175" s="136">
        <v>0.3</v>
      </c>
      <c r="F175" s="130">
        <f t="shared" si="6"/>
        <v>19.726026999999998</v>
      </c>
    </row>
    <row r="176" spans="2:6" x14ac:dyDescent="0.25">
      <c r="B176" s="122">
        <f t="shared" si="5"/>
        <v>41564</v>
      </c>
      <c r="D176" s="136">
        <v>0.3</v>
      </c>
      <c r="F176" s="130">
        <f t="shared" si="6"/>
        <v>19.726026999999998</v>
      </c>
    </row>
    <row r="177" spans="2:11" x14ac:dyDescent="0.25">
      <c r="B177" s="122">
        <f t="shared" si="5"/>
        <v>41565</v>
      </c>
      <c r="D177" s="136">
        <v>0.3</v>
      </c>
      <c r="F177" s="130">
        <f t="shared" si="6"/>
        <v>19.726026999999998</v>
      </c>
    </row>
    <row r="178" spans="2:11" x14ac:dyDescent="0.25">
      <c r="B178" s="122">
        <f t="shared" si="5"/>
        <v>41566</v>
      </c>
      <c r="D178" s="136">
        <v>0.3</v>
      </c>
      <c r="F178" s="130">
        <f t="shared" si="6"/>
        <v>19.726026999999998</v>
      </c>
    </row>
    <row r="179" spans="2:11" x14ac:dyDescent="0.25">
      <c r="B179" s="122">
        <f t="shared" si="5"/>
        <v>41567</v>
      </c>
      <c r="D179" s="136">
        <v>0.3</v>
      </c>
      <c r="F179" s="130">
        <f t="shared" si="6"/>
        <v>19.726026999999998</v>
      </c>
    </row>
    <row r="180" spans="2:11" x14ac:dyDescent="0.25">
      <c r="B180" s="122">
        <f t="shared" si="5"/>
        <v>41568</v>
      </c>
      <c r="D180" s="136">
        <v>0.3</v>
      </c>
      <c r="F180" s="130">
        <f t="shared" si="6"/>
        <v>19.726026999999998</v>
      </c>
    </row>
    <row r="181" spans="2:11" x14ac:dyDescent="0.25">
      <c r="B181" s="122">
        <f t="shared" si="5"/>
        <v>41569</v>
      </c>
      <c r="D181" s="136">
        <v>0.3</v>
      </c>
      <c r="F181" s="130">
        <f t="shared" si="6"/>
        <v>19.726026999999998</v>
      </c>
    </row>
    <row r="182" spans="2:11" x14ac:dyDescent="0.25">
      <c r="B182" s="122">
        <f t="shared" si="5"/>
        <v>41570</v>
      </c>
      <c r="D182" s="136">
        <v>0.3</v>
      </c>
      <c r="F182" s="130">
        <f t="shared" si="6"/>
        <v>19.726026999999998</v>
      </c>
    </row>
    <row r="183" spans="2:11" x14ac:dyDescent="0.25">
      <c r="B183" s="122">
        <f t="shared" si="5"/>
        <v>41571</v>
      </c>
      <c r="D183" s="136">
        <v>0.3</v>
      </c>
      <c r="F183" s="130">
        <f t="shared" si="6"/>
        <v>19.726026999999998</v>
      </c>
    </row>
    <row r="184" spans="2:11" x14ac:dyDescent="0.25">
      <c r="B184" s="122">
        <f t="shared" si="5"/>
        <v>41572</v>
      </c>
      <c r="D184" s="136">
        <v>0.3</v>
      </c>
      <c r="F184" s="130">
        <f t="shared" si="6"/>
        <v>19.726026999999998</v>
      </c>
    </row>
    <row r="185" spans="2:11" x14ac:dyDescent="0.25">
      <c r="B185" s="122">
        <f t="shared" si="5"/>
        <v>41573</v>
      </c>
      <c r="D185" s="136">
        <v>0.3</v>
      </c>
      <c r="F185" s="130">
        <f t="shared" si="6"/>
        <v>19.726026999999998</v>
      </c>
    </row>
    <row r="186" spans="2:11" x14ac:dyDescent="0.25">
      <c r="B186" s="122">
        <f t="shared" si="5"/>
        <v>41574</v>
      </c>
      <c r="D186" s="136">
        <v>0.3</v>
      </c>
      <c r="F186" s="130">
        <f t="shared" si="6"/>
        <v>19.726026999999998</v>
      </c>
    </row>
    <row r="187" spans="2:11" x14ac:dyDescent="0.25">
      <c r="B187" s="122">
        <f t="shared" si="5"/>
        <v>41575</v>
      </c>
      <c r="D187" s="136">
        <v>0.3</v>
      </c>
      <c r="F187" s="130">
        <f t="shared" si="6"/>
        <v>19.726026999999998</v>
      </c>
    </row>
    <row r="188" spans="2:11" x14ac:dyDescent="0.25">
      <c r="B188" s="122">
        <f t="shared" si="5"/>
        <v>41576</v>
      </c>
      <c r="D188" s="136">
        <v>0.3</v>
      </c>
      <c r="F188" s="130">
        <f t="shared" si="6"/>
        <v>19.726026999999998</v>
      </c>
    </row>
    <row r="189" spans="2:11" x14ac:dyDescent="0.25">
      <c r="B189" s="122">
        <f t="shared" si="5"/>
        <v>41577</v>
      </c>
      <c r="D189" s="136">
        <v>0.3</v>
      </c>
      <c r="F189" s="130">
        <f t="shared" si="6"/>
        <v>19.726026999999998</v>
      </c>
    </row>
    <row r="190" spans="2:11" x14ac:dyDescent="0.25">
      <c r="B190" s="122">
        <f t="shared" si="5"/>
        <v>41578</v>
      </c>
      <c r="D190" s="136">
        <v>0.3</v>
      </c>
      <c r="F190" s="130">
        <f t="shared" si="6"/>
        <v>19.726026999999998</v>
      </c>
      <c r="H190" s="133">
        <f>SUM(F160:F190)</f>
        <v>611.50683700000002</v>
      </c>
      <c r="I190" s="149">
        <f>AVERAGE(D160:D190)</f>
        <v>0.30000000000000004</v>
      </c>
      <c r="J190" s="150">
        <f>AVERAGE(D7:D190)</f>
        <v>0.36521739130434627</v>
      </c>
      <c r="K190" s="148">
        <f>AVERAGE(D7:D190)</f>
        <v>0.36521739130434627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>
    <pageSetUpPr fitToPage="1"/>
  </sheetPr>
  <dimension ref="A1:IZ190"/>
  <sheetViews>
    <sheetView zoomScaleNormal="100" workbookViewId="0">
      <pane ySplit="5" topLeftCell="A169" activePane="bottomLeft" state="frozen"/>
      <selection sqref="A1:XFD1048576"/>
      <selection pane="bottomLeft" activeCell="A7" sqref="A7:XFD159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46" customWidth="1"/>
    <col min="10" max="10" width="11.7109375" style="147" customWidth="1"/>
    <col min="11" max="11" width="9.140625" style="154"/>
    <col min="12" max="14" width="9.140625" style="120"/>
    <col min="15" max="260" width="9.140625" style="142"/>
    <col min="261" max="16384" width="9.140625" style="120"/>
  </cols>
  <sheetData>
    <row r="1" spans="1:14" ht="12.75" x14ac:dyDescent="0.2">
      <c r="A1" s="502" t="s">
        <v>106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7400000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237186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57" customHeight="1" x14ac:dyDescent="0.25">
      <c r="B5" s="122"/>
      <c r="D5" s="123"/>
      <c r="H5" s="124" t="s">
        <v>99</v>
      </c>
      <c r="I5" s="143" t="s">
        <v>100</v>
      </c>
      <c r="J5" s="144" t="s">
        <v>101</v>
      </c>
      <c r="K5" s="127" t="s">
        <v>102</v>
      </c>
      <c r="L5" s="128"/>
      <c r="M5" s="128"/>
      <c r="N5" s="128"/>
    </row>
    <row r="6" spans="1:14" x14ac:dyDescent="0.25">
      <c r="B6" s="122"/>
      <c r="D6" s="123"/>
      <c r="H6" s="124"/>
      <c r="I6" s="143"/>
      <c r="J6" s="144"/>
      <c r="K6" s="155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0.4</v>
      </c>
      <c r="F7" s="130">
        <f t="shared" ref="F7:F15" si="0">ROUND(D7/100*$A$3/365,6)</f>
        <v>81.095889999999997</v>
      </c>
    </row>
    <row r="8" spans="1:14" hidden="1" x14ac:dyDescent="0.25">
      <c r="B8" s="122">
        <f t="shared" ref="B8:B66" si="1">B7+1</f>
        <v>41396</v>
      </c>
      <c r="D8" s="136">
        <v>0.4</v>
      </c>
      <c r="F8" s="130">
        <f t="shared" si="0"/>
        <v>81.095889999999997</v>
      </c>
    </row>
    <row r="9" spans="1:14" hidden="1" x14ac:dyDescent="0.25">
      <c r="B9" s="122">
        <f t="shared" si="1"/>
        <v>41397</v>
      </c>
      <c r="D9" s="136">
        <v>0.4</v>
      </c>
      <c r="F9" s="130">
        <f t="shared" si="0"/>
        <v>81.095889999999997</v>
      </c>
    </row>
    <row r="10" spans="1:14" hidden="1" x14ac:dyDescent="0.25">
      <c r="B10" s="122">
        <f t="shared" si="1"/>
        <v>41398</v>
      </c>
      <c r="D10" s="136">
        <v>0.4</v>
      </c>
      <c r="F10" s="130">
        <f t="shared" si="0"/>
        <v>81.095889999999997</v>
      </c>
    </row>
    <row r="11" spans="1:14" hidden="1" x14ac:dyDescent="0.25">
      <c r="B11" s="122">
        <f t="shared" si="1"/>
        <v>41399</v>
      </c>
      <c r="D11" s="136">
        <v>0.4</v>
      </c>
      <c r="F11" s="130">
        <f t="shared" si="0"/>
        <v>81.095889999999997</v>
      </c>
    </row>
    <row r="12" spans="1:14" hidden="1" x14ac:dyDescent="0.25">
      <c r="B12" s="122">
        <f t="shared" si="1"/>
        <v>41400</v>
      </c>
      <c r="D12" s="136">
        <v>0.4</v>
      </c>
      <c r="F12" s="130">
        <f t="shared" si="0"/>
        <v>81.095889999999997</v>
      </c>
    </row>
    <row r="13" spans="1:14" hidden="1" x14ac:dyDescent="0.25">
      <c r="B13" s="122">
        <f t="shared" si="1"/>
        <v>41401</v>
      </c>
      <c r="D13" s="136">
        <v>0.4</v>
      </c>
      <c r="F13" s="130">
        <f t="shared" si="0"/>
        <v>81.095889999999997</v>
      </c>
    </row>
    <row r="14" spans="1:14" hidden="1" x14ac:dyDescent="0.25">
      <c r="B14" s="122">
        <f t="shared" si="1"/>
        <v>41402</v>
      </c>
      <c r="D14" s="136">
        <v>0.4</v>
      </c>
      <c r="F14" s="130">
        <f t="shared" si="0"/>
        <v>81.095889999999997</v>
      </c>
    </row>
    <row r="15" spans="1:14" hidden="1" x14ac:dyDescent="0.25">
      <c r="B15" s="122">
        <f t="shared" si="1"/>
        <v>41403</v>
      </c>
      <c r="D15" s="136">
        <v>0.4</v>
      </c>
      <c r="F15" s="130">
        <f t="shared" si="0"/>
        <v>81.095889999999997</v>
      </c>
    </row>
    <row r="16" spans="1:14" hidden="1" x14ac:dyDescent="0.25">
      <c r="B16" s="122">
        <f t="shared" si="1"/>
        <v>41404</v>
      </c>
      <c r="D16" s="136">
        <v>0.4</v>
      </c>
      <c r="F16" s="130">
        <f t="shared" ref="F16:F79" si="2">ROUND(D16/100*$A$3/365,6)</f>
        <v>81.095889999999997</v>
      </c>
    </row>
    <row r="17" spans="2:6" hidden="1" x14ac:dyDescent="0.25">
      <c r="B17" s="122">
        <f t="shared" si="1"/>
        <v>41405</v>
      </c>
      <c r="D17" s="136">
        <v>0.4</v>
      </c>
      <c r="F17" s="130">
        <f t="shared" si="2"/>
        <v>81.095889999999997</v>
      </c>
    </row>
    <row r="18" spans="2:6" hidden="1" x14ac:dyDescent="0.25">
      <c r="B18" s="122">
        <f t="shared" si="1"/>
        <v>41406</v>
      </c>
      <c r="D18" s="136">
        <v>0.4</v>
      </c>
      <c r="F18" s="130">
        <f t="shared" si="2"/>
        <v>81.095889999999997</v>
      </c>
    </row>
    <row r="19" spans="2:6" hidden="1" x14ac:dyDescent="0.25">
      <c r="B19" s="122">
        <f t="shared" si="1"/>
        <v>41407</v>
      </c>
      <c r="D19" s="136">
        <v>0.4</v>
      </c>
      <c r="F19" s="130">
        <f t="shared" si="2"/>
        <v>81.095889999999997</v>
      </c>
    </row>
    <row r="20" spans="2:6" hidden="1" x14ac:dyDescent="0.25">
      <c r="B20" s="122">
        <f t="shared" si="1"/>
        <v>41408</v>
      </c>
      <c r="D20" s="136">
        <v>0.4</v>
      </c>
      <c r="F20" s="130">
        <f t="shared" si="2"/>
        <v>81.095889999999997</v>
      </c>
    </row>
    <row r="21" spans="2:6" hidden="1" x14ac:dyDescent="0.25">
      <c r="B21" s="122">
        <f t="shared" si="1"/>
        <v>41409</v>
      </c>
      <c r="D21" s="136">
        <v>0.4</v>
      </c>
      <c r="F21" s="130">
        <f t="shared" si="2"/>
        <v>81.095889999999997</v>
      </c>
    </row>
    <row r="22" spans="2:6" hidden="1" x14ac:dyDescent="0.25">
      <c r="B22" s="122">
        <f t="shared" si="1"/>
        <v>41410</v>
      </c>
      <c r="D22" s="136">
        <v>0.4</v>
      </c>
      <c r="F22" s="130">
        <f t="shared" si="2"/>
        <v>81.095889999999997</v>
      </c>
    </row>
    <row r="23" spans="2:6" hidden="1" x14ac:dyDescent="0.25">
      <c r="B23" s="122">
        <f t="shared" si="1"/>
        <v>41411</v>
      </c>
      <c r="D23" s="136">
        <v>0.4</v>
      </c>
      <c r="F23" s="130">
        <f t="shared" si="2"/>
        <v>81.095889999999997</v>
      </c>
    </row>
    <row r="24" spans="2:6" hidden="1" x14ac:dyDescent="0.25">
      <c r="B24" s="122">
        <f t="shared" si="1"/>
        <v>41412</v>
      </c>
      <c r="D24" s="136">
        <v>0.4</v>
      </c>
      <c r="F24" s="130">
        <f t="shared" si="2"/>
        <v>81.095889999999997</v>
      </c>
    </row>
    <row r="25" spans="2:6" hidden="1" x14ac:dyDescent="0.25">
      <c r="B25" s="122">
        <f t="shared" si="1"/>
        <v>41413</v>
      </c>
      <c r="D25" s="136">
        <v>0.4</v>
      </c>
      <c r="F25" s="130">
        <f t="shared" si="2"/>
        <v>81.095889999999997</v>
      </c>
    </row>
    <row r="26" spans="2:6" hidden="1" x14ac:dyDescent="0.25">
      <c r="B26" s="122">
        <f t="shared" si="1"/>
        <v>41414</v>
      </c>
      <c r="D26" s="136">
        <v>0.4</v>
      </c>
      <c r="F26" s="130">
        <f t="shared" si="2"/>
        <v>81.095889999999997</v>
      </c>
    </row>
    <row r="27" spans="2:6" hidden="1" x14ac:dyDescent="0.25">
      <c r="B27" s="122">
        <f t="shared" si="1"/>
        <v>41415</v>
      </c>
      <c r="D27" s="136">
        <v>0.4</v>
      </c>
      <c r="F27" s="130">
        <f t="shared" si="2"/>
        <v>81.095889999999997</v>
      </c>
    </row>
    <row r="28" spans="2:6" hidden="1" x14ac:dyDescent="0.25">
      <c r="B28" s="122">
        <f t="shared" si="1"/>
        <v>41416</v>
      </c>
      <c r="D28" s="136">
        <v>0.4</v>
      </c>
      <c r="F28" s="130">
        <f t="shared" si="2"/>
        <v>81.095889999999997</v>
      </c>
    </row>
    <row r="29" spans="2:6" hidden="1" x14ac:dyDescent="0.25">
      <c r="B29" s="122">
        <f t="shared" si="1"/>
        <v>41417</v>
      </c>
      <c r="D29" s="136">
        <v>0.4</v>
      </c>
      <c r="F29" s="130">
        <f t="shared" si="2"/>
        <v>81.095889999999997</v>
      </c>
    </row>
    <row r="30" spans="2:6" hidden="1" x14ac:dyDescent="0.25">
      <c r="B30" s="122">
        <f t="shared" si="1"/>
        <v>41418</v>
      </c>
      <c r="D30" s="136">
        <v>0.4</v>
      </c>
      <c r="F30" s="130">
        <f t="shared" si="2"/>
        <v>81.095889999999997</v>
      </c>
    </row>
    <row r="31" spans="2:6" hidden="1" x14ac:dyDescent="0.25">
      <c r="B31" s="122">
        <f t="shared" si="1"/>
        <v>41419</v>
      </c>
      <c r="D31" s="136">
        <v>0.4</v>
      </c>
      <c r="F31" s="130">
        <f t="shared" si="2"/>
        <v>81.095889999999997</v>
      </c>
    </row>
    <row r="32" spans="2:6" hidden="1" x14ac:dyDescent="0.25">
      <c r="B32" s="122">
        <f t="shared" si="1"/>
        <v>41420</v>
      </c>
      <c r="D32" s="136">
        <v>0.4</v>
      </c>
      <c r="F32" s="130">
        <f t="shared" si="2"/>
        <v>81.095889999999997</v>
      </c>
    </row>
    <row r="33" spans="1:11" hidden="1" x14ac:dyDescent="0.25">
      <c r="B33" s="122">
        <f t="shared" si="1"/>
        <v>41421</v>
      </c>
      <c r="D33" s="136">
        <v>0.4</v>
      </c>
      <c r="F33" s="130">
        <f t="shared" si="2"/>
        <v>81.095889999999997</v>
      </c>
    </row>
    <row r="34" spans="1:11" hidden="1" x14ac:dyDescent="0.25">
      <c r="B34" s="122">
        <f t="shared" si="1"/>
        <v>41422</v>
      </c>
      <c r="D34" s="136">
        <v>0.4</v>
      </c>
      <c r="F34" s="130">
        <f t="shared" si="2"/>
        <v>81.095889999999997</v>
      </c>
    </row>
    <row r="35" spans="1:11" hidden="1" x14ac:dyDescent="0.25">
      <c r="B35" s="122">
        <f t="shared" si="1"/>
        <v>41423</v>
      </c>
      <c r="D35" s="136">
        <v>0.4</v>
      </c>
      <c r="F35" s="130">
        <f t="shared" si="2"/>
        <v>81.095889999999997</v>
      </c>
    </row>
    <row r="36" spans="1:11" hidden="1" x14ac:dyDescent="0.25">
      <c r="B36" s="122">
        <f t="shared" si="1"/>
        <v>41424</v>
      </c>
      <c r="D36" s="136">
        <v>0.4</v>
      </c>
      <c r="F36" s="130">
        <f t="shared" si="2"/>
        <v>81.095889999999997</v>
      </c>
    </row>
    <row r="37" spans="1:11" hidden="1" x14ac:dyDescent="0.25">
      <c r="B37" s="122">
        <f t="shared" si="1"/>
        <v>41425</v>
      </c>
      <c r="D37" s="136">
        <v>0.4</v>
      </c>
      <c r="F37" s="130">
        <f t="shared" si="2"/>
        <v>81.095889999999997</v>
      </c>
      <c r="H37" s="133">
        <f>SUM(F7:F37)</f>
        <v>2513.9725900000012</v>
      </c>
      <c r="I37" s="149">
        <f>AVERAGE(D7:D37)</f>
        <v>0.40000000000000019</v>
      </c>
      <c r="J37" s="150">
        <f>AVERAGE(D7:D37)</f>
        <v>0.40000000000000019</v>
      </c>
      <c r="K37" s="148">
        <f>AVERAGE(D7:D37)</f>
        <v>0.40000000000000019</v>
      </c>
    </row>
    <row r="38" spans="1:11" hidden="1" x14ac:dyDescent="0.25">
      <c r="A38" s="121">
        <v>41426</v>
      </c>
      <c r="B38" s="122">
        <f t="shared" si="1"/>
        <v>41426</v>
      </c>
      <c r="D38" s="136">
        <v>0.4</v>
      </c>
      <c r="F38" s="130">
        <f t="shared" si="2"/>
        <v>81.095889999999997</v>
      </c>
    </row>
    <row r="39" spans="1:11" hidden="1" x14ac:dyDescent="0.25">
      <c r="B39" s="122">
        <f t="shared" si="1"/>
        <v>41427</v>
      </c>
      <c r="D39" s="136">
        <v>0.4</v>
      </c>
      <c r="F39" s="130">
        <f t="shared" si="2"/>
        <v>81.095889999999997</v>
      </c>
    </row>
    <row r="40" spans="1:11" hidden="1" x14ac:dyDescent="0.25">
      <c r="B40" s="122">
        <f t="shared" si="1"/>
        <v>41428</v>
      </c>
      <c r="D40" s="136">
        <v>0.4</v>
      </c>
      <c r="F40" s="130">
        <f t="shared" si="2"/>
        <v>81.095889999999997</v>
      </c>
    </row>
    <row r="41" spans="1:11" hidden="1" x14ac:dyDescent="0.25">
      <c r="B41" s="122">
        <f t="shared" si="1"/>
        <v>41429</v>
      </c>
      <c r="D41" s="136">
        <v>0.4</v>
      </c>
      <c r="F41" s="130">
        <f t="shared" si="2"/>
        <v>81.095889999999997</v>
      </c>
    </row>
    <row r="42" spans="1:11" hidden="1" x14ac:dyDescent="0.25">
      <c r="B42" s="122">
        <f t="shared" si="1"/>
        <v>41430</v>
      </c>
      <c r="D42" s="136">
        <v>0.4</v>
      </c>
      <c r="F42" s="130">
        <f t="shared" si="2"/>
        <v>81.095889999999997</v>
      </c>
    </row>
    <row r="43" spans="1:11" hidden="1" x14ac:dyDescent="0.25">
      <c r="B43" s="122">
        <f t="shared" si="1"/>
        <v>41431</v>
      </c>
      <c r="D43" s="136">
        <v>0.4</v>
      </c>
      <c r="F43" s="130">
        <f t="shared" si="2"/>
        <v>81.095889999999997</v>
      </c>
    </row>
    <row r="44" spans="1:11" hidden="1" x14ac:dyDescent="0.25">
      <c r="B44" s="122">
        <f t="shared" si="1"/>
        <v>41432</v>
      </c>
      <c r="D44" s="136">
        <v>0.4</v>
      </c>
      <c r="F44" s="130">
        <f t="shared" si="2"/>
        <v>81.095889999999997</v>
      </c>
    </row>
    <row r="45" spans="1:11" hidden="1" x14ac:dyDescent="0.25">
      <c r="B45" s="122">
        <f t="shared" si="1"/>
        <v>41433</v>
      </c>
      <c r="D45" s="136">
        <v>0.4</v>
      </c>
      <c r="F45" s="130">
        <f t="shared" si="2"/>
        <v>81.095889999999997</v>
      </c>
    </row>
    <row r="46" spans="1:11" hidden="1" x14ac:dyDescent="0.25">
      <c r="B46" s="122">
        <f t="shared" si="1"/>
        <v>41434</v>
      </c>
      <c r="D46" s="136">
        <v>0.4</v>
      </c>
      <c r="F46" s="130">
        <f t="shared" si="2"/>
        <v>81.095889999999997</v>
      </c>
    </row>
    <row r="47" spans="1:11" hidden="1" x14ac:dyDescent="0.25">
      <c r="B47" s="122">
        <f t="shared" si="1"/>
        <v>41435</v>
      </c>
      <c r="D47" s="136">
        <v>0.4</v>
      </c>
      <c r="F47" s="130">
        <f t="shared" si="2"/>
        <v>81.095889999999997</v>
      </c>
    </row>
    <row r="48" spans="1:11" hidden="1" x14ac:dyDescent="0.25">
      <c r="B48" s="122">
        <f t="shared" si="1"/>
        <v>41436</v>
      </c>
      <c r="D48" s="136">
        <v>0.4</v>
      </c>
      <c r="F48" s="130">
        <f t="shared" si="2"/>
        <v>81.095889999999997</v>
      </c>
    </row>
    <row r="49" spans="2:6" hidden="1" x14ac:dyDescent="0.25">
      <c r="B49" s="122">
        <f t="shared" si="1"/>
        <v>41437</v>
      </c>
      <c r="D49" s="136">
        <v>0.4</v>
      </c>
      <c r="F49" s="130">
        <f t="shared" si="2"/>
        <v>81.095889999999997</v>
      </c>
    </row>
    <row r="50" spans="2:6" hidden="1" x14ac:dyDescent="0.25">
      <c r="B50" s="122">
        <f t="shared" si="1"/>
        <v>41438</v>
      </c>
      <c r="D50" s="136">
        <v>0.4</v>
      </c>
      <c r="F50" s="130">
        <f t="shared" si="2"/>
        <v>81.095889999999997</v>
      </c>
    </row>
    <row r="51" spans="2:6" hidden="1" x14ac:dyDescent="0.25">
      <c r="B51" s="122">
        <f t="shared" si="1"/>
        <v>41439</v>
      </c>
      <c r="D51" s="136">
        <v>0.4</v>
      </c>
      <c r="F51" s="130">
        <f t="shared" si="2"/>
        <v>81.095889999999997</v>
      </c>
    </row>
    <row r="52" spans="2:6" hidden="1" x14ac:dyDescent="0.25">
      <c r="B52" s="122">
        <f t="shared" si="1"/>
        <v>41440</v>
      </c>
      <c r="D52" s="136">
        <v>0.4</v>
      </c>
      <c r="F52" s="130">
        <f t="shared" si="2"/>
        <v>81.095889999999997</v>
      </c>
    </row>
    <row r="53" spans="2:6" hidden="1" x14ac:dyDescent="0.25">
      <c r="B53" s="122">
        <f t="shared" si="1"/>
        <v>41441</v>
      </c>
      <c r="D53" s="136">
        <v>0.4</v>
      </c>
      <c r="F53" s="130">
        <f t="shared" si="2"/>
        <v>81.095889999999997</v>
      </c>
    </row>
    <row r="54" spans="2:6" hidden="1" x14ac:dyDescent="0.25">
      <c r="B54" s="122">
        <f t="shared" si="1"/>
        <v>41442</v>
      </c>
      <c r="D54" s="136">
        <v>0.4</v>
      </c>
      <c r="F54" s="130">
        <f t="shared" si="2"/>
        <v>81.095889999999997</v>
      </c>
    </row>
    <row r="55" spans="2:6" hidden="1" x14ac:dyDescent="0.25">
      <c r="B55" s="122">
        <f t="shared" si="1"/>
        <v>41443</v>
      </c>
      <c r="D55" s="136">
        <v>0.4</v>
      </c>
      <c r="F55" s="130">
        <f t="shared" si="2"/>
        <v>81.095889999999997</v>
      </c>
    </row>
    <row r="56" spans="2:6" hidden="1" x14ac:dyDescent="0.25">
      <c r="B56" s="122">
        <f t="shared" si="1"/>
        <v>41444</v>
      </c>
      <c r="D56" s="136">
        <v>0.4</v>
      </c>
      <c r="F56" s="130">
        <f t="shared" si="2"/>
        <v>81.095889999999997</v>
      </c>
    </row>
    <row r="57" spans="2:6" hidden="1" x14ac:dyDescent="0.25">
      <c r="B57" s="122">
        <f t="shared" si="1"/>
        <v>41445</v>
      </c>
      <c r="D57" s="136">
        <v>0.4</v>
      </c>
      <c r="F57" s="130">
        <f t="shared" si="2"/>
        <v>81.095889999999997</v>
      </c>
    </row>
    <row r="58" spans="2:6" hidden="1" x14ac:dyDescent="0.25">
      <c r="B58" s="122">
        <f t="shared" si="1"/>
        <v>41446</v>
      </c>
      <c r="D58" s="136">
        <v>0.4</v>
      </c>
      <c r="F58" s="130">
        <f t="shared" si="2"/>
        <v>81.095889999999997</v>
      </c>
    </row>
    <row r="59" spans="2:6" hidden="1" x14ac:dyDescent="0.25">
      <c r="B59" s="122">
        <f t="shared" si="1"/>
        <v>41447</v>
      </c>
      <c r="D59" s="136">
        <v>0.4</v>
      </c>
      <c r="F59" s="130">
        <f t="shared" si="2"/>
        <v>81.095889999999997</v>
      </c>
    </row>
    <row r="60" spans="2:6" hidden="1" x14ac:dyDescent="0.25">
      <c r="B60" s="122">
        <f t="shared" si="1"/>
        <v>41448</v>
      </c>
      <c r="D60" s="136">
        <v>0.4</v>
      </c>
      <c r="F60" s="130">
        <f t="shared" si="2"/>
        <v>81.095889999999997</v>
      </c>
    </row>
    <row r="61" spans="2:6" hidden="1" x14ac:dyDescent="0.25">
      <c r="B61" s="122">
        <f t="shared" si="1"/>
        <v>41449</v>
      </c>
      <c r="D61" s="136">
        <v>0.4</v>
      </c>
      <c r="F61" s="130">
        <f t="shared" si="2"/>
        <v>81.095889999999997</v>
      </c>
    </row>
    <row r="62" spans="2:6" hidden="1" x14ac:dyDescent="0.25">
      <c r="B62" s="122">
        <f t="shared" si="1"/>
        <v>41450</v>
      </c>
      <c r="D62" s="136">
        <v>0.4</v>
      </c>
      <c r="F62" s="130">
        <f t="shared" si="2"/>
        <v>81.095889999999997</v>
      </c>
    </row>
    <row r="63" spans="2:6" hidden="1" x14ac:dyDescent="0.25">
      <c r="B63" s="122">
        <f t="shared" si="1"/>
        <v>41451</v>
      </c>
      <c r="D63" s="136">
        <v>0.4</v>
      </c>
      <c r="F63" s="130">
        <f t="shared" si="2"/>
        <v>81.095889999999997</v>
      </c>
    </row>
    <row r="64" spans="2:6" hidden="1" x14ac:dyDescent="0.25">
      <c r="B64" s="122">
        <f t="shared" si="1"/>
        <v>41452</v>
      </c>
      <c r="D64" s="136">
        <v>0.4</v>
      </c>
      <c r="F64" s="130">
        <f t="shared" si="2"/>
        <v>81.095889999999997</v>
      </c>
    </row>
    <row r="65" spans="1:11" hidden="1" x14ac:dyDescent="0.25">
      <c r="B65" s="122">
        <f t="shared" si="1"/>
        <v>41453</v>
      </c>
      <c r="D65" s="136">
        <v>0.4</v>
      </c>
      <c r="F65" s="130">
        <f t="shared" si="2"/>
        <v>81.095889999999997</v>
      </c>
    </row>
    <row r="66" spans="1:11" hidden="1" x14ac:dyDescent="0.25">
      <c r="B66" s="122">
        <f t="shared" si="1"/>
        <v>41454</v>
      </c>
      <c r="D66" s="136">
        <v>0.4</v>
      </c>
      <c r="F66" s="130">
        <f t="shared" si="2"/>
        <v>81.095889999999997</v>
      </c>
    </row>
    <row r="67" spans="1:11" hidden="1" x14ac:dyDescent="0.25">
      <c r="B67" s="122">
        <f t="shared" ref="B67:B130" si="3">B66+1</f>
        <v>41455</v>
      </c>
      <c r="D67" s="136">
        <v>0.4</v>
      </c>
      <c r="F67" s="130">
        <f t="shared" si="2"/>
        <v>81.095889999999997</v>
      </c>
      <c r="H67" s="133">
        <f>SUM(F38:F67)</f>
        <v>2432.8767000000012</v>
      </c>
      <c r="I67" s="149">
        <f>AVERAGE(D38:D67)</f>
        <v>0.40000000000000019</v>
      </c>
      <c r="J67" s="150">
        <f>AVERAGE(D7:D67)</f>
        <v>0.39999999999999963</v>
      </c>
      <c r="K67" s="148">
        <f>AVERAGE(D7:D67)</f>
        <v>0.39999999999999963</v>
      </c>
    </row>
    <row r="68" spans="1:11" hidden="1" x14ac:dyDescent="0.25">
      <c r="A68" s="121">
        <v>41456</v>
      </c>
      <c r="B68" s="122">
        <f t="shared" si="3"/>
        <v>41456</v>
      </c>
      <c r="D68" s="136">
        <v>0.4</v>
      </c>
      <c r="F68" s="130">
        <f t="shared" si="2"/>
        <v>81.095889999999997</v>
      </c>
    </row>
    <row r="69" spans="1:11" hidden="1" x14ac:dyDescent="0.25">
      <c r="B69" s="122">
        <f t="shared" si="3"/>
        <v>41457</v>
      </c>
      <c r="D69" s="136">
        <v>0.4</v>
      </c>
      <c r="F69" s="130">
        <f t="shared" si="2"/>
        <v>81.095889999999997</v>
      </c>
    </row>
    <row r="70" spans="1:11" hidden="1" x14ac:dyDescent="0.25">
      <c r="B70" s="122">
        <f t="shared" si="3"/>
        <v>41458</v>
      </c>
      <c r="D70" s="136">
        <v>0.4</v>
      </c>
      <c r="F70" s="130">
        <f t="shared" si="2"/>
        <v>81.095889999999997</v>
      </c>
    </row>
    <row r="71" spans="1:11" hidden="1" x14ac:dyDescent="0.25">
      <c r="B71" s="122">
        <f t="shared" si="3"/>
        <v>41459</v>
      </c>
      <c r="D71" s="136">
        <v>0.4</v>
      </c>
      <c r="F71" s="130">
        <f t="shared" si="2"/>
        <v>81.095889999999997</v>
      </c>
    </row>
    <row r="72" spans="1:11" hidden="1" x14ac:dyDescent="0.25">
      <c r="B72" s="122">
        <f t="shared" si="3"/>
        <v>41460</v>
      </c>
      <c r="D72" s="136">
        <v>0.4</v>
      </c>
      <c r="F72" s="130">
        <f t="shared" si="2"/>
        <v>81.095889999999997</v>
      </c>
    </row>
    <row r="73" spans="1:11" hidden="1" x14ac:dyDescent="0.25">
      <c r="B73" s="122">
        <f t="shared" si="3"/>
        <v>41461</v>
      </c>
      <c r="D73" s="136">
        <v>0.4</v>
      </c>
      <c r="F73" s="130">
        <f t="shared" si="2"/>
        <v>81.095889999999997</v>
      </c>
    </row>
    <row r="74" spans="1:11" hidden="1" x14ac:dyDescent="0.25">
      <c r="B74" s="122">
        <f t="shared" si="3"/>
        <v>41462</v>
      </c>
      <c r="D74" s="136">
        <v>0.4</v>
      </c>
      <c r="F74" s="130">
        <f t="shared" si="2"/>
        <v>81.095889999999997</v>
      </c>
    </row>
    <row r="75" spans="1:11" hidden="1" x14ac:dyDescent="0.25">
      <c r="B75" s="122">
        <f t="shared" si="3"/>
        <v>41463</v>
      </c>
      <c r="D75" s="136">
        <v>0.4</v>
      </c>
      <c r="F75" s="130">
        <f t="shared" si="2"/>
        <v>81.095889999999997</v>
      </c>
    </row>
    <row r="76" spans="1:11" hidden="1" x14ac:dyDescent="0.25">
      <c r="B76" s="122">
        <f t="shared" si="3"/>
        <v>41464</v>
      </c>
      <c r="D76" s="136">
        <v>0.4</v>
      </c>
      <c r="F76" s="130">
        <f t="shared" si="2"/>
        <v>81.095889999999997</v>
      </c>
    </row>
    <row r="77" spans="1:11" hidden="1" x14ac:dyDescent="0.25">
      <c r="B77" s="122">
        <f t="shared" si="3"/>
        <v>41465</v>
      </c>
      <c r="D77" s="136">
        <v>0.4</v>
      </c>
      <c r="F77" s="130">
        <f t="shared" si="2"/>
        <v>81.095889999999997</v>
      </c>
    </row>
    <row r="78" spans="1:11" hidden="1" x14ac:dyDescent="0.25">
      <c r="B78" s="122">
        <f t="shared" si="3"/>
        <v>41466</v>
      </c>
      <c r="D78" s="136">
        <v>0.4</v>
      </c>
      <c r="F78" s="130">
        <f t="shared" si="2"/>
        <v>81.095889999999997</v>
      </c>
    </row>
    <row r="79" spans="1:11" hidden="1" x14ac:dyDescent="0.25">
      <c r="B79" s="122">
        <f t="shared" si="3"/>
        <v>41467</v>
      </c>
      <c r="D79" s="136">
        <v>0.4</v>
      </c>
      <c r="F79" s="130">
        <f t="shared" si="2"/>
        <v>81.095889999999997</v>
      </c>
    </row>
    <row r="80" spans="1:11" hidden="1" x14ac:dyDescent="0.25">
      <c r="B80" s="122">
        <f t="shared" si="3"/>
        <v>41468</v>
      </c>
      <c r="D80" s="136">
        <v>0.4</v>
      </c>
      <c r="F80" s="130">
        <f t="shared" ref="F80:F143" si="4">ROUND(D80/100*$A$3/365,6)</f>
        <v>81.095889999999997</v>
      </c>
    </row>
    <row r="81" spans="2:6" hidden="1" x14ac:dyDescent="0.25">
      <c r="B81" s="122">
        <f t="shared" si="3"/>
        <v>41469</v>
      </c>
      <c r="D81" s="136">
        <v>0.4</v>
      </c>
      <c r="F81" s="130">
        <f t="shared" si="4"/>
        <v>81.095889999999997</v>
      </c>
    </row>
    <row r="82" spans="2:6" hidden="1" x14ac:dyDescent="0.25">
      <c r="B82" s="122">
        <f t="shared" si="3"/>
        <v>41470</v>
      </c>
      <c r="D82" s="136">
        <v>0.4</v>
      </c>
      <c r="F82" s="130">
        <f t="shared" si="4"/>
        <v>81.095889999999997</v>
      </c>
    </row>
    <row r="83" spans="2:6" hidden="1" x14ac:dyDescent="0.25">
      <c r="B83" s="122">
        <f t="shared" si="3"/>
        <v>41471</v>
      </c>
      <c r="D83" s="136">
        <v>0.4</v>
      </c>
      <c r="F83" s="130">
        <f t="shared" si="4"/>
        <v>81.095889999999997</v>
      </c>
    </row>
    <row r="84" spans="2:6" hidden="1" x14ac:dyDescent="0.25">
      <c r="B84" s="122">
        <f t="shared" si="3"/>
        <v>41472</v>
      </c>
      <c r="D84" s="136">
        <v>0.4</v>
      </c>
      <c r="F84" s="130">
        <f t="shared" si="4"/>
        <v>81.095889999999997</v>
      </c>
    </row>
    <row r="85" spans="2:6" hidden="1" x14ac:dyDescent="0.25">
      <c r="B85" s="122">
        <f t="shared" si="3"/>
        <v>41473</v>
      </c>
      <c r="D85" s="136">
        <v>0.4</v>
      </c>
      <c r="F85" s="130">
        <f t="shared" si="4"/>
        <v>81.095889999999997</v>
      </c>
    </row>
    <row r="86" spans="2:6" hidden="1" x14ac:dyDescent="0.25">
      <c r="B86" s="122">
        <f t="shared" si="3"/>
        <v>41474</v>
      </c>
      <c r="D86" s="136">
        <v>0.4</v>
      </c>
      <c r="F86" s="130">
        <f t="shared" si="4"/>
        <v>81.095889999999997</v>
      </c>
    </row>
    <row r="87" spans="2:6" hidden="1" x14ac:dyDescent="0.25">
      <c r="B87" s="122">
        <f t="shared" si="3"/>
        <v>41475</v>
      </c>
      <c r="D87" s="136">
        <v>0.4</v>
      </c>
      <c r="F87" s="130">
        <f t="shared" si="4"/>
        <v>81.095889999999997</v>
      </c>
    </row>
    <row r="88" spans="2:6" hidden="1" x14ac:dyDescent="0.25">
      <c r="B88" s="122">
        <f t="shared" si="3"/>
        <v>41476</v>
      </c>
      <c r="D88" s="136">
        <v>0.4</v>
      </c>
      <c r="F88" s="130">
        <f t="shared" si="4"/>
        <v>81.095889999999997</v>
      </c>
    </row>
    <row r="89" spans="2:6" hidden="1" x14ac:dyDescent="0.25">
      <c r="B89" s="122">
        <f t="shared" si="3"/>
        <v>41477</v>
      </c>
      <c r="D89" s="136">
        <v>0.4</v>
      </c>
      <c r="F89" s="130">
        <f t="shared" si="4"/>
        <v>81.095889999999997</v>
      </c>
    </row>
    <row r="90" spans="2:6" hidden="1" x14ac:dyDescent="0.25">
      <c r="B90" s="122">
        <f t="shared" si="3"/>
        <v>41478</v>
      </c>
      <c r="D90" s="136">
        <v>0.4</v>
      </c>
      <c r="F90" s="130">
        <f t="shared" si="4"/>
        <v>81.095889999999997</v>
      </c>
    </row>
    <row r="91" spans="2:6" hidden="1" x14ac:dyDescent="0.25">
      <c r="B91" s="122">
        <f t="shared" si="3"/>
        <v>41479</v>
      </c>
      <c r="D91" s="136">
        <v>0.4</v>
      </c>
      <c r="F91" s="130">
        <f t="shared" si="4"/>
        <v>81.095889999999997</v>
      </c>
    </row>
    <row r="92" spans="2:6" hidden="1" x14ac:dyDescent="0.25">
      <c r="B92" s="122">
        <f t="shared" si="3"/>
        <v>41480</v>
      </c>
      <c r="D92" s="136">
        <v>0.4</v>
      </c>
      <c r="F92" s="130">
        <f t="shared" si="4"/>
        <v>81.095889999999997</v>
      </c>
    </row>
    <row r="93" spans="2:6" hidden="1" x14ac:dyDescent="0.25">
      <c r="B93" s="122">
        <f t="shared" si="3"/>
        <v>41481</v>
      </c>
      <c r="D93" s="136">
        <v>0.4</v>
      </c>
      <c r="F93" s="130">
        <f t="shared" si="4"/>
        <v>81.095889999999997</v>
      </c>
    </row>
    <row r="94" spans="2:6" hidden="1" x14ac:dyDescent="0.25">
      <c r="B94" s="122">
        <f t="shared" si="3"/>
        <v>41482</v>
      </c>
      <c r="D94" s="136">
        <v>0.4</v>
      </c>
      <c r="F94" s="130">
        <f t="shared" si="4"/>
        <v>81.095889999999997</v>
      </c>
    </row>
    <row r="95" spans="2:6" hidden="1" x14ac:dyDescent="0.25">
      <c r="B95" s="122">
        <f t="shared" si="3"/>
        <v>41483</v>
      </c>
      <c r="D95" s="136">
        <v>0.4</v>
      </c>
      <c r="F95" s="130">
        <f t="shared" si="4"/>
        <v>81.095889999999997</v>
      </c>
    </row>
    <row r="96" spans="2:6" hidden="1" x14ac:dyDescent="0.25">
      <c r="B96" s="122">
        <f t="shared" si="3"/>
        <v>41484</v>
      </c>
      <c r="D96" s="136">
        <v>0.4</v>
      </c>
      <c r="F96" s="130">
        <f t="shared" si="4"/>
        <v>81.095889999999997</v>
      </c>
    </row>
    <row r="97" spans="1:11" hidden="1" x14ac:dyDescent="0.25">
      <c r="B97" s="122">
        <f t="shared" si="3"/>
        <v>41485</v>
      </c>
      <c r="D97" s="136">
        <v>0.4</v>
      </c>
      <c r="F97" s="130">
        <f t="shared" si="4"/>
        <v>81.095889999999997</v>
      </c>
    </row>
    <row r="98" spans="1:11" hidden="1" x14ac:dyDescent="0.25">
      <c r="B98" s="122">
        <f t="shared" si="3"/>
        <v>41486</v>
      </c>
      <c r="D98" s="136">
        <v>0.4</v>
      </c>
      <c r="F98" s="130">
        <f t="shared" si="4"/>
        <v>81.095889999999997</v>
      </c>
      <c r="H98" s="133">
        <f>SUM(F68:F98)</f>
        <v>2513.9725900000012</v>
      </c>
      <c r="I98" s="149">
        <f>AVERAGE(D68:D98)</f>
        <v>0.40000000000000019</v>
      </c>
      <c r="J98" s="150">
        <f>AVERAGE(D7:D98)</f>
        <v>0.3999999999999993</v>
      </c>
      <c r="K98" s="148">
        <f>AVERAGE(D7:D98)</f>
        <v>0.3999999999999993</v>
      </c>
    </row>
    <row r="99" spans="1:11" hidden="1" x14ac:dyDescent="0.25">
      <c r="A99" s="121">
        <v>41487</v>
      </c>
      <c r="B99" s="122">
        <f t="shared" si="3"/>
        <v>41487</v>
      </c>
      <c r="D99" s="136">
        <v>0.4</v>
      </c>
      <c r="F99" s="130">
        <f t="shared" si="4"/>
        <v>81.095889999999997</v>
      </c>
    </row>
    <row r="100" spans="1:11" hidden="1" x14ac:dyDescent="0.25">
      <c r="B100" s="122">
        <f t="shared" si="3"/>
        <v>41488</v>
      </c>
      <c r="D100" s="136">
        <v>0.4</v>
      </c>
      <c r="F100" s="130">
        <f t="shared" si="4"/>
        <v>81.095889999999997</v>
      </c>
    </row>
    <row r="101" spans="1:11" hidden="1" x14ac:dyDescent="0.25">
      <c r="B101" s="122">
        <f t="shared" si="3"/>
        <v>41489</v>
      </c>
      <c r="D101" s="136">
        <v>0.4</v>
      </c>
      <c r="F101" s="130">
        <f t="shared" si="4"/>
        <v>81.095889999999997</v>
      </c>
    </row>
    <row r="102" spans="1:11" hidden="1" x14ac:dyDescent="0.25">
      <c r="B102" s="122">
        <f t="shared" si="3"/>
        <v>41490</v>
      </c>
      <c r="D102" s="136">
        <v>0.4</v>
      </c>
      <c r="F102" s="130">
        <f t="shared" si="4"/>
        <v>81.095889999999997</v>
      </c>
    </row>
    <row r="103" spans="1:11" hidden="1" x14ac:dyDescent="0.25">
      <c r="B103" s="122">
        <f t="shared" si="3"/>
        <v>41491</v>
      </c>
      <c r="D103" s="136">
        <v>0.4</v>
      </c>
      <c r="F103" s="130">
        <f t="shared" si="4"/>
        <v>81.095889999999997</v>
      </c>
    </row>
    <row r="104" spans="1:11" hidden="1" x14ac:dyDescent="0.25">
      <c r="B104" s="122">
        <f t="shared" si="3"/>
        <v>41492</v>
      </c>
      <c r="D104" s="136">
        <v>0.4</v>
      </c>
      <c r="F104" s="130">
        <f t="shared" si="4"/>
        <v>81.095889999999997</v>
      </c>
    </row>
    <row r="105" spans="1:11" hidden="1" x14ac:dyDescent="0.25">
      <c r="B105" s="122">
        <f t="shared" si="3"/>
        <v>41493</v>
      </c>
      <c r="D105" s="136">
        <v>0.4</v>
      </c>
      <c r="F105" s="130">
        <f t="shared" si="4"/>
        <v>81.095889999999997</v>
      </c>
    </row>
    <row r="106" spans="1:11" hidden="1" x14ac:dyDescent="0.25">
      <c r="B106" s="122">
        <f t="shared" si="3"/>
        <v>41494</v>
      </c>
      <c r="D106" s="136">
        <v>0.33</v>
      </c>
      <c r="F106" s="130">
        <f t="shared" si="4"/>
        <v>66.904110000000003</v>
      </c>
    </row>
    <row r="107" spans="1:11" hidden="1" x14ac:dyDescent="0.25">
      <c r="B107" s="122">
        <f t="shared" si="3"/>
        <v>41495</v>
      </c>
      <c r="D107" s="136">
        <v>0.33</v>
      </c>
      <c r="F107" s="130">
        <f t="shared" si="4"/>
        <v>66.904110000000003</v>
      </c>
    </row>
    <row r="108" spans="1:11" hidden="1" x14ac:dyDescent="0.25">
      <c r="B108" s="122">
        <f t="shared" si="3"/>
        <v>41496</v>
      </c>
      <c r="D108" s="136">
        <v>0.33</v>
      </c>
      <c r="F108" s="130">
        <f t="shared" si="4"/>
        <v>66.904110000000003</v>
      </c>
    </row>
    <row r="109" spans="1:11" hidden="1" x14ac:dyDescent="0.25">
      <c r="B109" s="122">
        <f t="shared" si="3"/>
        <v>41497</v>
      </c>
      <c r="D109" s="136">
        <v>0.33</v>
      </c>
      <c r="F109" s="130">
        <f t="shared" si="4"/>
        <v>66.904110000000003</v>
      </c>
    </row>
    <row r="110" spans="1:11" hidden="1" x14ac:dyDescent="0.25">
      <c r="B110" s="122">
        <f t="shared" si="3"/>
        <v>41498</v>
      </c>
      <c r="D110" s="136">
        <v>0.33</v>
      </c>
      <c r="F110" s="130">
        <f t="shared" si="4"/>
        <v>66.904110000000003</v>
      </c>
    </row>
    <row r="111" spans="1:11" hidden="1" x14ac:dyDescent="0.25">
      <c r="B111" s="122">
        <f t="shared" si="3"/>
        <v>41499</v>
      </c>
      <c r="D111" s="136">
        <v>0.33</v>
      </c>
      <c r="F111" s="130">
        <f t="shared" si="4"/>
        <v>66.904110000000003</v>
      </c>
    </row>
    <row r="112" spans="1:11" hidden="1" x14ac:dyDescent="0.25">
      <c r="B112" s="122">
        <f t="shared" si="3"/>
        <v>41500</v>
      </c>
      <c r="D112" s="136">
        <v>0.33</v>
      </c>
      <c r="F112" s="130">
        <f t="shared" si="4"/>
        <v>66.904110000000003</v>
      </c>
    </row>
    <row r="113" spans="2:6" hidden="1" x14ac:dyDescent="0.25">
      <c r="B113" s="122">
        <f t="shared" si="3"/>
        <v>41501</v>
      </c>
      <c r="D113" s="136">
        <v>0.33</v>
      </c>
      <c r="F113" s="130">
        <f t="shared" si="4"/>
        <v>66.904110000000003</v>
      </c>
    </row>
    <row r="114" spans="2:6" hidden="1" x14ac:dyDescent="0.25">
      <c r="B114" s="122">
        <f t="shared" si="3"/>
        <v>41502</v>
      </c>
      <c r="D114" s="136">
        <v>0.33</v>
      </c>
      <c r="F114" s="130">
        <f t="shared" si="4"/>
        <v>66.904110000000003</v>
      </c>
    </row>
    <row r="115" spans="2:6" hidden="1" x14ac:dyDescent="0.25">
      <c r="B115" s="122">
        <f t="shared" si="3"/>
        <v>41503</v>
      </c>
      <c r="D115" s="136">
        <v>0.33</v>
      </c>
      <c r="F115" s="130">
        <f t="shared" si="4"/>
        <v>66.904110000000003</v>
      </c>
    </row>
    <row r="116" spans="2:6" hidden="1" x14ac:dyDescent="0.25">
      <c r="B116" s="122">
        <f t="shared" si="3"/>
        <v>41504</v>
      </c>
      <c r="D116" s="136">
        <v>0.33</v>
      </c>
      <c r="F116" s="130">
        <f t="shared" si="4"/>
        <v>66.904110000000003</v>
      </c>
    </row>
    <row r="117" spans="2:6" hidden="1" x14ac:dyDescent="0.25">
      <c r="B117" s="122">
        <f t="shared" si="3"/>
        <v>41505</v>
      </c>
      <c r="D117" s="136">
        <v>0.33</v>
      </c>
      <c r="F117" s="130">
        <f t="shared" si="4"/>
        <v>66.904110000000003</v>
      </c>
    </row>
    <row r="118" spans="2:6" hidden="1" x14ac:dyDescent="0.25">
      <c r="B118" s="122">
        <f t="shared" si="3"/>
        <v>41506</v>
      </c>
      <c r="D118" s="136">
        <v>0.33</v>
      </c>
      <c r="F118" s="130">
        <f t="shared" si="4"/>
        <v>66.904110000000003</v>
      </c>
    </row>
    <row r="119" spans="2:6" hidden="1" x14ac:dyDescent="0.25">
      <c r="B119" s="122">
        <f t="shared" si="3"/>
        <v>41507</v>
      </c>
      <c r="D119" s="136">
        <v>0.33</v>
      </c>
      <c r="F119" s="130">
        <f t="shared" si="4"/>
        <v>66.904110000000003</v>
      </c>
    </row>
    <row r="120" spans="2:6" hidden="1" x14ac:dyDescent="0.25">
      <c r="B120" s="122">
        <f t="shared" si="3"/>
        <v>41508</v>
      </c>
      <c r="D120" s="136">
        <v>0.33</v>
      </c>
      <c r="F120" s="130">
        <f t="shared" si="4"/>
        <v>66.904110000000003</v>
      </c>
    </row>
    <row r="121" spans="2:6" hidden="1" x14ac:dyDescent="0.25">
      <c r="B121" s="122">
        <f t="shared" si="3"/>
        <v>41509</v>
      </c>
      <c r="D121" s="136">
        <v>0.33</v>
      </c>
      <c r="F121" s="130">
        <f t="shared" si="4"/>
        <v>66.904110000000003</v>
      </c>
    </row>
    <row r="122" spans="2:6" hidden="1" x14ac:dyDescent="0.25">
      <c r="B122" s="122">
        <f t="shared" si="3"/>
        <v>41510</v>
      </c>
      <c r="D122" s="136">
        <v>0.33</v>
      </c>
      <c r="F122" s="130">
        <f t="shared" si="4"/>
        <v>66.904110000000003</v>
      </c>
    </row>
    <row r="123" spans="2:6" hidden="1" x14ac:dyDescent="0.25">
      <c r="B123" s="122">
        <f t="shared" si="3"/>
        <v>41511</v>
      </c>
      <c r="D123" s="136">
        <v>0.33</v>
      </c>
      <c r="F123" s="130">
        <f t="shared" si="4"/>
        <v>66.904110000000003</v>
      </c>
    </row>
    <row r="124" spans="2:6" hidden="1" x14ac:dyDescent="0.25">
      <c r="B124" s="122">
        <f t="shared" si="3"/>
        <v>41512</v>
      </c>
      <c r="D124" s="136">
        <v>0.33</v>
      </c>
      <c r="F124" s="130">
        <f t="shared" si="4"/>
        <v>66.904110000000003</v>
      </c>
    </row>
    <row r="125" spans="2:6" hidden="1" x14ac:dyDescent="0.25">
      <c r="B125" s="122">
        <f t="shared" si="3"/>
        <v>41513</v>
      </c>
      <c r="D125" s="136">
        <v>0.33</v>
      </c>
      <c r="F125" s="130">
        <f t="shared" si="4"/>
        <v>66.904110000000003</v>
      </c>
    </row>
    <row r="126" spans="2:6" hidden="1" x14ac:dyDescent="0.25">
      <c r="B126" s="122">
        <f t="shared" si="3"/>
        <v>41514</v>
      </c>
      <c r="D126" s="136">
        <v>0.33</v>
      </c>
      <c r="F126" s="130">
        <f t="shared" si="4"/>
        <v>66.904110000000003</v>
      </c>
    </row>
    <row r="127" spans="2:6" hidden="1" x14ac:dyDescent="0.25">
      <c r="B127" s="122">
        <f t="shared" si="3"/>
        <v>41515</v>
      </c>
      <c r="D127" s="136">
        <v>0.33</v>
      </c>
      <c r="F127" s="130">
        <f t="shared" si="4"/>
        <v>66.904110000000003</v>
      </c>
    </row>
    <row r="128" spans="2:6" hidden="1" x14ac:dyDescent="0.25">
      <c r="B128" s="122">
        <f t="shared" si="3"/>
        <v>41516</v>
      </c>
      <c r="D128" s="136">
        <v>0.33</v>
      </c>
      <c r="F128" s="130">
        <f t="shared" si="4"/>
        <v>66.904110000000003</v>
      </c>
    </row>
    <row r="129" spans="1:11" hidden="1" x14ac:dyDescent="0.25">
      <c r="B129" s="122">
        <f t="shared" si="3"/>
        <v>41517</v>
      </c>
      <c r="D129" s="136">
        <v>0.33</v>
      </c>
      <c r="F129" s="130">
        <f t="shared" si="4"/>
        <v>66.904110000000003</v>
      </c>
      <c r="H129" s="133">
        <f>SUM(F99:F129)</f>
        <v>2173.3698699999986</v>
      </c>
      <c r="I129" s="149">
        <f>AVERAGE(D99:D129)</f>
        <v>0.34580645161290324</v>
      </c>
      <c r="J129" s="150">
        <f>AVERAGE(D7:D129)</f>
        <v>0.38634146341463321</v>
      </c>
      <c r="K129" s="148">
        <f>AVERAGE(D7:D129)</f>
        <v>0.38634146341463321</v>
      </c>
    </row>
    <row r="130" spans="1:11" hidden="1" x14ac:dyDescent="0.25">
      <c r="A130" s="121">
        <v>41518</v>
      </c>
      <c r="B130" s="122">
        <f t="shared" si="3"/>
        <v>41518</v>
      </c>
      <c r="D130" s="136">
        <v>0.33</v>
      </c>
      <c r="F130" s="130">
        <f t="shared" si="4"/>
        <v>66.904110000000003</v>
      </c>
    </row>
    <row r="131" spans="1:11" hidden="1" x14ac:dyDescent="0.25">
      <c r="B131" s="122">
        <f t="shared" ref="B131:B190" si="5">B130+1</f>
        <v>41519</v>
      </c>
      <c r="D131" s="136">
        <v>0.33</v>
      </c>
      <c r="F131" s="130">
        <f t="shared" si="4"/>
        <v>66.904110000000003</v>
      </c>
    </row>
    <row r="132" spans="1:11" hidden="1" x14ac:dyDescent="0.25">
      <c r="B132" s="122">
        <f t="shared" si="5"/>
        <v>41520</v>
      </c>
      <c r="D132" s="136">
        <v>0.33</v>
      </c>
      <c r="F132" s="130">
        <f t="shared" si="4"/>
        <v>66.904110000000003</v>
      </c>
    </row>
    <row r="133" spans="1:11" hidden="1" x14ac:dyDescent="0.25">
      <c r="B133" s="122">
        <f t="shared" si="5"/>
        <v>41521</v>
      </c>
      <c r="D133" s="136">
        <v>0.33</v>
      </c>
      <c r="F133" s="130">
        <f t="shared" si="4"/>
        <v>66.904110000000003</v>
      </c>
    </row>
    <row r="134" spans="1:11" hidden="1" x14ac:dyDescent="0.25">
      <c r="B134" s="122">
        <f t="shared" si="5"/>
        <v>41522</v>
      </c>
      <c r="D134" s="136">
        <v>0.33</v>
      </c>
      <c r="F134" s="130">
        <f t="shared" si="4"/>
        <v>66.904110000000003</v>
      </c>
    </row>
    <row r="135" spans="1:11" hidden="1" x14ac:dyDescent="0.25">
      <c r="B135" s="122">
        <f t="shared" si="5"/>
        <v>41523</v>
      </c>
      <c r="D135" s="136">
        <v>0.33</v>
      </c>
      <c r="F135" s="130">
        <f t="shared" si="4"/>
        <v>66.904110000000003</v>
      </c>
    </row>
    <row r="136" spans="1:11" hidden="1" x14ac:dyDescent="0.25">
      <c r="B136" s="122">
        <f t="shared" si="5"/>
        <v>41524</v>
      </c>
      <c r="D136" s="136">
        <v>0.33</v>
      </c>
      <c r="F136" s="130">
        <f t="shared" si="4"/>
        <v>66.904110000000003</v>
      </c>
    </row>
    <row r="137" spans="1:11" hidden="1" x14ac:dyDescent="0.25">
      <c r="B137" s="122">
        <f t="shared" si="5"/>
        <v>41525</v>
      </c>
      <c r="D137" s="136">
        <v>0.33</v>
      </c>
      <c r="F137" s="130">
        <f t="shared" si="4"/>
        <v>66.904110000000003</v>
      </c>
    </row>
    <row r="138" spans="1:11" hidden="1" x14ac:dyDescent="0.25">
      <c r="B138" s="122">
        <f t="shared" si="5"/>
        <v>41526</v>
      </c>
      <c r="D138" s="136">
        <v>0.3</v>
      </c>
      <c r="F138" s="130">
        <f t="shared" si="4"/>
        <v>60.821917999999997</v>
      </c>
    </row>
    <row r="139" spans="1:11" hidden="1" x14ac:dyDescent="0.25">
      <c r="B139" s="122">
        <f t="shared" si="5"/>
        <v>41527</v>
      </c>
      <c r="D139" s="136">
        <v>0.3</v>
      </c>
      <c r="F139" s="130">
        <f t="shared" si="4"/>
        <v>60.821917999999997</v>
      </c>
    </row>
    <row r="140" spans="1:11" hidden="1" x14ac:dyDescent="0.25">
      <c r="B140" s="122">
        <f t="shared" si="5"/>
        <v>41528</v>
      </c>
      <c r="D140" s="136">
        <v>0.3</v>
      </c>
      <c r="F140" s="130">
        <f t="shared" si="4"/>
        <v>60.821917999999997</v>
      </c>
    </row>
    <row r="141" spans="1:11" hidden="1" x14ac:dyDescent="0.25">
      <c r="B141" s="122">
        <f t="shared" si="5"/>
        <v>41529</v>
      </c>
      <c r="D141" s="136">
        <v>0.3</v>
      </c>
      <c r="F141" s="130">
        <f t="shared" si="4"/>
        <v>60.821917999999997</v>
      </c>
    </row>
    <row r="142" spans="1:11" hidden="1" x14ac:dyDescent="0.25">
      <c r="B142" s="122">
        <f t="shared" si="5"/>
        <v>41530</v>
      </c>
      <c r="D142" s="136">
        <v>0.3</v>
      </c>
      <c r="F142" s="130">
        <f t="shared" si="4"/>
        <v>60.821917999999997</v>
      </c>
    </row>
    <row r="143" spans="1:11" hidden="1" x14ac:dyDescent="0.25">
      <c r="B143" s="122">
        <f t="shared" si="5"/>
        <v>41531</v>
      </c>
      <c r="D143" s="136">
        <v>0.3</v>
      </c>
      <c r="F143" s="130">
        <f t="shared" si="4"/>
        <v>60.821917999999997</v>
      </c>
    </row>
    <row r="144" spans="1:11" hidden="1" x14ac:dyDescent="0.25">
      <c r="B144" s="122">
        <f t="shared" si="5"/>
        <v>41532</v>
      </c>
      <c r="D144" s="136">
        <v>0.3</v>
      </c>
      <c r="F144" s="130">
        <f t="shared" ref="F144:F190" si="6">ROUND(D144/100*$A$3/365,6)</f>
        <v>60.821917999999997</v>
      </c>
    </row>
    <row r="145" spans="1:11" hidden="1" x14ac:dyDescent="0.25">
      <c r="B145" s="122">
        <f t="shared" si="5"/>
        <v>41533</v>
      </c>
      <c r="D145" s="136">
        <v>0.3</v>
      </c>
      <c r="F145" s="130">
        <f t="shared" si="6"/>
        <v>60.821917999999997</v>
      </c>
    </row>
    <row r="146" spans="1:11" hidden="1" x14ac:dyDescent="0.25">
      <c r="B146" s="122">
        <f t="shared" si="5"/>
        <v>41534</v>
      </c>
      <c r="D146" s="136">
        <v>0.3</v>
      </c>
      <c r="F146" s="130">
        <f t="shared" si="6"/>
        <v>60.821917999999997</v>
      </c>
    </row>
    <row r="147" spans="1:11" hidden="1" x14ac:dyDescent="0.25">
      <c r="B147" s="122">
        <f t="shared" si="5"/>
        <v>41535</v>
      </c>
      <c r="D147" s="136">
        <v>0.3</v>
      </c>
      <c r="F147" s="130">
        <f t="shared" si="6"/>
        <v>60.821917999999997</v>
      </c>
    </row>
    <row r="148" spans="1:11" hidden="1" x14ac:dyDescent="0.25">
      <c r="B148" s="122">
        <f t="shared" si="5"/>
        <v>41536</v>
      </c>
      <c r="D148" s="136">
        <v>0.3</v>
      </c>
      <c r="F148" s="130">
        <f t="shared" si="6"/>
        <v>60.821917999999997</v>
      </c>
    </row>
    <row r="149" spans="1:11" hidden="1" x14ac:dyDescent="0.25">
      <c r="B149" s="122">
        <f t="shared" si="5"/>
        <v>41537</v>
      </c>
      <c r="D149" s="136">
        <v>0.3</v>
      </c>
      <c r="F149" s="130">
        <f t="shared" si="6"/>
        <v>60.821917999999997</v>
      </c>
    </row>
    <row r="150" spans="1:11" hidden="1" x14ac:dyDescent="0.25">
      <c r="B150" s="122">
        <f t="shared" si="5"/>
        <v>41538</v>
      </c>
      <c r="D150" s="136">
        <v>0.3</v>
      </c>
      <c r="F150" s="130">
        <f t="shared" si="6"/>
        <v>60.821917999999997</v>
      </c>
    </row>
    <row r="151" spans="1:11" hidden="1" x14ac:dyDescent="0.25">
      <c r="B151" s="122">
        <f t="shared" si="5"/>
        <v>41539</v>
      </c>
      <c r="D151" s="136">
        <v>0.3</v>
      </c>
      <c r="F151" s="130">
        <f t="shared" si="6"/>
        <v>60.821917999999997</v>
      </c>
    </row>
    <row r="152" spans="1:11" hidden="1" x14ac:dyDescent="0.25">
      <c r="B152" s="122">
        <f t="shared" si="5"/>
        <v>41540</v>
      </c>
      <c r="D152" s="136">
        <v>0.3</v>
      </c>
      <c r="F152" s="130">
        <f t="shared" si="6"/>
        <v>60.821917999999997</v>
      </c>
    </row>
    <row r="153" spans="1:11" hidden="1" x14ac:dyDescent="0.25">
      <c r="B153" s="122">
        <f t="shared" si="5"/>
        <v>41541</v>
      </c>
      <c r="D153" s="136">
        <v>0.3</v>
      </c>
      <c r="F153" s="130">
        <f t="shared" si="6"/>
        <v>60.821917999999997</v>
      </c>
    </row>
    <row r="154" spans="1:11" hidden="1" x14ac:dyDescent="0.25">
      <c r="B154" s="122">
        <f t="shared" si="5"/>
        <v>41542</v>
      </c>
      <c r="D154" s="136">
        <v>0.3</v>
      </c>
      <c r="F154" s="130">
        <f t="shared" si="6"/>
        <v>60.821917999999997</v>
      </c>
    </row>
    <row r="155" spans="1:11" hidden="1" x14ac:dyDescent="0.25">
      <c r="B155" s="122">
        <f t="shared" si="5"/>
        <v>41543</v>
      </c>
      <c r="D155" s="136">
        <v>0.3</v>
      </c>
      <c r="F155" s="130">
        <f t="shared" si="6"/>
        <v>60.821917999999997</v>
      </c>
    </row>
    <row r="156" spans="1:11" hidden="1" x14ac:dyDescent="0.25">
      <c r="B156" s="122">
        <f t="shared" si="5"/>
        <v>41544</v>
      </c>
      <c r="D156" s="136">
        <v>0.3</v>
      </c>
      <c r="F156" s="130">
        <f t="shared" si="6"/>
        <v>60.821917999999997</v>
      </c>
    </row>
    <row r="157" spans="1:11" hidden="1" x14ac:dyDescent="0.25">
      <c r="B157" s="122">
        <f t="shared" si="5"/>
        <v>41545</v>
      </c>
      <c r="D157" s="136">
        <v>0.3</v>
      </c>
      <c r="F157" s="130">
        <f t="shared" si="6"/>
        <v>60.821917999999997</v>
      </c>
    </row>
    <row r="158" spans="1:11" hidden="1" x14ac:dyDescent="0.25">
      <c r="B158" s="122">
        <f t="shared" si="5"/>
        <v>41546</v>
      </c>
      <c r="D158" s="136">
        <v>0.3</v>
      </c>
      <c r="F158" s="130">
        <f t="shared" si="6"/>
        <v>60.821917999999997</v>
      </c>
    </row>
    <row r="159" spans="1:11" hidden="1" x14ac:dyDescent="0.25">
      <c r="B159" s="122">
        <f t="shared" si="5"/>
        <v>41547</v>
      </c>
      <c r="D159" s="136">
        <v>0.3</v>
      </c>
      <c r="F159" s="130">
        <f t="shared" si="6"/>
        <v>60.821917999999997</v>
      </c>
      <c r="H159" s="133">
        <f>SUM(F130:F159)</f>
        <v>1873.3150760000012</v>
      </c>
      <c r="I159" s="149">
        <f>AVERAGE(D130:D159)</f>
        <v>0.308</v>
      </c>
      <c r="J159" s="150">
        <f>AVERAGE(D7:D159)</f>
        <v>0.37098039215686146</v>
      </c>
      <c r="K159" s="148">
        <f>AVERAGE(D7:D159)</f>
        <v>0.37098039215686146</v>
      </c>
    </row>
    <row r="160" spans="1:11" x14ac:dyDescent="0.25">
      <c r="A160" s="121">
        <v>41548</v>
      </c>
      <c r="B160" s="122">
        <f t="shared" si="5"/>
        <v>41548</v>
      </c>
      <c r="D160" s="136">
        <v>0.3</v>
      </c>
      <c r="F160" s="130">
        <f t="shared" si="6"/>
        <v>60.821917999999997</v>
      </c>
    </row>
    <row r="161" spans="2:6" x14ac:dyDescent="0.25">
      <c r="B161" s="122">
        <f t="shared" si="5"/>
        <v>41549</v>
      </c>
      <c r="D161" s="136">
        <v>0.3</v>
      </c>
      <c r="F161" s="130">
        <f t="shared" si="6"/>
        <v>60.821917999999997</v>
      </c>
    </row>
    <row r="162" spans="2:6" x14ac:dyDescent="0.25">
      <c r="B162" s="122">
        <f t="shared" si="5"/>
        <v>41550</v>
      </c>
      <c r="D162" s="136">
        <v>0.3</v>
      </c>
      <c r="F162" s="130">
        <f t="shared" si="6"/>
        <v>60.821917999999997</v>
      </c>
    </row>
    <row r="163" spans="2:6" x14ac:dyDescent="0.25">
      <c r="B163" s="122">
        <f t="shared" si="5"/>
        <v>41551</v>
      </c>
      <c r="D163" s="136">
        <v>0.3</v>
      </c>
      <c r="F163" s="130">
        <f t="shared" si="6"/>
        <v>60.821917999999997</v>
      </c>
    </row>
    <row r="164" spans="2:6" x14ac:dyDescent="0.25">
      <c r="B164" s="122">
        <f t="shared" si="5"/>
        <v>41552</v>
      </c>
      <c r="D164" s="136">
        <v>0.3</v>
      </c>
      <c r="F164" s="130">
        <f t="shared" si="6"/>
        <v>60.821917999999997</v>
      </c>
    </row>
    <row r="165" spans="2:6" x14ac:dyDescent="0.25">
      <c r="B165" s="122">
        <f t="shared" si="5"/>
        <v>41553</v>
      </c>
      <c r="D165" s="136">
        <v>0.3</v>
      </c>
      <c r="F165" s="130">
        <f t="shared" si="6"/>
        <v>60.821917999999997</v>
      </c>
    </row>
    <row r="166" spans="2:6" x14ac:dyDescent="0.25">
      <c r="B166" s="122">
        <f t="shared" si="5"/>
        <v>41554</v>
      </c>
      <c r="D166" s="136">
        <v>0.3</v>
      </c>
      <c r="F166" s="130">
        <f t="shared" si="6"/>
        <v>60.821917999999997</v>
      </c>
    </row>
    <row r="167" spans="2:6" x14ac:dyDescent="0.25">
      <c r="B167" s="122">
        <f t="shared" si="5"/>
        <v>41555</v>
      </c>
      <c r="D167" s="136">
        <v>0.3</v>
      </c>
      <c r="F167" s="130">
        <f t="shared" si="6"/>
        <v>60.821917999999997</v>
      </c>
    </row>
    <row r="168" spans="2:6" x14ac:dyDescent="0.25">
      <c r="B168" s="122">
        <f t="shared" si="5"/>
        <v>41556</v>
      </c>
      <c r="D168" s="136">
        <v>0.3</v>
      </c>
      <c r="F168" s="130">
        <f t="shared" si="6"/>
        <v>60.821917999999997</v>
      </c>
    </row>
    <row r="169" spans="2:6" x14ac:dyDescent="0.25">
      <c r="B169" s="122">
        <f t="shared" si="5"/>
        <v>41557</v>
      </c>
      <c r="D169" s="136">
        <v>0.3</v>
      </c>
      <c r="F169" s="130">
        <f t="shared" si="6"/>
        <v>60.821917999999997</v>
      </c>
    </row>
    <row r="170" spans="2:6" x14ac:dyDescent="0.25">
      <c r="B170" s="122">
        <f t="shared" si="5"/>
        <v>41558</v>
      </c>
      <c r="D170" s="136">
        <v>0.3</v>
      </c>
      <c r="F170" s="130">
        <f t="shared" si="6"/>
        <v>60.821917999999997</v>
      </c>
    </row>
    <row r="171" spans="2:6" x14ac:dyDescent="0.25">
      <c r="B171" s="122">
        <f t="shared" si="5"/>
        <v>41559</v>
      </c>
      <c r="D171" s="136">
        <v>0.3</v>
      </c>
      <c r="F171" s="130">
        <f t="shared" si="6"/>
        <v>60.821917999999997</v>
      </c>
    </row>
    <row r="172" spans="2:6" x14ac:dyDescent="0.25">
      <c r="B172" s="122">
        <f t="shared" si="5"/>
        <v>41560</v>
      </c>
      <c r="D172" s="136">
        <v>0.3</v>
      </c>
      <c r="F172" s="130">
        <f t="shared" si="6"/>
        <v>60.821917999999997</v>
      </c>
    </row>
    <row r="173" spans="2:6" x14ac:dyDescent="0.25">
      <c r="B173" s="122">
        <f t="shared" si="5"/>
        <v>41561</v>
      </c>
      <c r="D173" s="136">
        <v>0.3</v>
      </c>
      <c r="F173" s="130">
        <f t="shared" si="6"/>
        <v>60.821917999999997</v>
      </c>
    </row>
    <row r="174" spans="2:6" x14ac:dyDescent="0.25">
      <c r="B174" s="122">
        <f t="shared" si="5"/>
        <v>41562</v>
      </c>
      <c r="D174" s="136">
        <v>0.3</v>
      </c>
      <c r="F174" s="130">
        <f t="shared" si="6"/>
        <v>60.821917999999997</v>
      </c>
    </row>
    <row r="175" spans="2:6" x14ac:dyDescent="0.25">
      <c r="B175" s="122">
        <f t="shared" si="5"/>
        <v>41563</v>
      </c>
      <c r="D175" s="136">
        <v>0.3</v>
      </c>
      <c r="F175" s="130">
        <f t="shared" si="6"/>
        <v>60.821917999999997</v>
      </c>
    </row>
    <row r="176" spans="2:6" x14ac:dyDescent="0.25">
      <c r="B176" s="122">
        <f t="shared" si="5"/>
        <v>41564</v>
      </c>
      <c r="D176" s="136">
        <v>0.3</v>
      </c>
      <c r="F176" s="130">
        <f t="shared" si="6"/>
        <v>60.821917999999997</v>
      </c>
    </row>
    <row r="177" spans="2:11" x14ac:dyDescent="0.25">
      <c r="B177" s="122">
        <f t="shared" si="5"/>
        <v>41565</v>
      </c>
      <c r="D177" s="136">
        <v>0.3</v>
      </c>
      <c r="F177" s="130">
        <f t="shared" si="6"/>
        <v>60.821917999999997</v>
      </c>
    </row>
    <row r="178" spans="2:11" x14ac:dyDescent="0.25">
      <c r="B178" s="122">
        <f t="shared" si="5"/>
        <v>41566</v>
      </c>
      <c r="D178" s="136">
        <v>0.3</v>
      </c>
      <c r="F178" s="130">
        <f t="shared" si="6"/>
        <v>60.821917999999997</v>
      </c>
    </row>
    <row r="179" spans="2:11" x14ac:dyDescent="0.25">
      <c r="B179" s="122">
        <f t="shared" si="5"/>
        <v>41567</v>
      </c>
      <c r="D179" s="136">
        <v>0.3</v>
      </c>
      <c r="F179" s="130">
        <f t="shared" si="6"/>
        <v>60.821917999999997</v>
      </c>
    </row>
    <row r="180" spans="2:11" x14ac:dyDescent="0.25">
      <c r="B180" s="122">
        <f t="shared" si="5"/>
        <v>41568</v>
      </c>
      <c r="D180" s="136">
        <v>0.3</v>
      </c>
      <c r="F180" s="130">
        <f t="shared" si="6"/>
        <v>60.821917999999997</v>
      </c>
    </row>
    <row r="181" spans="2:11" x14ac:dyDescent="0.25">
      <c r="B181" s="122">
        <f t="shared" si="5"/>
        <v>41569</v>
      </c>
      <c r="D181" s="136">
        <v>0.3</v>
      </c>
      <c r="F181" s="130">
        <f t="shared" si="6"/>
        <v>60.821917999999997</v>
      </c>
    </row>
    <row r="182" spans="2:11" x14ac:dyDescent="0.25">
      <c r="B182" s="122">
        <f t="shared" si="5"/>
        <v>41570</v>
      </c>
      <c r="D182" s="136">
        <v>0.3</v>
      </c>
      <c r="F182" s="130">
        <f t="shared" si="6"/>
        <v>60.821917999999997</v>
      </c>
    </row>
    <row r="183" spans="2:11" x14ac:dyDescent="0.25">
      <c r="B183" s="122">
        <f t="shared" si="5"/>
        <v>41571</v>
      </c>
      <c r="D183" s="136">
        <v>0.3</v>
      </c>
      <c r="F183" s="130">
        <f t="shared" si="6"/>
        <v>60.821917999999997</v>
      </c>
    </row>
    <row r="184" spans="2:11" x14ac:dyDescent="0.25">
      <c r="B184" s="122">
        <f t="shared" si="5"/>
        <v>41572</v>
      </c>
      <c r="D184" s="136">
        <v>0.3</v>
      </c>
      <c r="F184" s="130">
        <f t="shared" si="6"/>
        <v>60.821917999999997</v>
      </c>
    </row>
    <row r="185" spans="2:11" x14ac:dyDescent="0.25">
      <c r="B185" s="122">
        <f t="shared" si="5"/>
        <v>41573</v>
      </c>
      <c r="D185" s="136">
        <v>0.3</v>
      </c>
      <c r="F185" s="130">
        <f t="shared" si="6"/>
        <v>60.821917999999997</v>
      </c>
    </row>
    <row r="186" spans="2:11" x14ac:dyDescent="0.25">
      <c r="B186" s="122">
        <f t="shared" si="5"/>
        <v>41574</v>
      </c>
      <c r="D186" s="136">
        <v>0.3</v>
      </c>
      <c r="F186" s="130">
        <f t="shared" si="6"/>
        <v>60.821917999999997</v>
      </c>
    </row>
    <row r="187" spans="2:11" x14ac:dyDescent="0.25">
      <c r="B187" s="122">
        <f t="shared" si="5"/>
        <v>41575</v>
      </c>
      <c r="D187" s="136">
        <v>0.3</v>
      </c>
      <c r="F187" s="130">
        <f t="shared" si="6"/>
        <v>60.821917999999997</v>
      </c>
    </row>
    <row r="188" spans="2:11" x14ac:dyDescent="0.25">
      <c r="B188" s="122">
        <f t="shared" si="5"/>
        <v>41576</v>
      </c>
      <c r="D188" s="136">
        <v>0.3</v>
      </c>
      <c r="F188" s="130">
        <f t="shared" si="6"/>
        <v>60.821917999999997</v>
      </c>
    </row>
    <row r="189" spans="2:11" x14ac:dyDescent="0.25">
      <c r="B189" s="122">
        <f t="shared" si="5"/>
        <v>41577</v>
      </c>
      <c r="D189" s="136">
        <v>0.3</v>
      </c>
      <c r="F189" s="130">
        <f t="shared" si="6"/>
        <v>60.821917999999997</v>
      </c>
    </row>
    <row r="190" spans="2:11" x14ac:dyDescent="0.25">
      <c r="B190" s="122">
        <f t="shared" si="5"/>
        <v>41578</v>
      </c>
      <c r="D190" s="136">
        <v>0.3</v>
      </c>
      <c r="F190" s="130">
        <f t="shared" si="6"/>
        <v>60.821917999999997</v>
      </c>
      <c r="H190" s="133">
        <f>SUM(F160:F190)</f>
        <v>1885.4794580000012</v>
      </c>
      <c r="I190" s="149">
        <f>AVERAGE(D160:D190)</f>
        <v>0.30000000000000004</v>
      </c>
      <c r="J190" s="150">
        <f>AVERAGE(D7:D190)</f>
        <v>0.35902173913043323</v>
      </c>
      <c r="K190" s="148">
        <f>AVERAGE(D7:D190)</f>
        <v>0.35902173913043323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pageSetUpPr fitToPage="1"/>
  </sheetPr>
  <dimension ref="A1:N190"/>
  <sheetViews>
    <sheetView zoomScaleNormal="100" workbookViewId="0">
      <pane ySplit="5" topLeftCell="A175" activePane="bottomLeft" state="frozen"/>
      <selection sqref="A1:XFD1048576"/>
      <selection pane="bottomLeft" activeCell="D166" sqref="D166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1" style="120" customWidth="1"/>
    <col min="5" max="5" width="5.7109375" style="120" customWidth="1"/>
    <col min="6" max="6" width="9.140625" style="120" bestFit="1" customWidth="1"/>
    <col min="7" max="7" width="1.7109375" style="120" customWidth="1"/>
    <col min="8" max="8" width="11.7109375" style="137" customWidth="1"/>
    <col min="9" max="9" width="11.7109375" style="131" customWidth="1"/>
    <col min="10" max="10" width="11.7109375" style="132" customWidth="1"/>
    <col min="11" max="11" width="9.5703125" style="119" bestFit="1" customWidth="1"/>
    <col min="12" max="16384" width="9.140625" style="120"/>
  </cols>
  <sheetData>
    <row r="1" spans="1:14" ht="12.75" x14ac:dyDescent="0.2">
      <c r="A1" s="502" t="s">
        <v>107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2" t="s">
        <v>108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96000000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237188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51.75" x14ac:dyDescent="0.25">
      <c r="B5" s="122"/>
      <c r="D5" s="123"/>
      <c r="H5" s="124" t="s">
        <v>99</v>
      </c>
      <c r="I5" s="125" t="s">
        <v>100</v>
      </c>
      <c r="J5" s="126" t="s">
        <v>101</v>
      </c>
      <c r="K5" s="127" t="s">
        <v>372</v>
      </c>
      <c r="L5" s="128"/>
      <c r="M5" s="128"/>
      <c r="N5" s="128"/>
    </row>
    <row r="6" spans="1:14" x14ac:dyDescent="0.25">
      <c r="B6" s="122"/>
      <c r="D6" s="123"/>
      <c r="H6" s="124"/>
      <c r="I6" s="125"/>
      <c r="J6" s="126"/>
      <c r="K6" s="129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0.30199999999999999</v>
      </c>
      <c r="F7" s="130">
        <f t="shared" ref="F7:F52" si="0">ROUND(D7/100*$A$3/360,6)</f>
        <v>805.33333300000004</v>
      </c>
    </row>
    <row r="8" spans="1:14" hidden="1" x14ac:dyDescent="0.25">
      <c r="B8" s="122">
        <f t="shared" ref="B8:B66" si="1">B7+1</f>
        <v>41396</v>
      </c>
      <c r="D8" s="136">
        <v>0.30199999999999999</v>
      </c>
      <c r="F8" s="130">
        <f t="shared" si="0"/>
        <v>805.33333300000004</v>
      </c>
    </row>
    <row r="9" spans="1:14" hidden="1" x14ac:dyDescent="0.25">
      <c r="B9" s="122">
        <f t="shared" si="1"/>
        <v>41397</v>
      </c>
      <c r="D9" s="136">
        <v>0.30199999999999999</v>
      </c>
      <c r="F9" s="130">
        <f t="shared" si="0"/>
        <v>805.33333300000004</v>
      </c>
    </row>
    <row r="10" spans="1:14" hidden="1" x14ac:dyDescent="0.25">
      <c r="B10" s="122">
        <f t="shared" si="1"/>
        <v>41398</v>
      </c>
      <c r="D10" s="136">
        <v>0.30199999999999999</v>
      </c>
      <c r="F10" s="130">
        <f t="shared" si="0"/>
        <v>805.33333300000004</v>
      </c>
    </row>
    <row r="11" spans="1:14" hidden="1" x14ac:dyDescent="0.25">
      <c r="B11" s="122">
        <f t="shared" si="1"/>
        <v>41399</v>
      </c>
      <c r="D11" s="136">
        <v>0.30199999999999999</v>
      </c>
      <c r="F11" s="130">
        <f t="shared" si="0"/>
        <v>805.33333300000004</v>
      </c>
    </row>
    <row r="12" spans="1:14" hidden="1" x14ac:dyDescent="0.25">
      <c r="B12" s="122">
        <f t="shared" si="1"/>
        <v>41400</v>
      </c>
      <c r="D12" s="136">
        <v>0.30199999999999999</v>
      </c>
      <c r="F12" s="130">
        <f t="shared" si="0"/>
        <v>805.33333300000004</v>
      </c>
    </row>
    <row r="13" spans="1:14" hidden="1" x14ac:dyDescent="0.25">
      <c r="B13" s="122">
        <f t="shared" si="1"/>
        <v>41401</v>
      </c>
      <c r="D13" s="136">
        <v>0.30199999999999999</v>
      </c>
      <c r="F13" s="130">
        <f t="shared" si="0"/>
        <v>805.33333300000004</v>
      </c>
    </row>
    <row r="14" spans="1:14" hidden="1" x14ac:dyDescent="0.25">
      <c r="B14" s="122">
        <f t="shared" si="1"/>
        <v>41402</v>
      </c>
      <c r="D14" s="136">
        <v>0.30199999999999999</v>
      </c>
      <c r="F14" s="130">
        <f t="shared" si="0"/>
        <v>805.33333300000004</v>
      </c>
    </row>
    <row r="15" spans="1:14" hidden="1" x14ac:dyDescent="0.25">
      <c r="B15" s="122">
        <f t="shared" si="1"/>
        <v>41403</v>
      </c>
      <c r="D15" s="136">
        <v>0.30199999999999999</v>
      </c>
      <c r="F15" s="130">
        <f t="shared" si="0"/>
        <v>805.33333300000004</v>
      </c>
    </row>
    <row r="16" spans="1:14" hidden="1" x14ac:dyDescent="0.25">
      <c r="B16" s="122">
        <f t="shared" si="1"/>
        <v>41404</v>
      </c>
      <c r="D16" s="136">
        <v>0.30199999999999999</v>
      </c>
      <c r="F16" s="130">
        <f t="shared" si="0"/>
        <v>805.33333300000004</v>
      </c>
    </row>
    <row r="17" spans="2:6" hidden="1" x14ac:dyDescent="0.25">
      <c r="B17" s="122">
        <f t="shared" si="1"/>
        <v>41405</v>
      </c>
      <c r="D17" s="136">
        <v>0.30199999999999999</v>
      </c>
      <c r="F17" s="130">
        <f t="shared" si="0"/>
        <v>805.33333300000004</v>
      </c>
    </row>
    <row r="18" spans="2:6" hidden="1" x14ac:dyDescent="0.25">
      <c r="B18" s="122">
        <f t="shared" si="1"/>
        <v>41406</v>
      </c>
      <c r="D18" s="136">
        <v>0.30199999999999999</v>
      </c>
      <c r="F18" s="130">
        <f t="shared" si="0"/>
        <v>805.33333300000004</v>
      </c>
    </row>
    <row r="19" spans="2:6" hidden="1" x14ac:dyDescent="0.25">
      <c r="B19" s="122">
        <f t="shared" si="1"/>
        <v>41407</v>
      </c>
      <c r="D19" s="136">
        <v>0.30199999999999999</v>
      </c>
      <c r="F19" s="130">
        <f t="shared" si="0"/>
        <v>805.33333300000004</v>
      </c>
    </row>
    <row r="20" spans="2:6" hidden="1" x14ac:dyDescent="0.25">
      <c r="B20" s="122">
        <f t="shared" si="1"/>
        <v>41408</v>
      </c>
      <c r="D20" s="136">
        <v>0.30199999999999999</v>
      </c>
      <c r="F20" s="130">
        <f t="shared" si="0"/>
        <v>805.33333300000004</v>
      </c>
    </row>
    <row r="21" spans="2:6" hidden="1" x14ac:dyDescent="0.25">
      <c r="B21" s="122">
        <f t="shared" si="1"/>
        <v>41409</v>
      </c>
      <c r="D21" s="136">
        <v>0.30199999999999999</v>
      </c>
      <c r="F21" s="130">
        <f t="shared" si="0"/>
        <v>805.33333300000004</v>
      </c>
    </row>
    <row r="22" spans="2:6" hidden="1" x14ac:dyDescent="0.25">
      <c r="B22" s="122">
        <f t="shared" si="1"/>
        <v>41410</v>
      </c>
      <c r="D22" s="136">
        <v>0.30199999999999999</v>
      </c>
      <c r="F22" s="130">
        <f t="shared" si="0"/>
        <v>805.33333300000004</v>
      </c>
    </row>
    <row r="23" spans="2:6" hidden="1" x14ac:dyDescent="0.25">
      <c r="B23" s="122">
        <f t="shared" si="1"/>
        <v>41411</v>
      </c>
      <c r="D23" s="136">
        <v>0.30199999999999999</v>
      </c>
      <c r="F23" s="130">
        <f t="shared" si="0"/>
        <v>805.33333300000004</v>
      </c>
    </row>
    <row r="24" spans="2:6" hidden="1" x14ac:dyDescent="0.25">
      <c r="B24" s="122">
        <f t="shared" si="1"/>
        <v>41412</v>
      </c>
      <c r="D24" s="136">
        <v>0.30199999999999999</v>
      </c>
      <c r="F24" s="130">
        <f t="shared" si="0"/>
        <v>805.33333300000004</v>
      </c>
    </row>
    <row r="25" spans="2:6" hidden="1" x14ac:dyDescent="0.25">
      <c r="B25" s="122">
        <f t="shared" si="1"/>
        <v>41413</v>
      </c>
      <c r="D25" s="136">
        <v>0.30199999999999999</v>
      </c>
      <c r="F25" s="130">
        <f t="shared" si="0"/>
        <v>805.33333300000004</v>
      </c>
    </row>
    <row r="26" spans="2:6" hidden="1" x14ac:dyDescent="0.25">
      <c r="B26" s="122">
        <f t="shared" si="1"/>
        <v>41414</v>
      </c>
      <c r="D26" s="136">
        <v>0.30199999999999999</v>
      </c>
      <c r="F26" s="130">
        <f t="shared" si="0"/>
        <v>805.33333300000004</v>
      </c>
    </row>
    <row r="27" spans="2:6" hidden="1" x14ac:dyDescent="0.25">
      <c r="B27" s="122">
        <f t="shared" si="1"/>
        <v>41415</v>
      </c>
      <c r="D27" s="136">
        <v>0.30199999999999999</v>
      </c>
      <c r="F27" s="130">
        <f t="shared" si="0"/>
        <v>805.33333300000004</v>
      </c>
    </row>
    <row r="28" spans="2:6" hidden="1" x14ac:dyDescent="0.25">
      <c r="B28" s="122">
        <f t="shared" si="1"/>
        <v>41416</v>
      </c>
      <c r="D28" s="136">
        <v>0.14000000000000001</v>
      </c>
      <c r="F28" s="130">
        <f t="shared" si="0"/>
        <v>373.33333299999998</v>
      </c>
    </row>
    <row r="29" spans="2:6" hidden="1" x14ac:dyDescent="0.25">
      <c r="B29" s="122">
        <f t="shared" si="1"/>
        <v>41417</v>
      </c>
      <c r="D29" s="136">
        <v>0.14000000000000001</v>
      </c>
      <c r="F29" s="130">
        <f t="shared" si="0"/>
        <v>373.33333299999998</v>
      </c>
    </row>
    <row r="30" spans="2:6" hidden="1" x14ac:dyDescent="0.25">
      <c r="B30" s="122">
        <f t="shared" si="1"/>
        <v>41418</v>
      </c>
      <c r="D30" s="136">
        <v>0.14000000000000001</v>
      </c>
      <c r="F30" s="130">
        <f t="shared" si="0"/>
        <v>373.33333299999998</v>
      </c>
    </row>
    <row r="31" spans="2:6" hidden="1" x14ac:dyDescent="0.25">
      <c r="B31" s="122">
        <f t="shared" si="1"/>
        <v>41419</v>
      </c>
      <c r="D31" s="136">
        <v>0.14000000000000001</v>
      </c>
      <c r="F31" s="130">
        <f t="shared" si="0"/>
        <v>373.33333299999998</v>
      </c>
    </row>
    <row r="32" spans="2:6" hidden="1" x14ac:dyDescent="0.25">
      <c r="B32" s="122">
        <f t="shared" si="1"/>
        <v>41420</v>
      </c>
      <c r="D32" s="136">
        <v>0.14000000000000001</v>
      </c>
      <c r="F32" s="130">
        <f t="shared" si="0"/>
        <v>373.33333299999998</v>
      </c>
    </row>
    <row r="33" spans="1:11" hidden="1" x14ac:dyDescent="0.25">
      <c r="B33" s="122">
        <f t="shared" si="1"/>
        <v>41421</v>
      </c>
      <c r="D33" s="136">
        <v>0.14000000000000001</v>
      </c>
      <c r="F33" s="130">
        <f t="shared" si="0"/>
        <v>373.33333299999998</v>
      </c>
    </row>
    <row r="34" spans="1:11" hidden="1" x14ac:dyDescent="0.25">
      <c r="B34" s="122">
        <f t="shared" si="1"/>
        <v>41422</v>
      </c>
      <c r="D34" s="136">
        <v>0.14000000000000001</v>
      </c>
      <c r="F34" s="130">
        <f t="shared" si="0"/>
        <v>373.33333299999998</v>
      </c>
    </row>
    <row r="35" spans="1:11" hidden="1" x14ac:dyDescent="0.25">
      <c r="B35" s="122">
        <f t="shared" si="1"/>
        <v>41423</v>
      </c>
      <c r="D35" s="136">
        <v>0.14000000000000001</v>
      </c>
      <c r="F35" s="130">
        <f t="shared" si="0"/>
        <v>373.33333299999998</v>
      </c>
    </row>
    <row r="36" spans="1:11" hidden="1" x14ac:dyDescent="0.25">
      <c r="B36" s="122">
        <f t="shared" si="1"/>
        <v>41424</v>
      </c>
      <c r="D36" s="136">
        <v>0.14000000000000001</v>
      </c>
      <c r="F36" s="130">
        <f t="shared" si="0"/>
        <v>373.33333299999998</v>
      </c>
    </row>
    <row r="37" spans="1:11" hidden="1" x14ac:dyDescent="0.25">
      <c r="B37" s="122">
        <f t="shared" si="1"/>
        <v>41425</v>
      </c>
      <c r="D37" s="136">
        <v>0.14000000000000001</v>
      </c>
      <c r="F37" s="130">
        <f t="shared" si="0"/>
        <v>373.33333299999998</v>
      </c>
      <c r="H37" s="133">
        <f>SUM(F7:F37)</f>
        <v>20645.333322999992</v>
      </c>
      <c r="I37" s="134">
        <f>AVERAGE(D7:D37)</f>
        <v>0.24974193548387078</v>
      </c>
      <c r="J37" s="135">
        <f>AVERAGE(D7:D37)</f>
        <v>0.24974193548387078</v>
      </c>
      <c r="K37" s="138">
        <f>AVERAGE(D7:D37)</f>
        <v>0.24974193548387078</v>
      </c>
    </row>
    <row r="38" spans="1:11" hidden="1" x14ac:dyDescent="0.25">
      <c r="A38" s="121">
        <v>41426</v>
      </c>
      <c r="B38" s="122">
        <f t="shared" si="1"/>
        <v>41426</v>
      </c>
      <c r="D38" s="136">
        <v>0.14000000000000001</v>
      </c>
      <c r="F38" s="130">
        <f t="shared" si="0"/>
        <v>373.33333299999998</v>
      </c>
    </row>
    <row r="39" spans="1:11" hidden="1" x14ac:dyDescent="0.25">
      <c r="B39" s="122">
        <f t="shared" si="1"/>
        <v>41427</v>
      </c>
      <c r="D39" s="136">
        <v>0.14000000000000001</v>
      </c>
      <c r="F39" s="130">
        <f t="shared" si="0"/>
        <v>373.33333299999998</v>
      </c>
    </row>
    <row r="40" spans="1:11" hidden="1" x14ac:dyDescent="0.25">
      <c r="B40" s="122">
        <f t="shared" si="1"/>
        <v>41428</v>
      </c>
      <c r="D40" s="136">
        <v>0.14000000000000001</v>
      </c>
      <c r="F40" s="130">
        <f t="shared" si="0"/>
        <v>373.33333299999998</v>
      </c>
    </row>
    <row r="41" spans="1:11" hidden="1" x14ac:dyDescent="0.25">
      <c r="B41" s="122">
        <f t="shared" si="1"/>
        <v>41429</v>
      </c>
      <c r="D41" s="136">
        <v>0.14000000000000001</v>
      </c>
      <c r="F41" s="130">
        <f t="shared" si="0"/>
        <v>373.33333299999998</v>
      </c>
    </row>
    <row r="42" spans="1:11" hidden="1" x14ac:dyDescent="0.25">
      <c r="B42" s="122">
        <f t="shared" si="1"/>
        <v>41430</v>
      </c>
      <c r="D42" s="136">
        <v>0.14000000000000001</v>
      </c>
      <c r="F42" s="130">
        <f t="shared" si="0"/>
        <v>373.33333299999998</v>
      </c>
    </row>
    <row r="43" spans="1:11" hidden="1" x14ac:dyDescent="0.25">
      <c r="B43" s="122">
        <f t="shared" si="1"/>
        <v>41431</v>
      </c>
      <c r="D43" s="136">
        <v>0.14000000000000001</v>
      </c>
      <c r="F43" s="130">
        <f t="shared" si="0"/>
        <v>373.33333299999998</v>
      </c>
    </row>
    <row r="44" spans="1:11" hidden="1" x14ac:dyDescent="0.25">
      <c r="B44" s="122">
        <f t="shared" si="1"/>
        <v>41432</v>
      </c>
      <c r="D44" s="136">
        <v>0.14000000000000001</v>
      </c>
      <c r="F44" s="130">
        <f t="shared" si="0"/>
        <v>373.33333299999998</v>
      </c>
    </row>
    <row r="45" spans="1:11" hidden="1" x14ac:dyDescent="0.25">
      <c r="B45" s="122">
        <f t="shared" si="1"/>
        <v>41433</v>
      </c>
      <c r="D45" s="136">
        <v>0.14000000000000001</v>
      </c>
      <c r="F45" s="130">
        <f t="shared" si="0"/>
        <v>373.33333299999998</v>
      </c>
    </row>
    <row r="46" spans="1:11" hidden="1" x14ac:dyDescent="0.25">
      <c r="B46" s="122">
        <f t="shared" si="1"/>
        <v>41434</v>
      </c>
      <c r="D46" s="136">
        <v>0.14000000000000001</v>
      </c>
      <c r="F46" s="130">
        <f t="shared" si="0"/>
        <v>373.33333299999998</v>
      </c>
    </row>
    <row r="47" spans="1:11" hidden="1" x14ac:dyDescent="0.25">
      <c r="B47" s="122">
        <f t="shared" si="1"/>
        <v>41435</v>
      </c>
      <c r="D47" s="136">
        <v>0.14000000000000001</v>
      </c>
      <c r="F47" s="130">
        <f t="shared" si="0"/>
        <v>373.33333299999998</v>
      </c>
    </row>
    <row r="48" spans="1:11" hidden="1" x14ac:dyDescent="0.25">
      <c r="B48" s="122">
        <f t="shared" si="1"/>
        <v>41436</v>
      </c>
      <c r="D48" s="136">
        <v>0.14000000000000001</v>
      </c>
      <c r="F48" s="130">
        <f t="shared" si="0"/>
        <v>373.33333299999998</v>
      </c>
    </row>
    <row r="49" spans="2:6" hidden="1" x14ac:dyDescent="0.25">
      <c r="B49" s="122">
        <f t="shared" si="1"/>
        <v>41437</v>
      </c>
      <c r="D49" s="136">
        <v>0.14000000000000001</v>
      </c>
      <c r="F49" s="130">
        <f t="shared" si="0"/>
        <v>373.33333299999998</v>
      </c>
    </row>
    <row r="50" spans="2:6" hidden="1" x14ac:dyDescent="0.25">
      <c r="B50" s="122">
        <f t="shared" si="1"/>
        <v>41438</v>
      </c>
      <c r="D50" s="136">
        <v>0.14000000000000001</v>
      </c>
      <c r="F50" s="130">
        <f t="shared" si="0"/>
        <v>373.33333299999998</v>
      </c>
    </row>
    <row r="51" spans="2:6" hidden="1" x14ac:dyDescent="0.25">
      <c r="B51" s="122">
        <f t="shared" si="1"/>
        <v>41439</v>
      </c>
      <c r="D51" s="136">
        <v>0.14000000000000001</v>
      </c>
      <c r="F51" s="130">
        <f t="shared" si="0"/>
        <v>373.33333299999998</v>
      </c>
    </row>
    <row r="52" spans="2:6" hidden="1" x14ac:dyDescent="0.25">
      <c r="B52" s="122">
        <f t="shared" si="1"/>
        <v>41440</v>
      </c>
      <c r="D52" s="136">
        <v>0.14000000000000001</v>
      </c>
      <c r="F52" s="130">
        <f t="shared" si="0"/>
        <v>373.33333299999998</v>
      </c>
    </row>
    <row r="53" spans="2:6" hidden="1" x14ac:dyDescent="0.25">
      <c r="B53" s="122">
        <f t="shared" si="1"/>
        <v>41441</v>
      </c>
      <c r="D53" s="136">
        <v>0.14000000000000001</v>
      </c>
      <c r="F53" s="130">
        <f t="shared" ref="F53:F116" si="2">ROUND(D53/100*$A$3/360,6)</f>
        <v>373.33333299999998</v>
      </c>
    </row>
    <row r="54" spans="2:6" hidden="1" x14ac:dyDescent="0.25">
      <c r="B54" s="122">
        <f t="shared" si="1"/>
        <v>41442</v>
      </c>
      <c r="D54" s="136">
        <v>0.14000000000000001</v>
      </c>
      <c r="F54" s="130">
        <f t="shared" si="2"/>
        <v>373.33333299999998</v>
      </c>
    </row>
    <row r="55" spans="2:6" hidden="1" x14ac:dyDescent="0.25">
      <c r="B55" s="122">
        <f t="shared" si="1"/>
        <v>41443</v>
      </c>
      <c r="D55" s="136">
        <v>0.14000000000000001</v>
      </c>
      <c r="F55" s="130">
        <f t="shared" si="2"/>
        <v>373.33333299999998</v>
      </c>
    </row>
    <row r="56" spans="2:6" hidden="1" x14ac:dyDescent="0.25">
      <c r="B56" s="122">
        <f t="shared" si="1"/>
        <v>41444</v>
      </c>
      <c r="D56" s="136">
        <v>0.14000000000000001</v>
      </c>
      <c r="F56" s="130">
        <f t="shared" si="2"/>
        <v>373.33333299999998</v>
      </c>
    </row>
    <row r="57" spans="2:6" hidden="1" x14ac:dyDescent="0.25">
      <c r="B57" s="122">
        <f t="shared" si="1"/>
        <v>41445</v>
      </c>
      <c r="D57" s="136">
        <v>0.14000000000000001</v>
      </c>
      <c r="F57" s="130">
        <f t="shared" si="2"/>
        <v>373.33333299999998</v>
      </c>
    </row>
    <row r="58" spans="2:6" hidden="1" x14ac:dyDescent="0.25">
      <c r="B58" s="122">
        <f t="shared" si="1"/>
        <v>41446</v>
      </c>
      <c r="D58" s="136">
        <v>0.14000000000000001</v>
      </c>
      <c r="F58" s="130">
        <f t="shared" si="2"/>
        <v>373.33333299999998</v>
      </c>
    </row>
    <row r="59" spans="2:6" hidden="1" x14ac:dyDescent="0.25">
      <c r="B59" s="122">
        <f t="shared" si="1"/>
        <v>41447</v>
      </c>
      <c r="D59" s="136">
        <v>0.14000000000000001</v>
      </c>
      <c r="F59" s="130">
        <f t="shared" si="2"/>
        <v>373.33333299999998</v>
      </c>
    </row>
    <row r="60" spans="2:6" hidden="1" x14ac:dyDescent="0.25">
      <c r="B60" s="122">
        <f t="shared" si="1"/>
        <v>41448</v>
      </c>
      <c r="D60" s="136">
        <v>0.14000000000000001</v>
      </c>
      <c r="F60" s="130">
        <f t="shared" si="2"/>
        <v>373.33333299999998</v>
      </c>
    </row>
    <row r="61" spans="2:6" hidden="1" x14ac:dyDescent="0.25">
      <c r="B61" s="122">
        <f t="shared" si="1"/>
        <v>41449</v>
      </c>
      <c r="D61" s="136">
        <v>0.14000000000000001</v>
      </c>
      <c r="F61" s="130">
        <f t="shared" si="2"/>
        <v>373.33333299999998</v>
      </c>
    </row>
    <row r="62" spans="2:6" hidden="1" x14ac:dyDescent="0.25">
      <c r="B62" s="122">
        <f t="shared" si="1"/>
        <v>41450</v>
      </c>
      <c r="D62" s="136">
        <v>0.14000000000000001</v>
      </c>
      <c r="F62" s="130">
        <f t="shared" si="2"/>
        <v>373.33333299999998</v>
      </c>
    </row>
    <row r="63" spans="2:6" hidden="1" x14ac:dyDescent="0.25">
      <c r="B63" s="122">
        <f t="shared" si="1"/>
        <v>41451</v>
      </c>
      <c r="D63" s="136">
        <v>0.16</v>
      </c>
      <c r="F63" s="130">
        <f t="shared" si="2"/>
        <v>426.66666700000002</v>
      </c>
    </row>
    <row r="64" spans="2:6" hidden="1" x14ac:dyDescent="0.25">
      <c r="B64" s="122">
        <f t="shared" si="1"/>
        <v>41452</v>
      </c>
      <c r="D64" s="136">
        <v>0.16</v>
      </c>
      <c r="F64" s="130">
        <f t="shared" si="2"/>
        <v>426.66666700000002</v>
      </c>
    </row>
    <row r="65" spans="1:11" hidden="1" x14ac:dyDescent="0.25">
      <c r="B65" s="122">
        <f t="shared" si="1"/>
        <v>41453</v>
      </c>
      <c r="D65" s="136">
        <v>0.16</v>
      </c>
      <c r="F65" s="130">
        <f t="shared" si="2"/>
        <v>426.66666700000002</v>
      </c>
    </row>
    <row r="66" spans="1:11" hidden="1" x14ac:dyDescent="0.25">
      <c r="B66" s="122">
        <f t="shared" si="1"/>
        <v>41454</v>
      </c>
      <c r="D66" s="136">
        <v>0.16</v>
      </c>
      <c r="F66" s="130">
        <f t="shared" si="2"/>
        <v>426.66666700000002</v>
      </c>
    </row>
    <row r="67" spans="1:11" hidden="1" x14ac:dyDescent="0.25">
      <c r="B67" s="122">
        <f t="shared" ref="B67:B130" si="3">B66+1</f>
        <v>41455</v>
      </c>
      <c r="D67" s="136">
        <v>0.16</v>
      </c>
      <c r="F67" s="130">
        <f t="shared" si="2"/>
        <v>426.66666700000002</v>
      </c>
      <c r="H67" s="133">
        <f>SUM(F38:F67)</f>
        <v>11466.666659999995</v>
      </c>
      <c r="I67" s="134">
        <f>AVERAGE(D38:D67)</f>
        <v>0.14333333333333342</v>
      </c>
      <c r="J67" s="135">
        <f>AVERAGE(D7:D67)</f>
        <v>0.19740983606557388</v>
      </c>
      <c r="K67" s="138">
        <f>AVERAGE(D7:D67)</f>
        <v>0.19740983606557388</v>
      </c>
    </row>
    <row r="68" spans="1:11" hidden="1" x14ac:dyDescent="0.25">
      <c r="A68" s="121">
        <v>41456</v>
      </c>
      <c r="B68" s="122">
        <f t="shared" si="3"/>
        <v>41456</v>
      </c>
      <c r="D68" s="136">
        <v>0.16</v>
      </c>
      <c r="F68" s="130">
        <f t="shared" si="2"/>
        <v>426.66666700000002</v>
      </c>
    </row>
    <row r="69" spans="1:11" hidden="1" x14ac:dyDescent="0.25">
      <c r="B69" s="122">
        <f t="shared" si="3"/>
        <v>41457</v>
      </c>
      <c r="D69" s="136">
        <v>0.16</v>
      </c>
      <c r="F69" s="130">
        <f t="shared" si="2"/>
        <v>426.66666700000002</v>
      </c>
    </row>
    <row r="70" spans="1:11" hidden="1" x14ac:dyDescent="0.25">
      <c r="B70" s="122">
        <f t="shared" si="3"/>
        <v>41458</v>
      </c>
      <c r="D70" s="136">
        <v>0.16</v>
      </c>
      <c r="F70" s="130">
        <f t="shared" si="2"/>
        <v>426.66666700000002</v>
      </c>
    </row>
    <row r="71" spans="1:11" hidden="1" x14ac:dyDescent="0.25">
      <c r="B71" s="122">
        <f t="shared" si="3"/>
        <v>41459</v>
      </c>
      <c r="D71" s="136">
        <v>0.16</v>
      </c>
      <c r="F71" s="130">
        <f t="shared" si="2"/>
        <v>426.66666700000002</v>
      </c>
    </row>
    <row r="72" spans="1:11" hidden="1" x14ac:dyDescent="0.25">
      <c r="B72" s="122">
        <f t="shared" si="3"/>
        <v>41460</v>
      </c>
      <c r="D72" s="136">
        <v>0.16</v>
      </c>
      <c r="F72" s="130">
        <f t="shared" si="2"/>
        <v>426.66666700000002</v>
      </c>
    </row>
    <row r="73" spans="1:11" hidden="1" x14ac:dyDescent="0.25">
      <c r="B73" s="122">
        <f t="shared" si="3"/>
        <v>41461</v>
      </c>
      <c r="D73" s="136">
        <v>0.16</v>
      </c>
      <c r="F73" s="130">
        <f t="shared" si="2"/>
        <v>426.66666700000002</v>
      </c>
    </row>
    <row r="74" spans="1:11" hidden="1" x14ac:dyDescent="0.25">
      <c r="B74" s="122">
        <f t="shared" si="3"/>
        <v>41462</v>
      </c>
      <c r="D74" s="136">
        <v>0.16</v>
      </c>
      <c r="F74" s="130">
        <f t="shared" si="2"/>
        <v>426.66666700000002</v>
      </c>
    </row>
    <row r="75" spans="1:11" hidden="1" x14ac:dyDescent="0.25">
      <c r="B75" s="122">
        <f t="shared" si="3"/>
        <v>41463</v>
      </c>
      <c r="D75" s="136">
        <v>0.16</v>
      </c>
      <c r="F75" s="130">
        <f t="shared" si="2"/>
        <v>426.66666700000002</v>
      </c>
    </row>
    <row r="76" spans="1:11" hidden="1" x14ac:dyDescent="0.25">
      <c r="B76" s="122">
        <f t="shared" si="3"/>
        <v>41464</v>
      </c>
      <c r="D76" s="136">
        <v>0.16</v>
      </c>
      <c r="F76" s="130">
        <f t="shared" si="2"/>
        <v>426.66666700000002</v>
      </c>
    </row>
    <row r="77" spans="1:11" hidden="1" x14ac:dyDescent="0.25">
      <c r="B77" s="122">
        <f t="shared" si="3"/>
        <v>41465</v>
      </c>
      <c r="D77" s="136">
        <v>0.16</v>
      </c>
      <c r="F77" s="130">
        <f t="shared" si="2"/>
        <v>426.66666700000002</v>
      </c>
    </row>
    <row r="78" spans="1:11" hidden="1" x14ac:dyDescent="0.25">
      <c r="B78" s="122">
        <f t="shared" si="3"/>
        <v>41466</v>
      </c>
      <c r="D78" s="136">
        <v>0.16</v>
      </c>
      <c r="F78" s="130">
        <f t="shared" si="2"/>
        <v>426.66666700000002</v>
      </c>
    </row>
    <row r="79" spans="1:11" hidden="1" x14ac:dyDescent="0.25">
      <c r="B79" s="122">
        <f t="shared" si="3"/>
        <v>41467</v>
      </c>
      <c r="D79" s="136">
        <v>0.16</v>
      </c>
      <c r="F79" s="130">
        <f t="shared" si="2"/>
        <v>426.66666700000002</v>
      </c>
    </row>
    <row r="80" spans="1:11" hidden="1" x14ac:dyDescent="0.25">
      <c r="B80" s="122">
        <f t="shared" si="3"/>
        <v>41468</v>
      </c>
      <c r="D80" s="136">
        <v>0.16</v>
      </c>
      <c r="F80" s="130">
        <f t="shared" si="2"/>
        <v>426.66666700000002</v>
      </c>
    </row>
    <row r="81" spans="2:6" hidden="1" x14ac:dyDescent="0.25">
      <c r="B81" s="122">
        <f t="shared" si="3"/>
        <v>41469</v>
      </c>
      <c r="D81" s="136">
        <v>0.16</v>
      </c>
      <c r="F81" s="130">
        <f t="shared" si="2"/>
        <v>426.66666700000002</v>
      </c>
    </row>
    <row r="82" spans="2:6" hidden="1" x14ac:dyDescent="0.25">
      <c r="B82" s="122">
        <f t="shared" si="3"/>
        <v>41470</v>
      </c>
      <c r="D82" s="136">
        <v>0.16</v>
      </c>
      <c r="F82" s="130">
        <f t="shared" si="2"/>
        <v>426.66666700000002</v>
      </c>
    </row>
    <row r="83" spans="2:6" hidden="1" x14ac:dyDescent="0.25">
      <c r="B83" s="122">
        <f t="shared" si="3"/>
        <v>41471</v>
      </c>
      <c r="D83" s="136">
        <v>0.16</v>
      </c>
      <c r="F83" s="130">
        <f t="shared" si="2"/>
        <v>426.66666700000002</v>
      </c>
    </row>
    <row r="84" spans="2:6" hidden="1" x14ac:dyDescent="0.25">
      <c r="B84" s="122">
        <f t="shared" si="3"/>
        <v>41472</v>
      </c>
      <c r="D84" s="136">
        <v>0.16</v>
      </c>
      <c r="F84" s="130">
        <f t="shared" si="2"/>
        <v>426.66666700000002</v>
      </c>
    </row>
    <row r="85" spans="2:6" hidden="1" x14ac:dyDescent="0.25">
      <c r="B85" s="122">
        <f t="shared" si="3"/>
        <v>41473</v>
      </c>
      <c r="D85" s="136">
        <v>0.16</v>
      </c>
      <c r="F85" s="130">
        <f t="shared" si="2"/>
        <v>426.66666700000002</v>
      </c>
    </row>
    <row r="86" spans="2:6" hidden="1" x14ac:dyDescent="0.25">
      <c r="B86" s="122">
        <f t="shared" si="3"/>
        <v>41474</v>
      </c>
      <c r="D86" s="136">
        <v>0.16</v>
      </c>
      <c r="F86" s="130">
        <f t="shared" si="2"/>
        <v>426.66666700000002</v>
      </c>
    </row>
    <row r="87" spans="2:6" hidden="1" x14ac:dyDescent="0.25">
      <c r="B87" s="122">
        <f t="shared" si="3"/>
        <v>41475</v>
      </c>
      <c r="D87" s="136">
        <v>0.16</v>
      </c>
      <c r="F87" s="130">
        <f t="shared" si="2"/>
        <v>426.66666700000002</v>
      </c>
    </row>
    <row r="88" spans="2:6" hidden="1" x14ac:dyDescent="0.25">
      <c r="B88" s="122">
        <f t="shared" si="3"/>
        <v>41476</v>
      </c>
      <c r="D88" s="136">
        <v>0.16</v>
      </c>
      <c r="F88" s="130">
        <f t="shared" si="2"/>
        <v>426.66666700000002</v>
      </c>
    </row>
    <row r="89" spans="2:6" hidden="1" x14ac:dyDescent="0.25">
      <c r="B89" s="122">
        <f t="shared" si="3"/>
        <v>41477</v>
      </c>
      <c r="D89" s="136">
        <v>0.16</v>
      </c>
      <c r="F89" s="130">
        <f t="shared" si="2"/>
        <v>426.66666700000002</v>
      </c>
    </row>
    <row r="90" spans="2:6" hidden="1" x14ac:dyDescent="0.25">
      <c r="B90" s="122">
        <f t="shared" si="3"/>
        <v>41478</v>
      </c>
      <c r="D90" s="136">
        <v>0.16</v>
      </c>
      <c r="F90" s="130">
        <f t="shared" si="2"/>
        <v>426.66666700000002</v>
      </c>
    </row>
    <row r="91" spans="2:6" hidden="1" x14ac:dyDescent="0.25">
      <c r="B91" s="122">
        <f t="shared" si="3"/>
        <v>41479</v>
      </c>
      <c r="D91" s="136">
        <v>0.16</v>
      </c>
      <c r="F91" s="130">
        <f t="shared" si="2"/>
        <v>426.66666700000002</v>
      </c>
    </row>
    <row r="92" spans="2:6" hidden="1" x14ac:dyDescent="0.25">
      <c r="B92" s="122">
        <f t="shared" si="3"/>
        <v>41480</v>
      </c>
      <c r="D92" s="136">
        <v>0.16</v>
      </c>
      <c r="F92" s="130">
        <f t="shared" si="2"/>
        <v>426.66666700000002</v>
      </c>
    </row>
    <row r="93" spans="2:6" hidden="1" x14ac:dyDescent="0.25">
      <c r="B93" s="122">
        <f t="shared" si="3"/>
        <v>41481</v>
      </c>
      <c r="D93" s="136">
        <v>0.16</v>
      </c>
      <c r="F93" s="130">
        <f t="shared" si="2"/>
        <v>426.66666700000002</v>
      </c>
    </row>
    <row r="94" spans="2:6" hidden="1" x14ac:dyDescent="0.25">
      <c r="B94" s="122">
        <f t="shared" si="3"/>
        <v>41482</v>
      </c>
      <c r="D94" s="136">
        <v>0.16</v>
      </c>
      <c r="F94" s="130">
        <f t="shared" si="2"/>
        <v>426.66666700000002</v>
      </c>
    </row>
    <row r="95" spans="2:6" hidden="1" x14ac:dyDescent="0.25">
      <c r="B95" s="122">
        <f t="shared" si="3"/>
        <v>41483</v>
      </c>
      <c r="D95" s="136">
        <v>0.16</v>
      </c>
      <c r="F95" s="130">
        <f t="shared" si="2"/>
        <v>426.66666700000002</v>
      </c>
    </row>
    <row r="96" spans="2:6" hidden="1" x14ac:dyDescent="0.25">
      <c r="B96" s="122">
        <f t="shared" si="3"/>
        <v>41484</v>
      </c>
      <c r="D96" s="136">
        <v>0.16</v>
      </c>
      <c r="F96" s="130">
        <f t="shared" si="2"/>
        <v>426.66666700000002</v>
      </c>
    </row>
    <row r="97" spans="1:11" hidden="1" x14ac:dyDescent="0.25">
      <c r="B97" s="122">
        <f t="shared" si="3"/>
        <v>41485</v>
      </c>
      <c r="D97" s="136">
        <v>0.16</v>
      </c>
      <c r="F97" s="130">
        <f t="shared" si="2"/>
        <v>426.66666700000002</v>
      </c>
    </row>
    <row r="98" spans="1:11" hidden="1" x14ac:dyDescent="0.25">
      <c r="B98" s="122">
        <f t="shared" si="3"/>
        <v>41486</v>
      </c>
      <c r="D98" s="136">
        <v>0.14000000000000001</v>
      </c>
      <c r="F98" s="130">
        <f t="shared" si="2"/>
        <v>373.33333299999998</v>
      </c>
      <c r="H98" s="133">
        <f>SUM(F68:F98)</f>
        <v>13173.333343</v>
      </c>
      <c r="I98" s="134">
        <f>AVERAGE(D68:D98)</f>
        <v>0.15935483870967745</v>
      </c>
      <c r="J98" s="135">
        <f>AVERAGE(D7:D98)</f>
        <v>0.18458695652173923</v>
      </c>
      <c r="K98" s="138">
        <f>AVERAGE(D7:D98)</f>
        <v>0.18458695652173923</v>
      </c>
    </row>
    <row r="99" spans="1:11" hidden="1" x14ac:dyDescent="0.25">
      <c r="A99" s="121">
        <v>41487</v>
      </c>
      <c r="B99" s="122">
        <f t="shared" si="3"/>
        <v>41487</v>
      </c>
      <c r="D99" s="136">
        <v>0.14000000000000001</v>
      </c>
      <c r="F99" s="130">
        <f t="shared" si="2"/>
        <v>373.33333299999998</v>
      </c>
    </row>
    <row r="100" spans="1:11" hidden="1" x14ac:dyDescent="0.25">
      <c r="B100" s="122">
        <f t="shared" si="3"/>
        <v>41488</v>
      </c>
      <c r="D100" s="136">
        <v>0.14000000000000001</v>
      </c>
      <c r="F100" s="130">
        <f t="shared" si="2"/>
        <v>373.33333299999998</v>
      </c>
    </row>
    <row r="101" spans="1:11" hidden="1" x14ac:dyDescent="0.25">
      <c r="B101" s="122">
        <f t="shared" si="3"/>
        <v>41489</v>
      </c>
      <c r="D101" s="136">
        <v>0.14000000000000001</v>
      </c>
      <c r="F101" s="130">
        <f t="shared" si="2"/>
        <v>373.33333299999998</v>
      </c>
    </row>
    <row r="102" spans="1:11" hidden="1" x14ac:dyDescent="0.25">
      <c r="B102" s="122">
        <f t="shared" si="3"/>
        <v>41490</v>
      </c>
      <c r="D102" s="136">
        <v>0.14000000000000001</v>
      </c>
      <c r="F102" s="130">
        <f t="shared" si="2"/>
        <v>373.33333299999998</v>
      </c>
    </row>
    <row r="103" spans="1:11" hidden="1" x14ac:dyDescent="0.25">
      <c r="B103" s="122">
        <f t="shared" si="3"/>
        <v>41491</v>
      </c>
      <c r="D103" s="136">
        <v>0.14000000000000001</v>
      </c>
      <c r="F103" s="130">
        <f t="shared" si="2"/>
        <v>373.33333299999998</v>
      </c>
    </row>
    <row r="104" spans="1:11" hidden="1" x14ac:dyDescent="0.25">
      <c r="B104" s="122">
        <f t="shared" si="3"/>
        <v>41492</v>
      </c>
      <c r="D104" s="136">
        <v>0.14000000000000001</v>
      </c>
      <c r="F104" s="130">
        <f t="shared" si="2"/>
        <v>373.33333299999998</v>
      </c>
    </row>
    <row r="105" spans="1:11" hidden="1" x14ac:dyDescent="0.25">
      <c r="B105" s="122">
        <f t="shared" si="3"/>
        <v>41493</v>
      </c>
      <c r="D105" s="136">
        <v>0.14000000000000001</v>
      </c>
      <c r="F105" s="130">
        <f t="shared" si="2"/>
        <v>373.33333299999998</v>
      </c>
    </row>
    <row r="106" spans="1:11" hidden="1" x14ac:dyDescent="0.25">
      <c r="B106" s="122">
        <f t="shared" si="3"/>
        <v>41494</v>
      </c>
      <c r="D106" s="136">
        <v>0.14000000000000001</v>
      </c>
      <c r="F106" s="130">
        <f t="shared" si="2"/>
        <v>373.33333299999998</v>
      </c>
    </row>
    <row r="107" spans="1:11" hidden="1" x14ac:dyDescent="0.25">
      <c r="B107" s="122">
        <f t="shared" si="3"/>
        <v>41495</v>
      </c>
      <c r="D107" s="136">
        <v>0.14000000000000001</v>
      </c>
      <c r="F107" s="130">
        <f t="shared" si="2"/>
        <v>373.33333299999998</v>
      </c>
    </row>
    <row r="108" spans="1:11" hidden="1" x14ac:dyDescent="0.25">
      <c r="B108" s="122">
        <f t="shared" si="3"/>
        <v>41496</v>
      </c>
      <c r="D108" s="136">
        <v>0.14000000000000001</v>
      </c>
      <c r="F108" s="130">
        <f t="shared" si="2"/>
        <v>373.33333299999998</v>
      </c>
    </row>
    <row r="109" spans="1:11" hidden="1" x14ac:dyDescent="0.25">
      <c r="B109" s="122">
        <f t="shared" si="3"/>
        <v>41497</v>
      </c>
      <c r="D109" s="136">
        <v>0.14000000000000001</v>
      </c>
      <c r="F109" s="130">
        <f t="shared" si="2"/>
        <v>373.33333299999998</v>
      </c>
    </row>
    <row r="110" spans="1:11" hidden="1" x14ac:dyDescent="0.25">
      <c r="B110" s="122">
        <f t="shared" si="3"/>
        <v>41498</v>
      </c>
      <c r="D110" s="136">
        <v>0.14000000000000001</v>
      </c>
      <c r="F110" s="130">
        <f t="shared" si="2"/>
        <v>373.33333299999998</v>
      </c>
    </row>
    <row r="111" spans="1:11" hidden="1" x14ac:dyDescent="0.25">
      <c r="B111" s="122">
        <f t="shared" si="3"/>
        <v>41499</v>
      </c>
      <c r="D111" s="136">
        <v>0.14000000000000001</v>
      </c>
      <c r="F111" s="130">
        <f t="shared" si="2"/>
        <v>373.33333299999998</v>
      </c>
    </row>
    <row r="112" spans="1:11" hidden="1" x14ac:dyDescent="0.25">
      <c r="B112" s="122">
        <f t="shared" si="3"/>
        <v>41500</v>
      </c>
      <c r="D112" s="136">
        <v>0.14000000000000001</v>
      </c>
      <c r="F112" s="130">
        <f t="shared" si="2"/>
        <v>373.33333299999998</v>
      </c>
    </row>
    <row r="113" spans="2:6" hidden="1" x14ac:dyDescent="0.25">
      <c r="B113" s="122">
        <f t="shared" si="3"/>
        <v>41501</v>
      </c>
      <c r="D113" s="136">
        <v>0.14000000000000001</v>
      </c>
      <c r="F113" s="130">
        <f t="shared" si="2"/>
        <v>373.33333299999998</v>
      </c>
    </row>
    <row r="114" spans="2:6" hidden="1" x14ac:dyDescent="0.25">
      <c r="B114" s="122">
        <f t="shared" si="3"/>
        <v>41502</v>
      </c>
      <c r="D114" s="136">
        <v>0.14000000000000001</v>
      </c>
      <c r="F114" s="130">
        <f t="shared" si="2"/>
        <v>373.33333299999998</v>
      </c>
    </row>
    <row r="115" spans="2:6" hidden="1" x14ac:dyDescent="0.25">
      <c r="B115" s="122">
        <f t="shared" si="3"/>
        <v>41503</v>
      </c>
      <c r="D115" s="136">
        <v>0.14000000000000001</v>
      </c>
      <c r="F115" s="130">
        <f t="shared" si="2"/>
        <v>373.33333299999998</v>
      </c>
    </row>
    <row r="116" spans="2:6" hidden="1" x14ac:dyDescent="0.25">
      <c r="B116" s="122">
        <f t="shared" si="3"/>
        <v>41504</v>
      </c>
      <c r="D116" s="136">
        <v>0.14000000000000001</v>
      </c>
      <c r="F116" s="130">
        <f t="shared" si="2"/>
        <v>373.33333299999998</v>
      </c>
    </row>
    <row r="117" spans="2:6" hidden="1" x14ac:dyDescent="0.25">
      <c r="B117" s="122">
        <f t="shared" si="3"/>
        <v>41505</v>
      </c>
      <c r="D117" s="136">
        <v>0.14000000000000001</v>
      </c>
      <c r="F117" s="130">
        <f t="shared" ref="F117:F180" si="4">ROUND(D117/100*$A$3/360,6)</f>
        <v>373.33333299999998</v>
      </c>
    </row>
    <row r="118" spans="2:6" hidden="1" x14ac:dyDescent="0.25">
      <c r="B118" s="122">
        <f t="shared" si="3"/>
        <v>41506</v>
      </c>
      <c r="D118" s="136">
        <v>0.14000000000000001</v>
      </c>
      <c r="F118" s="130">
        <f t="shared" si="4"/>
        <v>373.33333299999998</v>
      </c>
    </row>
    <row r="119" spans="2:6" hidden="1" x14ac:dyDescent="0.25">
      <c r="B119" s="122">
        <f t="shared" si="3"/>
        <v>41507</v>
      </c>
      <c r="D119" s="136">
        <v>0.14000000000000001</v>
      </c>
      <c r="F119" s="130">
        <f t="shared" si="4"/>
        <v>373.33333299999998</v>
      </c>
    </row>
    <row r="120" spans="2:6" hidden="1" x14ac:dyDescent="0.25">
      <c r="B120" s="122">
        <f t="shared" si="3"/>
        <v>41508</v>
      </c>
      <c r="D120" s="136">
        <v>0.14000000000000001</v>
      </c>
      <c r="F120" s="130">
        <f t="shared" si="4"/>
        <v>373.33333299999998</v>
      </c>
    </row>
    <row r="121" spans="2:6" hidden="1" x14ac:dyDescent="0.25">
      <c r="B121" s="122">
        <f t="shared" si="3"/>
        <v>41509</v>
      </c>
      <c r="D121" s="136">
        <v>0.14000000000000001</v>
      </c>
      <c r="F121" s="130">
        <f t="shared" si="4"/>
        <v>373.33333299999998</v>
      </c>
    </row>
    <row r="122" spans="2:6" hidden="1" x14ac:dyDescent="0.25">
      <c r="B122" s="122">
        <f t="shared" si="3"/>
        <v>41510</v>
      </c>
      <c r="D122" s="136">
        <v>0.14000000000000001</v>
      </c>
      <c r="F122" s="130">
        <f t="shared" si="4"/>
        <v>373.33333299999998</v>
      </c>
    </row>
    <row r="123" spans="2:6" hidden="1" x14ac:dyDescent="0.25">
      <c r="B123" s="122">
        <f t="shared" si="3"/>
        <v>41511</v>
      </c>
      <c r="D123" s="136">
        <v>0.14000000000000001</v>
      </c>
      <c r="F123" s="130">
        <f t="shared" si="4"/>
        <v>373.33333299999998</v>
      </c>
    </row>
    <row r="124" spans="2:6" hidden="1" x14ac:dyDescent="0.25">
      <c r="B124" s="122">
        <f t="shared" si="3"/>
        <v>41512</v>
      </c>
      <c r="D124" s="136">
        <v>0.14000000000000001</v>
      </c>
      <c r="F124" s="130">
        <f t="shared" si="4"/>
        <v>373.33333299999998</v>
      </c>
    </row>
    <row r="125" spans="2:6" hidden="1" x14ac:dyDescent="0.25">
      <c r="B125" s="122">
        <f t="shared" si="3"/>
        <v>41513</v>
      </c>
      <c r="D125" s="136">
        <v>0.14000000000000001</v>
      </c>
      <c r="F125" s="130">
        <f t="shared" si="4"/>
        <v>373.33333299999998</v>
      </c>
    </row>
    <row r="126" spans="2:6" hidden="1" x14ac:dyDescent="0.25">
      <c r="B126" s="122">
        <f t="shared" si="3"/>
        <v>41514</v>
      </c>
      <c r="D126" s="136">
        <v>0.14000000000000001</v>
      </c>
      <c r="F126" s="130">
        <f t="shared" si="4"/>
        <v>373.33333299999998</v>
      </c>
    </row>
    <row r="127" spans="2:6" hidden="1" x14ac:dyDescent="0.25">
      <c r="B127" s="122">
        <f t="shared" si="3"/>
        <v>41515</v>
      </c>
      <c r="D127" s="136">
        <v>0.14000000000000001</v>
      </c>
      <c r="F127" s="130">
        <f t="shared" si="4"/>
        <v>373.33333299999998</v>
      </c>
    </row>
    <row r="128" spans="2:6" hidden="1" x14ac:dyDescent="0.25">
      <c r="B128" s="122">
        <f t="shared" si="3"/>
        <v>41516</v>
      </c>
      <c r="D128" s="136">
        <v>0.14000000000000001</v>
      </c>
      <c r="F128" s="130">
        <f t="shared" si="4"/>
        <v>373.33333299999998</v>
      </c>
    </row>
    <row r="129" spans="1:11" hidden="1" x14ac:dyDescent="0.25">
      <c r="B129" s="122">
        <f t="shared" si="3"/>
        <v>41517</v>
      </c>
      <c r="D129" s="136">
        <v>0.14000000000000001</v>
      </c>
      <c r="F129" s="130">
        <f t="shared" si="4"/>
        <v>373.33333299999998</v>
      </c>
      <c r="H129" s="133">
        <f>SUM(F99:F129)</f>
        <v>11573.333323000001</v>
      </c>
      <c r="I129" s="134">
        <f>AVERAGE(D99:D129)</f>
        <v>0.14000000000000004</v>
      </c>
      <c r="J129" s="157">
        <f>AVERAGE(D7:D129)</f>
        <v>0.17334959349593518</v>
      </c>
      <c r="K129" s="138">
        <f>AVERAGE(D7:D129)</f>
        <v>0.17334959349593518</v>
      </c>
    </row>
    <row r="130" spans="1:11" hidden="1" x14ac:dyDescent="0.25">
      <c r="A130" s="121">
        <v>41518</v>
      </c>
      <c r="B130" s="122">
        <f t="shared" si="3"/>
        <v>41518</v>
      </c>
      <c r="D130" s="136">
        <v>0.14000000000000001</v>
      </c>
      <c r="F130" s="130">
        <f t="shared" si="4"/>
        <v>373.33333299999998</v>
      </c>
    </row>
    <row r="131" spans="1:11" hidden="1" x14ac:dyDescent="0.25">
      <c r="B131" s="122">
        <f t="shared" ref="B131:B190" si="5">B130+1</f>
        <v>41519</v>
      </c>
      <c r="D131" s="136">
        <v>0.14000000000000001</v>
      </c>
      <c r="F131" s="130">
        <f t="shared" si="4"/>
        <v>373.33333299999998</v>
      </c>
    </row>
    <row r="132" spans="1:11" hidden="1" x14ac:dyDescent="0.25">
      <c r="B132" s="122">
        <f t="shared" si="5"/>
        <v>41520</v>
      </c>
      <c r="D132" s="136">
        <v>0.14000000000000001</v>
      </c>
      <c r="F132" s="130">
        <f t="shared" si="4"/>
        <v>373.33333299999998</v>
      </c>
    </row>
    <row r="133" spans="1:11" hidden="1" x14ac:dyDescent="0.25">
      <c r="B133" s="122">
        <f t="shared" si="5"/>
        <v>41521</v>
      </c>
      <c r="D133" s="136">
        <v>0.12</v>
      </c>
      <c r="F133" s="130">
        <f t="shared" si="4"/>
        <v>320</v>
      </c>
    </row>
    <row r="134" spans="1:11" hidden="1" x14ac:dyDescent="0.25">
      <c r="B134" s="122">
        <f t="shared" si="5"/>
        <v>41522</v>
      </c>
      <c r="D134" s="136">
        <v>0.12</v>
      </c>
      <c r="F134" s="130">
        <f t="shared" si="4"/>
        <v>320</v>
      </c>
    </row>
    <row r="135" spans="1:11" hidden="1" x14ac:dyDescent="0.25">
      <c r="B135" s="122">
        <f t="shared" si="5"/>
        <v>41523</v>
      </c>
      <c r="D135" s="136">
        <v>0.12</v>
      </c>
      <c r="F135" s="130">
        <f t="shared" si="4"/>
        <v>320</v>
      </c>
    </row>
    <row r="136" spans="1:11" hidden="1" x14ac:dyDescent="0.25">
      <c r="B136" s="122">
        <f t="shared" si="5"/>
        <v>41524</v>
      </c>
      <c r="D136" s="136">
        <v>0.12</v>
      </c>
      <c r="F136" s="130">
        <f t="shared" si="4"/>
        <v>320</v>
      </c>
    </row>
    <row r="137" spans="1:11" hidden="1" x14ac:dyDescent="0.25">
      <c r="B137" s="122">
        <f t="shared" si="5"/>
        <v>41525</v>
      </c>
      <c r="D137" s="136">
        <v>0.12</v>
      </c>
      <c r="F137" s="130">
        <f t="shared" si="4"/>
        <v>320</v>
      </c>
    </row>
    <row r="138" spans="1:11" hidden="1" x14ac:dyDescent="0.25">
      <c r="B138" s="122">
        <f t="shared" si="5"/>
        <v>41526</v>
      </c>
      <c r="D138" s="136">
        <v>0.12</v>
      </c>
      <c r="F138" s="130">
        <f t="shared" si="4"/>
        <v>320</v>
      </c>
    </row>
    <row r="139" spans="1:11" hidden="1" x14ac:dyDescent="0.25">
      <c r="B139" s="122">
        <f t="shared" si="5"/>
        <v>41527</v>
      </c>
      <c r="D139" s="136">
        <v>0.12</v>
      </c>
      <c r="F139" s="130">
        <f t="shared" si="4"/>
        <v>320</v>
      </c>
    </row>
    <row r="140" spans="1:11" hidden="1" x14ac:dyDescent="0.25">
      <c r="B140" s="122">
        <f t="shared" si="5"/>
        <v>41528</v>
      </c>
      <c r="D140" s="136">
        <v>0.12</v>
      </c>
      <c r="F140" s="130">
        <f t="shared" si="4"/>
        <v>320</v>
      </c>
    </row>
    <row r="141" spans="1:11" hidden="1" x14ac:dyDescent="0.25">
      <c r="B141" s="122">
        <f t="shared" si="5"/>
        <v>41529</v>
      </c>
      <c r="D141" s="136">
        <v>0.12</v>
      </c>
      <c r="F141" s="130">
        <f t="shared" si="4"/>
        <v>320</v>
      </c>
    </row>
    <row r="142" spans="1:11" hidden="1" x14ac:dyDescent="0.25">
      <c r="B142" s="122">
        <f t="shared" si="5"/>
        <v>41530</v>
      </c>
      <c r="D142" s="136">
        <v>0.12</v>
      </c>
      <c r="F142" s="130">
        <f t="shared" si="4"/>
        <v>320</v>
      </c>
    </row>
    <row r="143" spans="1:11" hidden="1" x14ac:dyDescent="0.25">
      <c r="B143" s="122">
        <f t="shared" si="5"/>
        <v>41531</v>
      </c>
      <c r="D143" s="136">
        <v>0.12</v>
      </c>
      <c r="F143" s="130">
        <f t="shared" si="4"/>
        <v>320</v>
      </c>
    </row>
    <row r="144" spans="1:11" hidden="1" x14ac:dyDescent="0.25">
      <c r="B144" s="122">
        <f t="shared" si="5"/>
        <v>41532</v>
      </c>
      <c r="D144" s="136">
        <v>0.12</v>
      </c>
      <c r="F144" s="130">
        <f t="shared" si="4"/>
        <v>320</v>
      </c>
    </row>
    <row r="145" spans="1:11" hidden="1" x14ac:dyDescent="0.25">
      <c r="B145" s="122">
        <f t="shared" si="5"/>
        <v>41533</v>
      </c>
      <c r="D145" s="136">
        <v>0.12</v>
      </c>
      <c r="F145" s="130">
        <f t="shared" si="4"/>
        <v>320</v>
      </c>
    </row>
    <row r="146" spans="1:11" hidden="1" x14ac:dyDescent="0.25">
      <c r="B146" s="122">
        <f t="shared" si="5"/>
        <v>41534</v>
      </c>
      <c r="D146" s="136">
        <v>0.12</v>
      </c>
      <c r="F146" s="130">
        <f t="shared" si="4"/>
        <v>320</v>
      </c>
    </row>
    <row r="147" spans="1:11" hidden="1" x14ac:dyDescent="0.25">
      <c r="B147" s="122">
        <f t="shared" si="5"/>
        <v>41535</v>
      </c>
      <c r="D147" s="136">
        <v>0.12</v>
      </c>
      <c r="F147" s="130">
        <f t="shared" si="4"/>
        <v>320</v>
      </c>
    </row>
    <row r="148" spans="1:11" hidden="1" x14ac:dyDescent="0.25">
      <c r="B148" s="122">
        <f t="shared" si="5"/>
        <v>41536</v>
      </c>
      <c r="D148" s="136">
        <v>0.12</v>
      </c>
      <c r="F148" s="130">
        <f t="shared" si="4"/>
        <v>320</v>
      </c>
    </row>
    <row r="149" spans="1:11" hidden="1" x14ac:dyDescent="0.25">
      <c r="B149" s="122">
        <f t="shared" si="5"/>
        <v>41537</v>
      </c>
      <c r="D149" s="136">
        <v>0.12</v>
      </c>
      <c r="F149" s="130">
        <f t="shared" si="4"/>
        <v>320</v>
      </c>
    </row>
    <row r="150" spans="1:11" hidden="1" x14ac:dyDescent="0.25">
      <c r="B150" s="122">
        <f t="shared" si="5"/>
        <v>41538</v>
      </c>
      <c r="D150" s="136">
        <v>0.12</v>
      </c>
      <c r="F150" s="130">
        <f t="shared" si="4"/>
        <v>320</v>
      </c>
    </row>
    <row r="151" spans="1:11" hidden="1" x14ac:dyDescent="0.25">
      <c r="B151" s="122">
        <f t="shared" si="5"/>
        <v>41539</v>
      </c>
      <c r="D151" s="136">
        <v>0.12</v>
      </c>
      <c r="F151" s="130">
        <f t="shared" si="4"/>
        <v>320</v>
      </c>
    </row>
    <row r="152" spans="1:11" hidden="1" x14ac:dyDescent="0.25">
      <c r="B152" s="122">
        <f t="shared" si="5"/>
        <v>41540</v>
      </c>
      <c r="D152" s="136">
        <v>0.12</v>
      </c>
      <c r="F152" s="130">
        <f t="shared" si="4"/>
        <v>320</v>
      </c>
    </row>
    <row r="153" spans="1:11" hidden="1" x14ac:dyDescent="0.25">
      <c r="B153" s="122">
        <f t="shared" si="5"/>
        <v>41541</v>
      </c>
      <c r="D153" s="136">
        <v>0.12</v>
      </c>
      <c r="F153" s="130">
        <f t="shared" si="4"/>
        <v>320</v>
      </c>
    </row>
    <row r="154" spans="1:11" hidden="1" x14ac:dyDescent="0.25">
      <c r="B154" s="122">
        <f t="shared" si="5"/>
        <v>41542</v>
      </c>
      <c r="D154" s="136">
        <v>0.12</v>
      </c>
      <c r="F154" s="130">
        <f t="shared" si="4"/>
        <v>320</v>
      </c>
    </row>
    <row r="155" spans="1:11" hidden="1" x14ac:dyDescent="0.25">
      <c r="B155" s="122">
        <f t="shared" si="5"/>
        <v>41543</v>
      </c>
      <c r="D155" s="136">
        <v>0.12</v>
      </c>
      <c r="F155" s="130">
        <f t="shared" si="4"/>
        <v>320</v>
      </c>
    </row>
    <row r="156" spans="1:11" hidden="1" x14ac:dyDescent="0.25">
      <c r="B156" s="122">
        <f t="shared" si="5"/>
        <v>41544</v>
      </c>
      <c r="D156" s="136">
        <v>0.12</v>
      </c>
      <c r="F156" s="130">
        <f t="shared" si="4"/>
        <v>320</v>
      </c>
    </row>
    <row r="157" spans="1:11" hidden="1" x14ac:dyDescent="0.25">
      <c r="B157" s="122">
        <f t="shared" si="5"/>
        <v>41545</v>
      </c>
      <c r="D157" s="136">
        <v>0.12</v>
      </c>
      <c r="F157" s="130">
        <f t="shared" si="4"/>
        <v>320</v>
      </c>
    </row>
    <row r="158" spans="1:11" hidden="1" x14ac:dyDescent="0.25">
      <c r="B158" s="122">
        <f t="shared" si="5"/>
        <v>41546</v>
      </c>
      <c r="D158" s="136">
        <v>0.12</v>
      </c>
      <c r="F158" s="130">
        <f t="shared" si="4"/>
        <v>320</v>
      </c>
    </row>
    <row r="159" spans="1:11" hidden="1" x14ac:dyDescent="0.25">
      <c r="B159" s="122">
        <f t="shared" si="5"/>
        <v>41547</v>
      </c>
      <c r="D159" s="136">
        <v>0.12</v>
      </c>
      <c r="F159" s="130">
        <f t="shared" si="4"/>
        <v>320</v>
      </c>
      <c r="H159" s="133">
        <f>SUM(F130:F159)</f>
        <v>9759.9999989999997</v>
      </c>
      <c r="I159" s="134">
        <f>AVERAGE(D130:D159)</f>
        <v>0.12200000000000008</v>
      </c>
      <c r="J159" s="135">
        <f>AVERAGE(D7:D159)</f>
        <v>0.16328104575163435</v>
      </c>
      <c r="K159" s="138">
        <f>AVERAGE(D7:D159)</f>
        <v>0.16328104575163435</v>
      </c>
    </row>
    <row r="160" spans="1:11" x14ac:dyDescent="0.25">
      <c r="A160" s="121">
        <v>41548</v>
      </c>
      <c r="B160" s="122">
        <f t="shared" si="5"/>
        <v>41548</v>
      </c>
      <c r="D160" s="136">
        <v>0.12</v>
      </c>
      <c r="F160" s="130">
        <f t="shared" si="4"/>
        <v>320</v>
      </c>
    </row>
    <row r="161" spans="2:6" x14ac:dyDescent="0.25">
      <c r="B161" s="122">
        <f t="shared" si="5"/>
        <v>41549</v>
      </c>
      <c r="D161" s="136">
        <v>0.12</v>
      </c>
      <c r="F161" s="130">
        <f t="shared" si="4"/>
        <v>320</v>
      </c>
    </row>
    <row r="162" spans="2:6" x14ac:dyDescent="0.25">
      <c r="B162" s="122">
        <f t="shared" si="5"/>
        <v>41550</v>
      </c>
      <c r="D162" s="136">
        <v>0.12</v>
      </c>
      <c r="F162" s="130">
        <f t="shared" si="4"/>
        <v>320</v>
      </c>
    </row>
    <row r="163" spans="2:6" x14ac:dyDescent="0.25">
      <c r="B163" s="122">
        <f t="shared" si="5"/>
        <v>41551</v>
      </c>
      <c r="D163" s="136">
        <v>0.12</v>
      </c>
      <c r="F163" s="130">
        <f t="shared" si="4"/>
        <v>320</v>
      </c>
    </row>
    <row r="164" spans="2:6" x14ac:dyDescent="0.25">
      <c r="B164" s="122">
        <f t="shared" si="5"/>
        <v>41552</v>
      </c>
      <c r="D164" s="136">
        <v>0.12</v>
      </c>
      <c r="F164" s="130">
        <f t="shared" si="4"/>
        <v>320</v>
      </c>
    </row>
    <row r="165" spans="2:6" x14ac:dyDescent="0.25">
      <c r="B165" s="122">
        <f t="shared" si="5"/>
        <v>41553</v>
      </c>
      <c r="D165" s="136">
        <v>0.12</v>
      </c>
      <c r="F165" s="130">
        <f t="shared" si="4"/>
        <v>320</v>
      </c>
    </row>
    <row r="166" spans="2:6" x14ac:dyDescent="0.25">
      <c r="B166" s="122">
        <f t="shared" si="5"/>
        <v>41554</v>
      </c>
      <c r="D166" s="136">
        <v>0.12</v>
      </c>
      <c r="F166" s="130">
        <f t="shared" si="4"/>
        <v>320</v>
      </c>
    </row>
    <row r="167" spans="2:6" x14ac:dyDescent="0.25">
      <c r="B167" s="122">
        <f t="shared" si="5"/>
        <v>41555</v>
      </c>
      <c r="D167" s="136">
        <v>0.12</v>
      </c>
      <c r="F167" s="130">
        <f t="shared" si="4"/>
        <v>320</v>
      </c>
    </row>
    <row r="168" spans="2:6" x14ac:dyDescent="0.25">
      <c r="B168" s="122">
        <f t="shared" si="5"/>
        <v>41556</v>
      </c>
      <c r="D168" s="136">
        <v>0.30199999999999999</v>
      </c>
      <c r="F168" s="130">
        <f t="shared" si="4"/>
        <v>805.33333300000004</v>
      </c>
    </row>
    <row r="169" spans="2:6" x14ac:dyDescent="0.25">
      <c r="B169" s="122">
        <f t="shared" si="5"/>
        <v>41557</v>
      </c>
      <c r="D169" s="136">
        <v>0.30199999999999999</v>
      </c>
      <c r="F169" s="130">
        <f t="shared" si="4"/>
        <v>805.33333300000004</v>
      </c>
    </row>
    <row r="170" spans="2:6" x14ac:dyDescent="0.25">
      <c r="B170" s="122">
        <f t="shared" si="5"/>
        <v>41558</v>
      </c>
      <c r="D170" s="136">
        <v>0.30199999999999999</v>
      </c>
      <c r="F170" s="130">
        <f t="shared" si="4"/>
        <v>805.33333300000004</v>
      </c>
    </row>
    <row r="171" spans="2:6" x14ac:dyDescent="0.25">
      <c r="B171" s="122">
        <f t="shared" si="5"/>
        <v>41559</v>
      </c>
      <c r="D171" s="136">
        <v>0.30199999999999999</v>
      </c>
      <c r="F171" s="130">
        <f t="shared" si="4"/>
        <v>805.33333300000004</v>
      </c>
    </row>
    <row r="172" spans="2:6" x14ac:dyDescent="0.25">
      <c r="B172" s="122">
        <f t="shared" si="5"/>
        <v>41560</v>
      </c>
      <c r="D172" s="136">
        <v>0.30199999999999999</v>
      </c>
      <c r="F172" s="130">
        <f t="shared" si="4"/>
        <v>805.33333300000004</v>
      </c>
    </row>
    <row r="173" spans="2:6" x14ac:dyDescent="0.25">
      <c r="B173" s="122">
        <f t="shared" si="5"/>
        <v>41561</v>
      </c>
      <c r="D173" s="136">
        <v>0.30199999999999999</v>
      </c>
      <c r="F173" s="130">
        <f t="shared" si="4"/>
        <v>805.33333300000004</v>
      </c>
    </row>
    <row r="174" spans="2:6" x14ac:dyDescent="0.25">
      <c r="B174" s="122">
        <f t="shared" si="5"/>
        <v>41562</v>
      </c>
      <c r="D174" s="136">
        <v>0.30199999999999999</v>
      </c>
      <c r="F174" s="130">
        <f t="shared" si="4"/>
        <v>805.33333300000004</v>
      </c>
    </row>
    <row r="175" spans="2:6" x14ac:dyDescent="0.25">
      <c r="B175" s="122">
        <f t="shared" si="5"/>
        <v>41563</v>
      </c>
      <c r="D175" s="136">
        <v>0.30199999999999999</v>
      </c>
      <c r="F175" s="130">
        <f t="shared" si="4"/>
        <v>805.33333300000004</v>
      </c>
    </row>
    <row r="176" spans="2:6" x14ac:dyDescent="0.25">
      <c r="B176" s="122">
        <f t="shared" si="5"/>
        <v>41564</v>
      </c>
      <c r="D176" s="136">
        <v>0.30199999999999999</v>
      </c>
      <c r="F176" s="130">
        <f t="shared" si="4"/>
        <v>805.33333300000004</v>
      </c>
    </row>
    <row r="177" spans="2:11" x14ac:dyDescent="0.25">
      <c r="B177" s="122">
        <f t="shared" si="5"/>
        <v>41565</v>
      </c>
      <c r="D177" s="136">
        <v>0.30199999999999999</v>
      </c>
      <c r="F177" s="130">
        <f t="shared" si="4"/>
        <v>805.33333300000004</v>
      </c>
    </row>
    <row r="178" spans="2:11" x14ac:dyDescent="0.25">
      <c r="B178" s="122">
        <f t="shared" si="5"/>
        <v>41566</v>
      </c>
      <c r="D178" s="136">
        <v>0.30199999999999999</v>
      </c>
      <c r="F178" s="130">
        <f t="shared" si="4"/>
        <v>805.33333300000004</v>
      </c>
    </row>
    <row r="179" spans="2:11" x14ac:dyDescent="0.25">
      <c r="B179" s="122">
        <f t="shared" si="5"/>
        <v>41567</v>
      </c>
      <c r="D179" s="136">
        <v>0.30199999999999999</v>
      </c>
      <c r="F179" s="130">
        <f t="shared" si="4"/>
        <v>805.33333300000004</v>
      </c>
    </row>
    <row r="180" spans="2:11" x14ac:dyDescent="0.25">
      <c r="B180" s="122">
        <f t="shared" si="5"/>
        <v>41568</v>
      </c>
      <c r="D180" s="136">
        <v>0.30199999999999999</v>
      </c>
      <c r="F180" s="130">
        <f t="shared" si="4"/>
        <v>805.33333300000004</v>
      </c>
    </row>
    <row r="181" spans="2:11" x14ac:dyDescent="0.25">
      <c r="B181" s="122">
        <f t="shared" si="5"/>
        <v>41569</v>
      </c>
      <c r="D181" s="136">
        <v>0.30199999999999999</v>
      </c>
      <c r="F181" s="130">
        <f t="shared" ref="F181:F190" si="6">ROUND(D181/100*$A$3/360,6)</f>
        <v>805.33333300000004</v>
      </c>
    </row>
    <row r="182" spans="2:11" x14ac:dyDescent="0.25">
      <c r="B182" s="122">
        <f t="shared" si="5"/>
        <v>41570</v>
      </c>
      <c r="D182" s="136">
        <v>0.30199999999999999</v>
      </c>
      <c r="F182" s="130">
        <f t="shared" si="6"/>
        <v>805.33333300000004</v>
      </c>
    </row>
    <row r="183" spans="2:11" x14ac:dyDescent="0.25">
      <c r="B183" s="122">
        <f t="shared" si="5"/>
        <v>41571</v>
      </c>
      <c r="D183" s="136">
        <v>0.30199999999999999</v>
      </c>
      <c r="F183" s="130">
        <f t="shared" si="6"/>
        <v>805.33333300000004</v>
      </c>
    </row>
    <row r="184" spans="2:11" x14ac:dyDescent="0.25">
      <c r="B184" s="122">
        <f t="shared" si="5"/>
        <v>41572</v>
      </c>
      <c r="D184" s="136">
        <v>0.30199999999999999</v>
      </c>
      <c r="F184" s="130">
        <f t="shared" si="6"/>
        <v>805.33333300000004</v>
      </c>
    </row>
    <row r="185" spans="2:11" x14ac:dyDescent="0.25">
      <c r="B185" s="122">
        <f t="shared" si="5"/>
        <v>41573</v>
      </c>
      <c r="D185" s="136">
        <v>0.30199999999999999</v>
      </c>
      <c r="F185" s="130">
        <f t="shared" si="6"/>
        <v>805.33333300000004</v>
      </c>
    </row>
    <row r="186" spans="2:11" x14ac:dyDescent="0.25">
      <c r="B186" s="122">
        <f t="shared" si="5"/>
        <v>41574</v>
      </c>
      <c r="D186" s="136">
        <v>0.30199999999999999</v>
      </c>
      <c r="F186" s="130">
        <f t="shared" si="6"/>
        <v>805.33333300000004</v>
      </c>
    </row>
    <row r="187" spans="2:11" x14ac:dyDescent="0.25">
      <c r="B187" s="122">
        <f t="shared" si="5"/>
        <v>41575</v>
      </c>
      <c r="D187" s="136">
        <v>0.30199999999999999</v>
      </c>
      <c r="F187" s="130">
        <f t="shared" si="6"/>
        <v>805.33333300000004</v>
      </c>
    </row>
    <row r="188" spans="2:11" x14ac:dyDescent="0.25">
      <c r="B188" s="122">
        <f t="shared" si="5"/>
        <v>41576</v>
      </c>
      <c r="D188" s="136">
        <v>0.30199999999999999</v>
      </c>
      <c r="F188" s="130">
        <f t="shared" si="6"/>
        <v>805.33333300000004</v>
      </c>
    </row>
    <row r="189" spans="2:11" x14ac:dyDescent="0.25">
      <c r="B189" s="122">
        <f t="shared" si="5"/>
        <v>41577</v>
      </c>
      <c r="D189" s="136">
        <v>0.30199999999999999</v>
      </c>
      <c r="F189" s="130">
        <f t="shared" si="6"/>
        <v>805.33333300000004</v>
      </c>
    </row>
    <row r="190" spans="2:11" x14ac:dyDescent="0.25">
      <c r="B190" s="122">
        <f t="shared" si="5"/>
        <v>41578</v>
      </c>
      <c r="D190" s="136">
        <v>0.30199999999999999</v>
      </c>
      <c r="F190" s="130">
        <f t="shared" si="6"/>
        <v>805.33333300000004</v>
      </c>
      <c r="H190" s="133">
        <f>SUM(F160:F190)</f>
        <v>21082.666658999999</v>
      </c>
      <c r="I190" s="134">
        <f>AVERAGE(D160:D190)</f>
        <v>0.25503225806451596</v>
      </c>
      <c r="J190" s="135">
        <f>AVERAGE(D7:D190)</f>
        <v>0.1787391304347829</v>
      </c>
      <c r="K190" s="138">
        <f>AVERAGE(D7:D190)</f>
        <v>0.1787391304347829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>
    <pageSetUpPr fitToPage="1"/>
  </sheetPr>
  <dimension ref="A1:N190"/>
  <sheetViews>
    <sheetView zoomScaleNormal="100" workbookViewId="0">
      <pane ySplit="5" topLeftCell="A175" activePane="bottomLeft" state="frozen"/>
      <selection sqref="A1:XFD1048576"/>
      <selection pane="bottomLeft" activeCell="A7" sqref="A7:XFD159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31" customWidth="1"/>
    <col min="10" max="10" width="11.7109375" style="132" customWidth="1"/>
    <col min="11" max="11" width="12.140625" style="119" customWidth="1"/>
    <col min="12" max="16384" width="9.140625" style="120"/>
  </cols>
  <sheetData>
    <row r="1" spans="1:14" ht="12.75" x14ac:dyDescent="0.2">
      <c r="A1" s="502" t="s">
        <v>109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2" t="s">
        <v>108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50000000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237192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39" x14ac:dyDescent="0.25">
      <c r="B5" s="122"/>
      <c r="D5" s="123"/>
      <c r="H5" s="124" t="s">
        <v>99</v>
      </c>
      <c r="I5" s="125" t="s">
        <v>100</v>
      </c>
      <c r="J5" s="126" t="s">
        <v>101</v>
      </c>
      <c r="K5" s="127" t="s">
        <v>372</v>
      </c>
      <c r="L5" s="128"/>
      <c r="M5" s="128"/>
      <c r="N5" s="128"/>
    </row>
    <row r="6" spans="1:14" x14ac:dyDescent="0.25">
      <c r="B6" s="122"/>
      <c r="D6" s="123"/>
      <c r="H6" s="124"/>
      <c r="I6" s="125"/>
      <c r="J6" s="126"/>
      <c r="K6" s="129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0.2</v>
      </c>
      <c r="F7" s="130">
        <f t="shared" ref="F7:F16" si="0">ROUND(D7/100*$A$3/365,6)</f>
        <v>273.97260299999999</v>
      </c>
    </row>
    <row r="8" spans="1:14" hidden="1" x14ac:dyDescent="0.25">
      <c r="B8" s="122">
        <f t="shared" ref="B8:B66" si="1">B7+1</f>
        <v>41396</v>
      </c>
      <c r="D8" s="136">
        <v>0.2</v>
      </c>
      <c r="F8" s="130">
        <f t="shared" si="0"/>
        <v>273.97260299999999</v>
      </c>
    </row>
    <row r="9" spans="1:14" hidden="1" x14ac:dyDescent="0.25">
      <c r="B9" s="122">
        <f t="shared" si="1"/>
        <v>41397</v>
      </c>
      <c r="D9" s="136">
        <v>0.2</v>
      </c>
      <c r="F9" s="130">
        <f t="shared" si="0"/>
        <v>273.97260299999999</v>
      </c>
    </row>
    <row r="10" spans="1:14" hidden="1" x14ac:dyDescent="0.25">
      <c r="B10" s="122">
        <f t="shared" si="1"/>
        <v>41398</v>
      </c>
      <c r="D10" s="136">
        <v>0.2</v>
      </c>
      <c r="F10" s="130">
        <f t="shared" si="0"/>
        <v>273.97260299999999</v>
      </c>
    </row>
    <row r="11" spans="1:14" hidden="1" x14ac:dyDescent="0.25">
      <c r="B11" s="122">
        <f t="shared" si="1"/>
        <v>41399</v>
      </c>
      <c r="D11" s="136">
        <v>0.2</v>
      </c>
      <c r="F11" s="130">
        <f t="shared" si="0"/>
        <v>273.97260299999999</v>
      </c>
    </row>
    <row r="12" spans="1:14" hidden="1" x14ac:dyDescent="0.25">
      <c r="B12" s="122">
        <f t="shared" si="1"/>
        <v>41400</v>
      </c>
      <c r="D12" s="136">
        <v>0.2</v>
      </c>
      <c r="F12" s="130">
        <f t="shared" si="0"/>
        <v>273.97260299999999</v>
      </c>
    </row>
    <row r="13" spans="1:14" hidden="1" x14ac:dyDescent="0.25">
      <c r="B13" s="122">
        <f t="shared" si="1"/>
        <v>41401</v>
      </c>
      <c r="D13" s="136">
        <v>0.2</v>
      </c>
      <c r="F13" s="130">
        <f t="shared" si="0"/>
        <v>273.97260299999999</v>
      </c>
    </row>
    <row r="14" spans="1:14" hidden="1" x14ac:dyDescent="0.25">
      <c r="B14" s="122">
        <f t="shared" si="1"/>
        <v>41402</v>
      </c>
      <c r="D14" s="136">
        <v>0.18</v>
      </c>
      <c r="F14" s="130">
        <f t="shared" si="0"/>
        <v>246.57534200000001</v>
      </c>
    </row>
    <row r="15" spans="1:14" hidden="1" x14ac:dyDescent="0.25">
      <c r="B15" s="122">
        <f t="shared" si="1"/>
        <v>41403</v>
      </c>
      <c r="D15" s="136">
        <v>0.18</v>
      </c>
      <c r="F15" s="130">
        <f t="shared" si="0"/>
        <v>246.57534200000001</v>
      </c>
    </row>
    <row r="16" spans="1:14" hidden="1" x14ac:dyDescent="0.25">
      <c r="B16" s="122">
        <f t="shared" si="1"/>
        <v>41404</v>
      </c>
      <c r="D16" s="136">
        <v>0.18</v>
      </c>
      <c r="F16" s="130">
        <f t="shared" si="0"/>
        <v>246.57534200000001</v>
      </c>
    </row>
    <row r="17" spans="2:6" hidden="1" x14ac:dyDescent="0.25">
      <c r="B17" s="122">
        <f t="shared" si="1"/>
        <v>41405</v>
      </c>
      <c r="D17" s="136">
        <v>0.18</v>
      </c>
      <c r="F17" s="130">
        <f t="shared" ref="F17:F80" si="2">ROUND(D17/100*$A$3/365,6)</f>
        <v>246.57534200000001</v>
      </c>
    </row>
    <row r="18" spans="2:6" hidden="1" x14ac:dyDescent="0.25">
      <c r="B18" s="122">
        <f t="shared" si="1"/>
        <v>41406</v>
      </c>
      <c r="D18" s="136">
        <v>0.18</v>
      </c>
      <c r="F18" s="130">
        <f t="shared" si="2"/>
        <v>246.57534200000001</v>
      </c>
    </row>
    <row r="19" spans="2:6" hidden="1" x14ac:dyDescent="0.25">
      <c r="B19" s="122">
        <f t="shared" si="1"/>
        <v>41407</v>
      </c>
      <c r="D19" s="136">
        <v>0.18</v>
      </c>
      <c r="F19" s="130">
        <f t="shared" si="2"/>
        <v>246.57534200000001</v>
      </c>
    </row>
    <row r="20" spans="2:6" hidden="1" x14ac:dyDescent="0.25">
      <c r="B20" s="122">
        <f t="shared" si="1"/>
        <v>41408</v>
      </c>
      <c r="D20" s="136">
        <v>0.18</v>
      </c>
      <c r="F20" s="130">
        <f t="shared" si="2"/>
        <v>246.57534200000001</v>
      </c>
    </row>
    <row r="21" spans="2:6" hidden="1" x14ac:dyDescent="0.25">
      <c r="B21" s="122">
        <f t="shared" si="1"/>
        <v>41409</v>
      </c>
      <c r="D21" s="136">
        <v>0.19</v>
      </c>
      <c r="F21" s="130">
        <f t="shared" si="2"/>
        <v>260.27397300000001</v>
      </c>
    </row>
    <row r="22" spans="2:6" hidden="1" x14ac:dyDescent="0.25">
      <c r="B22" s="122">
        <f t="shared" si="1"/>
        <v>41410</v>
      </c>
      <c r="D22" s="136">
        <v>0.19</v>
      </c>
      <c r="F22" s="130">
        <f t="shared" si="2"/>
        <v>260.27397300000001</v>
      </c>
    </row>
    <row r="23" spans="2:6" hidden="1" x14ac:dyDescent="0.25">
      <c r="B23" s="122">
        <f t="shared" si="1"/>
        <v>41411</v>
      </c>
      <c r="D23" s="136">
        <v>0.19</v>
      </c>
      <c r="F23" s="130">
        <f t="shared" si="2"/>
        <v>260.27397300000001</v>
      </c>
    </row>
    <row r="24" spans="2:6" hidden="1" x14ac:dyDescent="0.25">
      <c r="B24" s="122">
        <f t="shared" si="1"/>
        <v>41412</v>
      </c>
      <c r="D24" s="136">
        <v>0.19</v>
      </c>
      <c r="F24" s="130">
        <f t="shared" si="2"/>
        <v>260.27397300000001</v>
      </c>
    </row>
    <row r="25" spans="2:6" hidden="1" x14ac:dyDescent="0.25">
      <c r="B25" s="122">
        <f t="shared" si="1"/>
        <v>41413</v>
      </c>
      <c r="D25" s="136">
        <v>0.19</v>
      </c>
      <c r="F25" s="130">
        <f t="shared" si="2"/>
        <v>260.27397300000001</v>
      </c>
    </row>
    <row r="26" spans="2:6" hidden="1" x14ac:dyDescent="0.25">
      <c r="B26" s="122">
        <f t="shared" si="1"/>
        <v>41414</v>
      </c>
      <c r="D26" s="136">
        <v>0.19</v>
      </c>
      <c r="F26" s="130">
        <f t="shared" si="2"/>
        <v>260.27397300000001</v>
      </c>
    </row>
    <row r="27" spans="2:6" hidden="1" x14ac:dyDescent="0.25">
      <c r="B27" s="122">
        <f t="shared" si="1"/>
        <v>41415</v>
      </c>
      <c r="D27" s="136">
        <v>0.19</v>
      </c>
      <c r="F27" s="130">
        <f t="shared" si="2"/>
        <v>260.27397300000001</v>
      </c>
    </row>
    <row r="28" spans="2:6" hidden="1" x14ac:dyDescent="0.25">
      <c r="B28" s="122">
        <f t="shared" si="1"/>
        <v>41416</v>
      </c>
      <c r="D28" s="136">
        <v>0.17</v>
      </c>
      <c r="F28" s="130">
        <f t="shared" si="2"/>
        <v>232.876712</v>
      </c>
    </row>
    <row r="29" spans="2:6" hidden="1" x14ac:dyDescent="0.25">
      <c r="B29" s="122">
        <f t="shared" si="1"/>
        <v>41417</v>
      </c>
      <c r="D29" s="136">
        <v>0.17</v>
      </c>
      <c r="F29" s="130">
        <f t="shared" si="2"/>
        <v>232.876712</v>
      </c>
    </row>
    <row r="30" spans="2:6" hidden="1" x14ac:dyDescent="0.25">
      <c r="B30" s="122">
        <f t="shared" si="1"/>
        <v>41418</v>
      </c>
      <c r="D30" s="136">
        <v>0.17</v>
      </c>
      <c r="F30" s="130">
        <f t="shared" si="2"/>
        <v>232.876712</v>
      </c>
    </row>
    <row r="31" spans="2:6" hidden="1" x14ac:dyDescent="0.25">
      <c r="B31" s="122">
        <f t="shared" si="1"/>
        <v>41419</v>
      </c>
      <c r="D31" s="136">
        <v>0.17</v>
      </c>
      <c r="F31" s="130">
        <f t="shared" si="2"/>
        <v>232.876712</v>
      </c>
    </row>
    <row r="32" spans="2:6" hidden="1" x14ac:dyDescent="0.25">
      <c r="B32" s="122">
        <f t="shared" si="1"/>
        <v>41420</v>
      </c>
      <c r="D32" s="136">
        <v>0.17</v>
      </c>
      <c r="F32" s="130">
        <f t="shared" si="2"/>
        <v>232.876712</v>
      </c>
    </row>
    <row r="33" spans="1:11" hidden="1" x14ac:dyDescent="0.25">
      <c r="B33" s="122">
        <f t="shared" si="1"/>
        <v>41421</v>
      </c>
      <c r="D33" s="136">
        <v>0.17</v>
      </c>
      <c r="F33" s="130">
        <f t="shared" si="2"/>
        <v>232.876712</v>
      </c>
    </row>
    <row r="34" spans="1:11" hidden="1" x14ac:dyDescent="0.25">
      <c r="B34" s="122">
        <f t="shared" si="1"/>
        <v>41422</v>
      </c>
      <c r="D34" s="136">
        <v>0.17</v>
      </c>
      <c r="F34" s="130">
        <f t="shared" si="2"/>
        <v>232.876712</v>
      </c>
    </row>
    <row r="35" spans="1:11" hidden="1" x14ac:dyDescent="0.25">
      <c r="B35" s="122">
        <f t="shared" si="1"/>
        <v>41423</v>
      </c>
      <c r="D35" s="136">
        <v>0.13</v>
      </c>
      <c r="F35" s="130">
        <f t="shared" si="2"/>
        <v>178.08219199999999</v>
      </c>
    </row>
    <row r="36" spans="1:11" hidden="1" x14ac:dyDescent="0.25">
      <c r="B36" s="122">
        <f t="shared" si="1"/>
        <v>41424</v>
      </c>
      <c r="D36" s="136">
        <v>0.13</v>
      </c>
      <c r="F36" s="130">
        <f t="shared" si="2"/>
        <v>178.08219199999999</v>
      </c>
    </row>
    <row r="37" spans="1:11" hidden="1" x14ac:dyDescent="0.25">
      <c r="B37" s="122">
        <f t="shared" si="1"/>
        <v>41425</v>
      </c>
      <c r="D37" s="136">
        <v>0.13</v>
      </c>
      <c r="F37" s="130">
        <f t="shared" si="2"/>
        <v>178.08219199999999</v>
      </c>
      <c r="H37" s="133">
        <f>SUM(F7:F37)</f>
        <v>7630.1369860000032</v>
      </c>
      <c r="I37" s="134">
        <f>AVERAGE(D7:D37)</f>
        <v>0.17967741935483869</v>
      </c>
      <c r="J37" s="135">
        <f>AVERAGE(D7:D37)</f>
        <v>0.17967741935483869</v>
      </c>
      <c r="K37" s="138">
        <f>AVERAGE(D7:D37)</f>
        <v>0.17967741935483869</v>
      </c>
    </row>
    <row r="38" spans="1:11" hidden="1" x14ac:dyDescent="0.25">
      <c r="A38" s="121">
        <v>41426</v>
      </c>
      <c r="B38" s="122">
        <f t="shared" si="1"/>
        <v>41426</v>
      </c>
      <c r="D38" s="136">
        <v>0.13</v>
      </c>
      <c r="F38" s="130">
        <f t="shared" si="2"/>
        <v>178.08219199999999</v>
      </c>
    </row>
    <row r="39" spans="1:11" hidden="1" x14ac:dyDescent="0.25">
      <c r="B39" s="122">
        <f t="shared" si="1"/>
        <v>41427</v>
      </c>
      <c r="D39" s="136">
        <v>0.13</v>
      </c>
      <c r="F39" s="130">
        <f t="shared" si="2"/>
        <v>178.08219199999999</v>
      </c>
    </row>
    <row r="40" spans="1:11" hidden="1" x14ac:dyDescent="0.25">
      <c r="B40" s="122">
        <f t="shared" si="1"/>
        <v>41428</v>
      </c>
      <c r="D40" s="136">
        <v>0.13</v>
      </c>
      <c r="F40" s="130">
        <f t="shared" si="2"/>
        <v>178.08219199999999</v>
      </c>
    </row>
    <row r="41" spans="1:11" hidden="1" x14ac:dyDescent="0.25">
      <c r="B41" s="122">
        <f t="shared" si="1"/>
        <v>41429</v>
      </c>
      <c r="D41" s="136">
        <v>0.13</v>
      </c>
      <c r="F41" s="130">
        <f t="shared" si="2"/>
        <v>178.08219199999999</v>
      </c>
    </row>
    <row r="42" spans="1:11" hidden="1" x14ac:dyDescent="0.25">
      <c r="B42" s="122">
        <f t="shared" si="1"/>
        <v>41430</v>
      </c>
      <c r="D42" s="136">
        <v>0.11</v>
      </c>
      <c r="F42" s="130">
        <f t="shared" si="2"/>
        <v>150.684932</v>
      </c>
    </row>
    <row r="43" spans="1:11" hidden="1" x14ac:dyDescent="0.25">
      <c r="B43" s="122">
        <f t="shared" si="1"/>
        <v>41431</v>
      </c>
      <c r="D43" s="136">
        <v>0.11</v>
      </c>
      <c r="F43" s="130">
        <f t="shared" si="2"/>
        <v>150.684932</v>
      </c>
    </row>
    <row r="44" spans="1:11" hidden="1" x14ac:dyDescent="0.25">
      <c r="B44" s="122">
        <f t="shared" si="1"/>
        <v>41432</v>
      </c>
      <c r="D44" s="136">
        <v>0.11</v>
      </c>
      <c r="F44" s="130">
        <f t="shared" si="2"/>
        <v>150.684932</v>
      </c>
    </row>
    <row r="45" spans="1:11" hidden="1" x14ac:dyDescent="0.25">
      <c r="B45" s="122">
        <f t="shared" si="1"/>
        <v>41433</v>
      </c>
      <c r="D45" s="136">
        <v>0.11</v>
      </c>
      <c r="F45" s="130">
        <f t="shared" si="2"/>
        <v>150.684932</v>
      </c>
    </row>
    <row r="46" spans="1:11" hidden="1" x14ac:dyDescent="0.25">
      <c r="B46" s="122">
        <f t="shared" si="1"/>
        <v>41434</v>
      </c>
      <c r="D46" s="136">
        <v>0.11</v>
      </c>
      <c r="F46" s="130">
        <f t="shared" si="2"/>
        <v>150.684932</v>
      </c>
    </row>
    <row r="47" spans="1:11" hidden="1" x14ac:dyDescent="0.25">
      <c r="B47" s="122">
        <f t="shared" si="1"/>
        <v>41435</v>
      </c>
      <c r="D47" s="136">
        <v>0.11</v>
      </c>
      <c r="F47" s="130">
        <f t="shared" si="2"/>
        <v>150.684932</v>
      </c>
    </row>
    <row r="48" spans="1:11" hidden="1" x14ac:dyDescent="0.25">
      <c r="B48" s="122">
        <f t="shared" si="1"/>
        <v>41436</v>
      </c>
      <c r="D48" s="136">
        <v>0.11</v>
      </c>
      <c r="F48" s="130">
        <f t="shared" si="2"/>
        <v>150.684932</v>
      </c>
    </row>
    <row r="49" spans="2:6" hidden="1" x14ac:dyDescent="0.25">
      <c r="B49" s="122">
        <f t="shared" si="1"/>
        <v>41437</v>
      </c>
      <c r="D49" s="136">
        <v>0.1</v>
      </c>
      <c r="F49" s="130">
        <f t="shared" si="2"/>
        <v>136.986301</v>
      </c>
    </row>
    <row r="50" spans="2:6" hidden="1" x14ac:dyDescent="0.25">
      <c r="B50" s="122">
        <f t="shared" si="1"/>
        <v>41438</v>
      </c>
      <c r="D50" s="136">
        <v>0.1</v>
      </c>
      <c r="F50" s="130">
        <f t="shared" si="2"/>
        <v>136.986301</v>
      </c>
    </row>
    <row r="51" spans="2:6" hidden="1" x14ac:dyDescent="0.25">
      <c r="B51" s="122">
        <f t="shared" si="1"/>
        <v>41439</v>
      </c>
      <c r="D51" s="136">
        <v>0.1</v>
      </c>
      <c r="F51" s="130">
        <f t="shared" si="2"/>
        <v>136.986301</v>
      </c>
    </row>
    <row r="52" spans="2:6" hidden="1" x14ac:dyDescent="0.25">
      <c r="B52" s="122">
        <f t="shared" si="1"/>
        <v>41440</v>
      </c>
      <c r="D52" s="136">
        <v>0.1</v>
      </c>
      <c r="F52" s="130">
        <f t="shared" si="2"/>
        <v>136.986301</v>
      </c>
    </row>
    <row r="53" spans="2:6" hidden="1" x14ac:dyDescent="0.25">
      <c r="B53" s="122">
        <f t="shared" si="1"/>
        <v>41441</v>
      </c>
      <c r="D53" s="136">
        <v>0.1</v>
      </c>
      <c r="F53" s="130">
        <f t="shared" si="2"/>
        <v>136.986301</v>
      </c>
    </row>
    <row r="54" spans="2:6" hidden="1" x14ac:dyDescent="0.25">
      <c r="B54" s="122">
        <f t="shared" si="1"/>
        <v>41442</v>
      </c>
      <c r="D54" s="136">
        <v>0.1</v>
      </c>
      <c r="F54" s="130">
        <f t="shared" si="2"/>
        <v>136.986301</v>
      </c>
    </row>
    <row r="55" spans="2:6" hidden="1" x14ac:dyDescent="0.25">
      <c r="B55" s="122">
        <f t="shared" si="1"/>
        <v>41443</v>
      </c>
      <c r="D55" s="136">
        <v>0.1</v>
      </c>
      <c r="F55" s="130">
        <f t="shared" si="2"/>
        <v>136.986301</v>
      </c>
    </row>
    <row r="56" spans="2:6" hidden="1" x14ac:dyDescent="0.25">
      <c r="B56" s="122">
        <f t="shared" si="1"/>
        <v>41444</v>
      </c>
      <c r="D56" s="136">
        <v>0.09</v>
      </c>
      <c r="F56" s="130">
        <f t="shared" si="2"/>
        <v>123.287671</v>
      </c>
    </row>
    <row r="57" spans="2:6" hidden="1" x14ac:dyDescent="0.25">
      <c r="B57" s="122">
        <f t="shared" si="1"/>
        <v>41445</v>
      </c>
      <c r="D57" s="136">
        <v>0.09</v>
      </c>
      <c r="F57" s="130">
        <f t="shared" si="2"/>
        <v>123.287671</v>
      </c>
    </row>
    <row r="58" spans="2:6" hidden="1" x14ac:dyDescent="0.25">
      <c r="B58" s="122">
        <f t="shared" si="1"/>
        <v>41446</v>
      </c>
      <c r="D58" s="136">
        <v>0.09</v>
      </c>
      <c r="F58" s="130">
        <f t="shared" si="2"/>
        <v>123.287671</v>
      </c>
    </row>
    <row r="59" spans="2:6" hidden="1" x14ac:dyDescent="0.25">
      <c r="B59" s="122">
        <f t="shared" si="1"/>
        <v>41447</v>
      </c>
      <c r="D59" s="136">
        <v>0.09</v>
      </c>
      <c r="F59" s="130">
        <f t="shared" si="2"/>
        <v>123.287671</v>
      </c>
    </row>
    <row r="60" spans="2:6" hidden="1" x14ac:dyDescent="0.25">
      <c r="B60" s="122">
        <f t="shared" si="1"/>
        <v>41448</v>
      </c>
      <c r="D60" s="136">
        <v>0.09</v>
      </c>
      <c r="F60" s="130">
        <f t="shared" si="2"/>
        <v>123.287671</v>
      </c>
    </row>
    <row r="61" spans="2:6" hidden="1" x14ac:dyDescent="0.25">
      <c r="B61" s="122">
        <f t="shared" si="1"/>
        <v>41449</v>
      </c>
      <c r="D61" s="136">
        <v>0.09</v>
      </c>
      <c r="F61" s="130">
        <f t="shared" si="2"/>
        <v>123.287671</v>
      </c>
    </row>
    <row r="62" spans="2:6" hidden="1" x14ac:dyDescent="0.25">
      <c r="B62" s="122">
        <f t="shared" si="1"/>
        <v>41450</v>
      </c>
      <c r="D62" s="136">
        <v>0.09</v>
      </c>
      <c r="F62" s="130">
        <f t="shared" si="2"/>
        <v>123.287671</v>
      </c>
    </row>
    <row r="63" spans="2:6" hidden="1" x14ac:dyDescent="0.25">
      <c r="B63" s="122">
        <f t="shared" si="1"/>
        <v>41451</v>
      </c>
      <c r="D63" s="136">
        <v>0.08</v>
      </c>
      <c r="F63" s="130">
        <f t="shared" si="2"/>
        <v>109.58904099999999</v>
      </c>
    </row>
    <row r="64" spans="2:6" hidden="1" x14ac:dyDescent="0.25">
      <c r="B64" s="122">
        <f t="shared" si="1"/>
        <v>41452</v>
      </c>
      <c r="D64" s="136">
        <v>0.08</v>
      </c>
      <c r="F64" s="130">
        <f t="shared" si="2"/>
        <v>109.58904099999999</v>
      </c>
    </row>
    <row r="65" spans="1:11" hidden="1" x14ac:dyDescent="0.25">
      <c r="B65" s="122">
        <f t="shared" si="1"/>
        <v>41453</v>
      </c>
      <c r="D65" s="136">
        <v>0.08</v>
      </c>
      <c r="F65" s="130">
        <f t="shared" si="2"/>
        <v>109.58904099999999</v>
      </c>
    </row>
    <row r="66" spans="1:11" hidden="1" x14ac:dyDescent="0.25">
      <c r="B66" s="122">
        <f t="shared" si="1"/>
        <v>41454</v>
      </c>
      <c r="D66" s="136">
        <v>0.08</v>
      </c>
      <c r="F66" s="130">
        <f t="shared" si="2"/>
        <v>109.58904099999999</v>
      </c>
    </row>
    <row r="67" spans="1:11" hidden="1" x14ac:dyDescent="0.25">
      <c r="B67" s="122">
        <f t="shared" ref="B67:B130" si="3">B66+1</f>
        <v>41455</v>
      </c>
      <c r="D67" s="136">
        <v>0.08</v>
      </c>
      <c r="F67" s="130">
        <f t="shared" si="2"/>
        <v>109.58904099999999</v>
      </c>
      <c r="H67" s="133">
        <f>SUM(F38:F67)</f>
        <v>4136.9863010000008</v>
      </c>
      <c r="I67" s="134">
        <f>AVERAGE(D38:D67)</f>
        <v>0.10066666666666668</v>
      </c>
      <c r="J67" s="135">
        <f>AVERAGE(D7:D67)</f>
        <v>0.14081967213114752</v>
      </c>
      <c r="K67" s="138">
        <f>AVERAGE(D7:D67)</f>
        <v>0.14081967213114752</v>
      </c>
    </row>
    <row r="68" spans="1:11" hidden="1" x14ac:dyDescent="0.25">
      <c r="A68" s="121">
        <v>41456</v>
      </c>
      <c r="B68" s="122">
        <f t="shared" si="3"/>
        <v>41456</v>
      </c>
      <c r="D68" s="136">
        <v>7.0000000000000007E-2</v>
      </c>
      <c r="F68" s="130">
        <f t="shared" si="2"/>
        <v>95.890411</v>
      </c>
    </row>
    <row r="69" spans="1:11" hidden="1" x14ac:dyDescent="0.25">
      <c r="B69" s="122">
        <f t="shared" si="3"/>
        <v>41457</v>
      </c>
      <c r="D69" s="136">
        <v>7.0000000000000007E-2</v>
      </c>
      <c r="F69" s="130">
        <f t="shared" si="2"/>
        <v>95.890411</v>
      </c>
    </row>
    <row r="70" spans="1:11" hidden="1" x14ac:dyDescent="0.25">
      <c r="B70" s="122">
        <f t="shared" si="3"/>
        <v>41458</v>
      </c>
      <c r="D70" s="136">
        <v>0.06</v>
      </c>
      <c r="F70" s="130">
        <f t="shared" si="2"/>
        <v>82.191781000000006</v>
      </c>
    </row>
    <row r="71" spans="1:11" hidden="1" x14ac:dyDescent="0.25">
      <c r="B71" s="122">
        <f t="shared" si="3"/>
        <v>41459</v>
      </c>
      <c r="D71" s="136">
        <v>0.06</v>
      </c>
      <c r="F71" s="130">
        <f t="shared" si="2"/>
        <v>82.191781000000006</v>
      </c>
    </row>
    <row r="72" spans="1:11" hidden="1" x14ac:dyDescent="0.25">
      <c r="B72" s="122">
        <f t="shared" si="3"/>
        <v>41460</v>
      </c>
      <c r="D72" s="136">
        <v>0.06</v>
      </c>
      <c r="F72" s="130">
        <f t="shared" si="2"/>
        <v>82.191781000000006</v>
      </c>
    </row>
    <row r="73" spans="1:11" hidden="1" x14ac:dyDescent="0.25">
      <c r="B73" s="122">
        <f t="shared" si="3"/>
        <v>41461</v>
      </c>
      <c r="D73" s="136">
        <v>0.06</v>
      </c>
      <c r="F73" s="130">
        <f t="shared" si="2"/>
        <v>82.191781000000006</v>
      </c>
    </row>
    <row r="74" spans="1:11" hidden="1" x14ac:dyDescent="0.25">
      <c r="B74" s="122">
        <f t="shared" si="3"/>
        <v>41462</v>
      </c>
      <c r="D74" s="136">
        <v>0.06</v>
      </c>
      <c r="F74" s="130">
        <f t="shared" si="2"/>
        <v>82.191781000000006</v>
      </c>
    </row>
    <row r="75" spans="1:11" hidden="1" x14ac:dyDescent="0.25">
      <c r="B75" s="122">
        <f t="shared" si="3"/>
        <v>41463</v>
      </c>
      <c r="D75" s="136">
        <v>0.06</v>
      </c>
      <c r="F75" s="130">
        <f t="shared" si="2"/>
        <v>82.191781000000006</v>
      </c>
    </row>
    <row r="76" spans="1:11" hidden="1" x14ac:dyDescent="0.25">
      <c r="B76" s="122">
        <f t="shared" si="3"/>
        <v>41464</v>
      </c>
      <c r="D76" s="136">
        <v>0.06</v>
      </c>
      <c r="F76" s="130">
        <f t="shared" si="2"/>
        <v>82.191781000000006</v>
      </c>
    </row>
    <row r="77" spans="1:11" hidden="1" x14ac:dyDescent="0.25">
      <c r="B77" s="122">
        <f t="shared" si="3"/>
        <v>41465</v>
      </c>
      <c r="D77" s="136">
        <v>0.06</v>
      </c>
      <c r="F77" s="130">
        <f t="shared" si="2"/>
        <v>82.191781000000006</v>
      </c>
    </row>
    <row r="78" spans="1:11" hidden="1" x14ac:dyDescent="0.25">
      <c r="B78" s="122">
        <f t="shared" si="3"/>
        <v>41466</v>
      </c>
      <c r="D78" s="136">
        <v>0.06</v>
      </c>
      <c r="F78" s="130">
        <f t="shared" si="2"/>
        <v>82.191781000000006</v>
      </c>
    </row>
    <row r="79" spans="1:11" hidden="1" x14ac:dyDescent="0.25">
      <c r="B79" s="122">
        <f t="shared" si="3"/>
        <v>41467</v>
      </c>
      <c r="D79" s="136">
        <v>0.06</v>
      </c>
      <c r="F79" s="130">
        <f t="shared" si="2"/>
        <v>82.191781000000006</v>
      </c>
    </row>
    <row r="80" spans="1:11" hidden="1" x14ac:dyDescent="0.25">
      <c r="B80" s="122">
        <f t="shared" si="3"/>
        <v>41468</v>
      </c>
      <c r="D80" s="136">
        <v>0.06</v>
      </c>
      <c r="F80" s="130">
        <f t="shared" si="2"/>
        <v>82.191781000000006</v>
      </c>
    </row>
    <row r="81" spans="2:6" hidden="1" x14ac:dyDescent="0.25">
      <c r="B81" s="122">
        <f t="shared" si="3"/>
        <v>41469</v>
      </c>
      <c r="D81" s="136">
        <v>0.06</v>
      </c>
      <c r="F81" s="130">
        <f t="shared" ref="F81:F144" si="4">ROUND(D81/100*$A$3/365,6)</f>
        <v>82.191781000000006</v>
      </c>
    </row>
    <row r="82" spans="2:6" hidden="1" x14ac:dyDescent="0.25">
      <c r="B82" s="122">
        <f t="shared" si="3"/>
        <v>41470</v>
      </c>
      <c r="D82" s="136">
        <v>0.06</v>
      </c>
      <c r="F82" s="130">
        <f t="shared" si="4"/>
        <v>82.191781000000006</v>
      </c>
    </row>
    <row r="83" spans="2:6" hidden="1" x14ac:dyDescent="0.25">
      <c r="B83" s="122">
        <f t="shared" si="3"/>
        <v>41471</v>
      </c>
      <c r="D83" s="136">
        <v>0.06</v>
      </c>
      <c r="F83" s="130">
        <f t="shared" si="4"/>
        <v>82.191781000000006</v>
      </c>
    </row>
    <row r="84" spans="2:6" hidden="1" x14ac:dyDescent="0.25">
      <c r="B84" s="122">
        <f t="shared" si="3"/>
        <v>41472</v>
      </c>
      <c r="D84" s="136">
        <v>0.06</v>
      </c>
      <c r="F84" s="130">
        <f t="shared" si="4"/>
        <v>82.191781000000006</v>
      </c>
    </row>
    <row r="85" spans="2:6" hidden="1" x14ac:dyDescent="0.25">
      <c r="B85" s="122">
        <f t="shared" si="3"/>
        <v>41473</v>
      </c>
      <c r="D85" s="136">
        <v>0.06</v>
      </c>
      <c r="F85" s="130">
        <f t="shared" si="4"/>
        <v>82.191781000000006</v>
      </c>
    </row>
    <row r="86" spans="2:6" hidden="1" x14ac:dyDescent="0.25">
      <c r="B86" s="122">
        <f t="shared" si="3"/>
        <v>41474</v>
      </c>
      <c r="D86" s="136">
        <v>0.06</v>
      </c>
      <c r="F86" s="130">
        <f t="shared" si="4"/>
        <v>82.191781000000006</v>
      </c>
    </row>
    <row r="87" spans="2:6" hidden="1" x14ac:dyDescent="0.25">
      <c r="B87" s="122">
        <f t="shared" si="3"/>
        <v>41475</v>
      </c>
      <c r="D87" s="136">
        <v>0.06</v>
      </c>
      <c r="F87" s="130">
        <f t="shared" si="4"/>
        <v>82.191781000000006</v>
      </c>
    </row>
    <row r="88" spans="2:6" hidden="1" x14ac:dyDescent="0.25">
      <c r="B88" s="122">
        <f t="shared" si="3"/>
        <v>41476</v>
      </c>
      <c r="D88" s="136">
        <v>0.06</v>
      </c>
      <c r="F88" s="130">
        <f t="shared" si="4"/>
        <v>82.191781000000006</v>
      </c>
    </row>
    <row r="89" spans="2:6" hidden="1" x14ac:dyDescent="0.25">
      <c r="B89" s="122">
        <f t="shared" si="3"/>
        <v>41477</v>
      </c>
      <c r="D89" s="136">
        <v>0.06</v>
      </c>
      <c r="F89" s="130">
        <f t="shared" si="4"/>
        <v>82.191781000000006</v>
      </c>
    </row>
    <row r="90" spans="2:6" hidden="1" x14ac:dyDescent="0.25">
      <c r="B90" s="122">
        <f t="shared" si="3"/>
        <v>41478</v>
      </c>
      <c r="D90" s="136">
        <v>0.06</v>
      </c>
      <c r="F90" s="130">
        <f t="shared" si="4"/>
        <v>82.191781000000006</v>
      </c>
    </row>
    <row r="91" spans="2:6" hidden="1" x14ac:dyDescent="0.25">
      <c r="B91" s="122">
        <f t="shared" si="3"/>
        <v>41479</v>
      </c>
      <c r="D91" s="136">
        <v>7.0000000000000007E-2</v>
      </c>
      <c r="F91" s="130">
        <f t="shared" si="4"/>
        <v>95.890411</v>
      </c>
    </row>
    <row r="92" spans="2:6" hidden="1" x14ac:dyDescent="0.25">
      <c r="B92" s="122">
        <f t="shared" si="3"/>
        <v>41480</v>
      </c>
      <c r="D92" s="136">
        <v>7.0000000000000007E-2</v>
      </c>
      <c r="F92" s="130">
        <f t="shared" si="4"/>
        <v>95.890411</v>
      </c>
    </row>
    <row r="93" spans="2:6" hidden="1" x14ac:dyDescent="0.25">
      <c r="B93" s="122">
        <f t="shared" si="3"/>
        <v>41481</v>
      </c>
      <c r="D93" s="136">
        <v>7.0000000000000007E-2</v>
      </c>
      <c r="F93" s="130">
        <f t="shared" si="4"/>
        <v>95.890411</v>
      </c>
    </row>
    <row r="94" spans="2:6" hidden="1" x14ac:dyDescent="0.25">
      <c r="B94" s="122">
        <f t="shared" si="3"/>
        <v>41482</v>
      </c>
      <c r="D94" s="136">
        <v>7.0000000000000007E-2</v>
      </c>
      <c r="F94" s="130">
        <f t="shared" si="4"/>
        <v>95.890411</v>
      </c>
    </row>
    <row r="95" spans="2:6" hidden="1" x14ac:dyDescent="0.25">
      <c r="B95" s="122">
        <f t="shared" si="3"/>
        <v>41483</v>
      </c>
      <c r="D95" s="136">
        <v>7.0000000000000007E-2</v>
      </c>
      <c r="F95" s="130">
        <f t="shared" si="4"/>
        <v>95.890411</v>
      </c>
    </row>
    <row r="96" spans="2:6" hidden="1" x14ac:dyDescent="0.25">
      <c r="B96" s="122">
        <f t="shared" si="3"/>
        <v>41484</v>
      </c>
      <c r="D96" s="136">
        <v>7.0000000000000007E-2</v>
      </c>
      <c r="F96" s="130">
        <f t="shared" si="4"/>
        <v>95.890411</v>
      </c>
    </row>
    <row r="97" spans="1:11" hidden="1" x14ac:dyDescent="0.25">
      <c r="B97" s="122">
        <f t="shared" si="3"/>
        <v>41485</v>
      </c>
      <c r="D97" s="136">
        <v>7.0000000000000007E-2</v>
      </c>
      <c r="F97" s="130">
        <f t="shared" si="4"/>
        <v>95.890411</v>
      </c>
    </row>
    <row r="98" spans="1:11" hidden="1" x14ac:dyDescent="0.25">
      <c r="B98" s="122">
        <f t="shared" si="3"/>
        <v>41486</v>
      </c>
      <c r="D98" s="136">
        <v>0.06</v>
      </c>
      <c r="F98" s="130">
        <f t="shared" si="4"/>
        <v>82.191781000000006</v>
      </c>
      <c r="H98" s="133">
        <f>SUM(F68:F98)</f>
        <v>2671.2328809999995</v>
      </c>
      <c r="I98" s="134">
        <f>AVERAGE(D68:D98)</f>
        <v>6.2903225806451649E-2</v>
      </c>
      <c r="J98" s="135">
        <f>AVERAGE(D7:D98)</f>
        <v>0.11456521739130447</v>
      </c>
      <c r="K98" s="138">
        <f>AVERAGE(D7:D98)</f>
        <v>0.11456521739130447</v>
      </c>
    </row>
    <row r="99" spans="1:11" hidden="1" x14ac:dyDescent="0.25">
      <c r="A99" s="121">
        <v>41487</v>
      </c>
      <c r="B99" s="122">
        <f t="shared" si="3"/>
        <v>41487</v>
      </c>
      <c r="D99" s="136">
        <v>0.06</v>
      </c>
      <c r="F99" s="130">
        <f t="shared" si="4"/>
        <v>82.191781000000006</v>
      </c>
    </row>
    <row r="100" spans="1:11" hidden="1" x14ac:dyDescent="0.25">
      <c r="B100" s="122">
        <f t="shared" si="3"/>
        <v>41488</v>
      </c>
      <c r="D100" s="136">
        <v>0.06</v>
      </c>
      <c r="F100" s="130">
        <f t="shared" si="4"/>
        <v>82.191781000000006</v>
      </c>
    </row>
    <row r="101" spans="1:11" hidden="1" x14ac:dyDescent="0.25">
      <c r="B101" s="122">
        <f t="shared" si="3"/>
        <v>41489</v>
      </c>
      <c r="D101" s="136">
        <v>0.06</v>
      </c>
      <c r="F101" s="130">
        <f t="shared" si="4"/>
        <v>82.191781000000006</v>
      </c>
    </row>
    <row r="102" spans="1:11" hidden="1" x14ac:dyDescent="0.25">
      <c r="B102" s="122">
        <f t="shared" si="3"/>
        <v>41490</v>
      </c>
      <c r="D102" s="136">
        <v>0.06</v>
      </c>
      <c r="F102" s="130">
        <f t="shared" si="4"/>
        <v>82.191781000000006</v>
      </c>
    </row>
    <row r="103" spans="1:11" hidden="1" x14ac:dyDescent="0.25">
      <c r="B103" s="122">
        <f t="shared" si="3"/>
        <v>41491</v>
      </c>
      <c r="D103" s="136">
        <v>0.06</v>
      </c>
      <c r="F103" s="130">
        <f t="shared" si="4"/>
        <v>82.191781000000006</v>
      </c>
    </row>
    <row r="104" spans="1:11" hidden="1" x14ac:dyDescent="0.25">
      <c r="B104" s="122">
        <f t="shared" si="3"/>
        <v>41492</v>
      </c>
      <c r="D104" s="136">
        <v>0.06</v>
      </c>
      <c r="F104" s="130">
        <f t="shared" si="4"/>
        <v>82.191781000000006</v>
      </c>
    </row>
    <row r="105" spans="1:11" hidden="1" x14ac:dyDescent="0.25">
      <c r="B105" s="122">
        <f t="shared" si="3"/>
        <v>41493</v>
      </c>
      <c r="D105" s="136">
        <v>0.06</v>
      </c>
      <c r="F105" s="130">
        <f t="shared" si="4"/>
        <v>82.191781000000006</v>
      </c>
    </row>
    <row r="106" spans="1:11" hidden="1" x14ac:dyDescent="0.25">
      <c r="B106" s="122">
        <f t="shared" si="3"/>
        <v>41494</v>
      </c>
      <c r="D106" s="136">
        <v>0.06</v>
      </c>
      <c r="F106" s="130">
        <f t="shared" si="4"/>
        <v>82.191781000000006</v>
      </c>
    </row>
    <row r="107" spans="1:11" hidden="1" x14ac:dyDescent="0.25">
      <c r="B107" s="122">
        <f t="shared" si="3"/>
        <v>41495</v>
      </c>
      <c r="D107" s="136">
        <v>0.06</v>
      </c>
      <c r="F107" s="130">
        <f t="shared" si="4"/>
        <v>82.191781000000006</v>
      </c>
    </row>
    <row r="108" spans="1:11" hidden="1" x14ac:dyDescent="0.25">
      <c r="B108" s="122">
        <f t="shared" si="3"/>
        <v>41496</v>
      </c>
      <c r="D108" s="136">
        <v>0.06</v>
      </c>
      <c r="F108" s="130">
        <f t="shared" si="4"/>
        <v>82.191781000000006</v>
      </c>
    </row>
    <row r="109" spans="1:11" hidden="1" x14ac:dyDescent="0.25">
      <c r="B109" s="122">
        <f t="shared" si="3"/>
        <v>41497</v>
      </c>
      <c r="D109" s="136">
        <v>0.06</v>
      </c>
      <c r="F109" s="130">
        <f t="shared" si="4"/>
        <v>82.191781000000006</v>
      </c>
    </row>
    <row r="110" spans="1:11" hidden="1" x14ac:dyDescent="0.25">
      <c r="B110" s="122">
        <f t="shared" si="3"/>
        <v>41498</v>
      </c>
      <c r="D110" s="136">
        <v>0.06</v>
      </c>
      <c r="F110" s="130">
        <f t="shared" si="4"/>
        <v>82.191781000000006</v>
      </c>
    </row>
    <row r="111" spans="1:11" hidden="1" x14ac:dyDescent="0.25">
      <c r="B111" s="122">
        <f t="shared" si="3"/>
        <v>41499</v>
      </c>
      <c r="D111" s="136">
        <v>0.06</v>
      </c>
      <c r="F111" s="130">
        <f t="shared" si="4"/>
        <v>82.191781000000006</v>
      </c>
    </row>
    <row r="112" spans="1:11" hidden="1" x14ac:dyDescent="0.25">
      <c r="B112" s="122">
        <f t="shared" si="3"/>
        <v>41500</v>
      </c>
      <c r="D112" s="136">
        <v>7.0000000000000007E-2</v>
      </c>
      <c r="F112" s="130">
        <f t="shared" si="4"/>
        <v>95.890411</v>
      </c>
    </row>
    <row r="113" spans="2:6" hidden="1" x14ac:dyDescent="0.25">
      <c r="B113" s="122">
        <f t="shared" si="3"/>
        <v>41501</v>
      </c>
      <c r="D113" s="136">
        <v>7.0000000000000007E-2</v>
      </c>
      <c r="F113" s="130">
        <f t="shared" si="4"/>
        <v>95.890411</v>
      </c>
    </row>
    <row r="114" spans="2:6" hidden="1" x14ac:dyDescent="0.25">
      <c r="B114" s="122">
        <f t="shared" si="3"/>
        <v>41502</v>
      </c>
      <c r="D114" s="136">
        <v>7.0000000000000007E-2</v>
      </c>
      <c r="F114" s="130">
        <f t="shared" si="4"/>
        <v>95.890411</v>
      </c>
    </row>
    <row r="115" spans="2:6" hidden="1" x14ac:dyDescent="0.25">
      <c r="B115" s="122">
        <f t="shared" si="3"/>
        <v>41503</v>
      </c>
      <c r="D115" s="136">
        <v>7.0000000000000007E-2</v>
      </c>
      <c r="F115" s="130">
        <f t="shared" si="4"/>
        <v>95.890411</v>
      </c>
    </row>
    <row r="116" spans="2:6" hidden="1" x14ac:dyDescent="0.25">
      <c r="B116" s="122">
        <f t="shared" si="3"/>
        <v>41504</v>
      </c>
      <c r="D116" s="136">
        <v>7.0000000000000007E-2</v>
      </c>
      <c r="F116" s="130">
        <f t="shared" si="4"/>
        <v>95.890411</v>
      </c>
    </row>
    <row r="117" spans="2:6" hidden="1" x14ac:dyDescent="0.25">
      <c r="B117" s="122">
        <f t="shared" si="3"/>
        <v>41505</v>
      </c>
      <c r="D117" s="136">
        <v>7.0000000000000007E-2</v>
      </c>
      <c r="F117" s="130">
        <f t="shared" si="4"/>
        <v>95.890411</v>
      </c>
    </row>
    <row r="118" spans="2:6" hidden="1" x14ac:dyDescent="0.25">
      <c r="B118" s="122">
        <f t="shared" si="3"/>
        <v>41506</v>
      </c>
      <c r="D118" s="136">
        <v>7.0000000000000007E-2</v>
      </c>
      <c r="F118" s="130">
        <f t="shared" si="4"/>
        <v>95.890411</v>
      </c>
    </row>
    <row r="119" spans="2:6" hidden="1" x14ac:dyDescent="0.25">
      <c r="B119" s="122">
        <f t="shared" si="3"/>
        <v>41507</v>
      </c>
      <c r="D119" s="136">
        <v>7.0000000000000007E-2</v>
      </c>
      <c r="F119" s="130">
        <f t="shared" si="4"/>
        <v>95.890411</v>
      </c>
    </row>
    <row r="120" spans="2:6" hidden="1" x14ac:dyDescent="0.25">
      <c r="B120" s="122">
        <f t="shared" si="3"/>
        <v>41508</v>
      </c>
      <c r="D120" s="136">
        <v>7.0000000000000007E-2</v>
      </c>
      <c r="F120" s="130">
        <f t="shared" si="4"/>
        <v>95.890411</v>
      </c>
    </row>
    <row r="121" spans="2:6" hidden="1" x14ac:dyDescent="0.25">
      <c r="B121" s="122">
        <f t="shared" si="3"/>
        <v>41509</v>
      </c>
      <c r="D121" s="136">
        <v>7.0000000000000007E-2</v>
      </c>
      <c r="F121" s="130">
        <f t="shared" si="4"/>
        <v>95.890411</v>
      </c>
    </row>
    <row r="122" spans="2:6" hidden="1" x14ac:dyDescent="0.25">
      <c r="B122" s="122">
        <f t="shared" si="3"/>
        <v>41510</v>
      </c>
      <c r="D122" s="136">
        <v>7.0000000000000007E-2</v>
      </c>
      <c r="F122" s="130">
        <f t="shared" si="4"/>
        <v>95.890411</v>
      </c>
    </row>
    <row r="123" spans="2:6" hidden="1" x14ac:dyDescent="0.25">
      <c r="B123" s="122">
        <f t="shared" si="3"/>
        <v>41511</v>
      </c>
      <c r="D123" s="136">
        <v>7.0000000000000007E-2</v>
      </c>
      <c r="F123" s="130">
        <f t="shared" si="4"/>
        <v>95.890411</v>
      </c>
    </row>
    <row r="124" spans="2:6" hidden="1" x14ac:dyDescent="0.25">
      <c r="B124" s="122">
        <f t="shared" si="3"/>
        <v>41512</v>
      </c>
      <c r="D124" s="136">
        <v>7.0000000000000007E-2</v>
      </c>
      <c r="F124" s="130">
        <f t="shared" si="4"/>
        <v>95.890411</v>
      </c>
    </row>
    <row r="125" spans="2:6" hidden="1" x14ac:dyDescent="0.25">
      <c r="B125" s="122">
        <f t="shared" si="3"/>
        <v>41513</v>
      </c>
      <c r="D125" s="136">
        <v>7.0000000000000007E-2</v>
      </c>
      <c r="F125" s="130">
        <f t="shared" si="4"/>
        <v>95.890411</v>
      </c>
    </row>
    <row r="126" spans="2:6" hidden="1" x14ac:dyDescent="0.25">
      <c r="B126" s="122">
        <f t="shared" si="3"/>
        <v>41514</v>
      </c>
      <c r="D126" s="136">
        <v>0.06</v>
      </c>
      <c r="F126" s="130">
        <f t="shared" si="4"/>
        <v>82.191781000000006</v>
      </c>
    </row>
    <row r="127" spans="2:6" hidden="1" x14ac:dyDescent="0.25">
      <c r="B127" s="122">
        <f t="shared" si="3"/>
        <v>41515</v>
      </c>
      <c r="D127" s="136">
        <v>0.06</v>
      </c>
      <c r="F127" s="130">
        <f t="shared" si="4"/>
        <v>82.191781000000006</v>
      </c>
    </row>
    <row r="128" spans="2:6" hidden="1" x14ac:dyDescent="0.25">
      <c r="B128" s="122">
        <f t="shared" si="3"/>
        <v>41516</v>
      </c>
      <c r="D128" s="136">
        <v>0.06</v>
      </c>
      <c r="F128" s="130">
        <f t="shared" si="4"/>
        <v>82.191781000000006</v>
      </c>
    </row>
    <row r="129" spans="1:11" hidden="1" x14ac:dyDescent="0.25">
      <c r="B129" s="122">
        <f t="shared" si="3"/>
        <v>41517</v>
      </c>
      <c r="D129" s="136">
        <v>0.06</v>
      </c>
      <c r="F129" s="130">
        <f t="shared" si="4"/>
        <v>82.191781000000006</v>
      </c>
      <c r="H129" s="133">
        <f>SUM(F99:F129)</f>
        <v>2739.7260310000006</v>
      </c>
      <c r="I129" s="134">
        <f>AVERAGE(D99:D129)</f>
        <v>6.4516129032258104E-2</v>
      </c>
      <c r="J129" s="135">
        <f>AVERAGE(D7:D129)</f>
        <v>0.10195121951219532</v>
      </c>
      <c r="K129" s="138">
        <f>AVERAGE(D7:D129)</f>
        <v>0.10195121951219532</v>
      </c>
    </row>
    <row r="130" spans="1:11" hidden="1" x14ac:dyDescent="0.25">
      <c r="A130" s="121">
        <v>41518</v>
      </c>
      <c r="B130" s="122">
        <f t="shared" si="3"/>
        <v>41518</v>
      </c>
      <c r="D130" s="136">
        <v>0.06</v>
      </c>
      <c r="F130" s="130">
        <f t="shared" si="4"/>
        <v>82.191781000000006</v>
      </c>
    </row>
    <row r="131" spans="1:11" hidden="1" x14ac:dyDescent="0.25">
      <c r="B131" s="122">
        <f t="shared" ref="B131:B190" si="5">B130+1</f>
        <v>41519</v>
      </c>
      <c r="D131" s="136">
        <v>0.06</v>
      </c>
      <c r="F131" s="130">
        <f t="shared" si="4"/>
        <v>82.191781000000006</v>
      </c>
    </row>
    <row r="132" spans="1:11" hidden="1" x14ac:dyDescent="0.25">
      <c r="B132" s="122">
        <f t="shared" si="5"/>
        <v>41520</v>
      </c>
      <c r="D132" s="136">
        <v>0.06</v>
      </c>
      <c r="F132" s="130">
        <f t="shared" si="4"/>
        <v>82.191781000000006</v>
      </c>
    </row>
    <row r="133" spans="1:11" hidden="1" x14ac:dyDescent="0.25">
      <c r="B133" s="122">
        <f t="shared" si="5"/>
        <v>41521</v>
      </c>
      <c r="D133" s="136">
        <v>0.06</v>
      </c>
      <c r="F133" s="130">
        <f t="shared" si="4"/>
        <v>82.191781000000006</v>
      </c>
    </row>
    <row r="134" spans="1:11" hidden="1" x14ac:dyDescent="0.25">
      <c r="B134" s="122">
        <f t="shared" si="5"/>
        <v>41522</v>
      </c>
      <c r="D134" s="136">
        <v>0.06</v>
      </c>
      <c r="F134" s="130">
        <f t="shared" si="4"/>
        <v>82.191781000000006</v>
      </c>
    </row>
    <row r="135" spans="1:11" hidden="1" x14ac:dyDescent="0.25">
      <c r="B135" s="122">
        <f t="shared" si="5"/>
        <v>41523</v>
      </c>
      <c r="D135" s="136">
        <v>0.06</v>
      </c>
      <c r="F135" s="130">
        <f t="shared" si="4"/>
        <v>82.191781000000006</v>
      </c>
    </row>
    <row r="136" spans="1:11" hidden="1" x14ac:dyDescent="0.25">
      <c r="B136" s="122">
        <f t="shared" si="5"/>
        <v>41524</v>
      </c>
      <c r="D136" s="136">
        <v>0.06</v>
      </c>
      <c r="F136" s="130">
        <f t="shared" si="4"/>
        <v>82.191781000000006</v>
      </c>
    </row>
    <row r="137" spans="1:11" hidden="1" x14ac:dyDescent="0.25">
      <c r="B137" s="122">
        <f t="shared" si="5"/>
        <v>41525</v>
      </c>
      <c r="D137" s="136">
        <v>0.06</v>
      </c>
      <c r="F137" s="130">
        <f t="shared" si="4"/>
        <v>82.191781000000006</v>
      </c>
    </row>
    <row r="138" spans="1:11" hidden="1" x14ac:dyDescent="0.25">
      <c r="B138" s="122">
        <f t="shared" si="5"/>
        <v>41526</v>
      </c>
      <c r="D138" s="136">
        <v>0.06</v>
      </c>
      <c r="F138" s="130">
        <f t="shared" si="4"/>
        <v>82.191781000000006</v>
      </c>
    </row>
    <row r="139" spans="1:11" hidden="1" x14ac:dyDescent="0.25">
      <c r="B139" s="122">
        <f t="shared" si="5"/>
        <v>41527</v>
      </c>
      <c r="D139" s="136">
        <v>0.06</v>
      </c>
      <c r="F139" s="130">
        <f t="shared" si="4"/>
        <v>82.191781000000006</v>
      </c>
    </row>
    <row r="140" spans="1:11" hidden="1" x14ac:dyDescent="0.25">
      <c r="B140" s="122">
        <f t="shared" si="5"/>
        <v>41528</v>
      </c>
      <c r="D140" s="136">
        <v>0.06</v>
      </c>
      <c r="F140" s="130">
        <f t="shared" si="4"/>
        <v>82.191781000000006</v>
      </c>
    </row>
    <row r="141" spans="1:11" hidden="1" x14ac:dyDescent="0.25">
      <c r="B141" s="122">
        <f t="shared" si="5"/>
        <v>41529</v>
      </c>
      <c r="D141" s="136">
        <v>0.06</v>
      </c>
      <c r="F141" s="130">
        <f t="shared" si="4"/>
        <v>82.191781000000006</v>
      </c>
    </row>
    <row r="142" spans="1:11" hidden="1" x14ac:dyDescent="0.25">
      <c r="B142" s="122">
        <f t="shared" si="5"/>
        <v>41530</v>
      </c>
      <c r="D142" s="136">
        <v>0.06</v>
      </c>
      <c r="F142" s="130">
        <f t="shared" si="4"/>
        <v>82.191781000000006</v>
      </c>
    </row>
    <row r="143" spans="1:11" hidden="1" x14ac:dyDescent="0.25">
      <c r="B143" s="122">
        <f t="shared" si="5"/>
        <v>41531</v>
      </c>
      <c r="D143" s="136">
        <v>0.06</v>
      </c>
      <c r="F143" s="130">
        <f t="shared" si="4"/>
        <v>82.191781000000006</v>
      </c>
    </row>
    <row r="144" spans="1:11" hidden="1" x14ac:dyDescent="0.25">
      <c r="B144" s="122">
        <f t="shared" si="5"/>
        <v>41532</v>
      </c>
      <c r="D144" s="136">
        <v>0.06</v>
      </c>
      <c r="F144" s="130">
        <f t="shared" si="4"/>
        <v>82.191781000000006</v>
      </c>
    </row>
    <row r="145" spans="1:11" hidden="1" x14ac:dyDescent="0.25">
      <c r="B145" s="122">
        <f t="shared" si="5"/>
        <v>41533</v>
      </c>
      <c r="D145" s="136">
        <v>0.06</v>
      </c>
      <c r="F145" s="130">
        <f t="shared" ref="F145:F190" si="6">ROUND(D145/100*$A$3/365,6)</f>
        <v>82.191781000000006</v>
      </c>
    </row>
    <row r="146" spans="1:11" hidden="1" x14ac:dyDescent="0.25">
      <c r="B146" s="122">
        <f t="shared" si="5"/>
        <v>41534</v>
      </c>
      <c r="D146" s="136">
        <v>0.06</v>
      </c>
      <c r="F146" s="130">
        <f t="shared" si="6"/>
        <v>82.191781000000006</v>
      </c>
    </row>
    <row r="147" spans="1:11" hidden="1" x14ac:dyDescent="0.25">
      <c r="B147" s="122">
        <f t="shared" si="5"/>
        <v>41535</v>
      </c>
      <c r="D147" s="136">
        <v>0.08</v>
      </c>
      <c r="F147" s="130">
        <f t="shared" si="6"/>
        <v>109.58904099999999</v>
      </c>
    </row>
    <row r="148" spans="1:11" hidden="1" x14ac:dyDescent="0.25">
      <c r="B148" s="122">
        <f t="shared" si="5"/>
        <v>41536</v>
      </c>
      <c r="D148" s="136">
        <v>0.08</v>
      </c>
      <c r="F148" s="130">
        <f t="shared" si="6"/>
        <v>109.58904099999999</v>
      </c>
    </row>
    <row r="149" spans="1:11" hidden="1" x14ac:dyDescent="0.25">
      <c r="B149" s="122">
        <f t="shared" si="5"/>
        <v>41537</v>
      </c>
      <c r="D149" s="136">
        <v>0.08</v>
      </c>
      <c r="F149" s="130">
        <f t="shared" si="6"/>
        <v>109.58904099999999</v>
      </c>
    </row>
    <row r="150" spans="1:11" hidden="1" x14ac:dyDescent="0.25">
      <c r="B150" s="122">
        <f t="shared" si="5"/>
        <v>41538</v>
      </c>
      <c r="D150" s="136">
        <v>0.08</v>
      </c>
      <c r="F150" s="130">
        <f t="shared" si="6"/>
        <v>109.58904099999999</v>
      </c>
    </row>
    <row r="151" spans="1:11" hidden="1" x14ac:dyDescent="0.25">
      <c r="B151" s="122">
        <f t="shared" si="5"/>
        <v>41539</v>
      </c>
      <c r="D151" s="136">
        <v>0.08</v>
      </c>
      <c r="F151" s="130">
        <f t="shared" si="6"/>
        <v>109.58904099999999</v>
      </c>
    </row>
    <row r="152" spans="1:11" hidden="1" x14ac:dyDescent="0.25">
      <c r="B152" s="122">
        <f t="shared" si="5"/>
        <v>41540</v>
      </c>
      <c r="D152" s="136">
        <v>0.08</v>
      </c>
      <c r="F152" s="130">
        <f t="shared" si="6"/>
        <v>109.58904099999999</v>
      </c>
    </row>
    <row r="153" spans="1:11" hidden="1" x14ac:dyDescent="0.25">
      <c r="B153" s="122">
        <f t="shared" si="5"/>
        <v>41541</v>
      </c>
      <c r="D153" s="136">
        <v>0.08</v>
      </c>
      <c r="F153" s="130">
        <f t="shared" si="6"/>
        <v>109.58904099999999</v>
      </c>
    </row>
    <row r="154" spans="1:11" hidden="1" x14ac:dyDescent="0.25">
      <c r="B154" s="122">
        <f t="shared" si="5"/>
        <v>41542</v>
      </c>
      <c r="D154" s="136">
        <v>0.09</v>
      </c>
      <c r="F154" s="130">
        <f t="shared" si="6"/>
        <v>123.287671</v>
      </c>
    </row>
    <row r="155" spans="1:11" hidden="1" x14ac:dyDescent="0.25">
      <c r="B155" s="122">
        <f t="shared" si="5"/>
        <v>41543</v>
      </c>
      <c r="D155" s="136">
        <v>0.09</v>
      </c>
      <c r="F155" s="130">
        <f t="shared" si="6"/>
        <v>123.287671</v>
      </c>
    </row>
    <row r="156" spans="1:11" hidden="1" x14ac:dyDescent="0.25">
      <c r="B156" s="122">
        <f t="shared" si="5"/>
        <v>41544</v>
      </c>
      <c r="D156" s="136">
        <v>0.09</v>
      </c>
      <c r="F156" s="130">
        <f t="shared" si="6"/>
        <v>123.287671</v>
      </c>
    </row>
    <row r="157" spans="1:11" hidden="1" x14ac:dyDescent="0.25">
      <c r="B157" s="122">
        <f t="shared" si="5"/>
        <v>41545</v>
      </c>
      <c r="D157" s="136">
        <v>0.09</v>
      </c>
      <c r="F157" s="130">
        <f t="shared" si="6"/>
        <v>123.287671</v>
      </c>
    </row>
    <row r="158" spans="1:11" hidden="1" x14ac:dyDescent="0.25">
      <c r="B158" s="122">
        <f t="shared" si="5"/>
        <v>41546</v>
      </c>
      <c r="D158" s="136">
        <v>0.09</v>
      </c>
      <c r="F158" s="130">
        <f t="shared" si="6"/>
        <v>123.287671</v>
      </c>
    </row>
    <row r="159" spans="1:11" hidden="1" x14ac:dyDescent="0.25">
      <c r="B159" s="122">
        <f t="shared" si="5"/>
        <v>41547</v>
      </c>
      <c r="D159" s="136">
        <v>0.09</v>
      </c>
      <c r="F159" s="130">
        <f t="shared" si="6"/>
        <v>123.287671</v>
      </c>
      <c r="H159" s="133">
        <f>SUM(F130:F159)</f>
        <v>2904.1095900000005</v>
      </c>
      <c r="I159" s="134">
        <f>AVERAGE(D130:D159)</f>
        <v>7.0666666666666697E-2</v>
      </c>
      <c r="J159" s="135">
        <f>AVERAGE(D7:D159)</f>
        <v>9.5816993464052494E-2</v>
      </c>
      <c r="K159" s="138">
        <f>AVERAGE(D7:D159)</f>
        <v>9.5816993464052494E-2</v>
      </c>
    </row>
    <row r="160" spans="1:11" x14ac:dyDescent="0.25">
      <c r="A160" s="121">
        <v>41548</v>
      </c>
      <c r="B160" s="122">
        <f t="shared" si="5"/>
        <v>41548</v>
      </c>
      <c r="D160" s="136">
        <v>0.09</v>
      </c>
      <c r="F160" s="130">
        <f t="shared" si="6"/>
        <v>123.287671</v>
      </c>
    </row>
    <row r="161" spans="2:6" x14ac:dyDescent="0.25">
      <c r="B161" s="122">
        <f t="shared" si="5"/>
        <v>41549</v>
      </c>
      <c r="D161" s="136">
        <v>7.0000000000000007E-2</v>
      </c>
      <c r="F161" s="130">
        <f t="shared" si="6"/>
        <v>95.890411</v>
      </c>
    </row>
    <row r="162" spans="2:6" x14ac:dyDescent="0.25">
      <c r="B162" s="122">
        <f t="shared" si="5"/>
        <v>41550</v>
      </c>
      <c r="D162" s="136">
        <v>7.0000000000000007E-2</v>
      </c>
      <c r="F162" s="130">
        <f t="shared" si="6"/>
        <v>95.890411</v>
      </c>
    </row>
    <row r="163" spans="2:6" x14ac:dyDescent="0.25">
      <c r="B163" s="122">
        <f t="shared" si="5"/>
        <v>41551</v>
      </c>
      <c r="D163" s="136">
        <v>7.0000000000000007E-2</v>
      </c>
      <c r="F163" s="130">
        <f t="shared" si="6"/>
        <v>95.890411</v>
      </c>
    </row>
    <row r="164" spans="2:6" x14ac:dyDescent="0.25">
      <c r="B164" s="122">
        <f t="shared" si="5"/>
        <v>41552</v>
      </c>
      <c r="D164" s="136">
        <v>7.0000000000000007E-2</v>
      </c>
      <c r="F164" s="130">
        <f t="shared" si="6"/>
        <v>95.890411</v>
      </c>
    </row>
    <row r="165" spans="2:6" x14ac:dyDescent="0.25">
      <c r="B165" s="122">
        <f t="shared" si="5"/>
        <v>41553</v>
      </c>
      <c r="D165" s="136">
        <v>7.0000000000000007E-2</v>
      </c>
      <c r="F165" s="130">
        <f t="shared" si="6"/>
        <v>95.890411</v>
      </c>
    </row>
    <row r="166" spans="2:6" x14ac:dyDescent="0.25">
      <c r="B166" s="122">
        <f t="shared" si="5"/>
        <v>41554</v>
      </c>
      <c r="D166" s="136">
        <v>7.0000000000000007E-2</v>
      </c>
      <c r="F166" s="130">
        <f t="shared" si="6"/>
        <v>95.890411</v>
      </c>
    </row>
    <row r="167" spans="2:6" x14ac:dyDescent="0.25">
      <c r="B167" s="122">
        <f t="shared" si="5"/>
        <v>41555</v>
      </c>
      <c r="D167" s="136">
        <v>7.0000000000000007E-2</v>
      </c>
      <c r="F167" s="130">
        <f t="shared" si="6"/>
        <v>95.890411</v>
      </c>
    </row>
    <row r="168" spans="2:6" x14ac:dyDescent="0.25">
      <c r="B168" s="122">
        <f t="shared" si="5"/>
        <v>41556</v>
      </c>
      <c r="D168" s="136">
        <v>0.09</v>
      </c>
      <c r="F168" s="130">
        <f t="shared" si="6"/>
        <v>123.287671</v>
      </c>
    </row>
    <row r="169" spans="2:6" x14ac:dyDescent="0.25">
      <c r="B169" s="122">
        <f t="shared" si="5"/>
        <v>41557</v>
      </c>
      <c r="D169" s="136">
        <v>0.09</v>
      </c>
      <c r="F169" s="130">
        <f t="shared" si="6"/>
        <v>123.287671</v>
      </c>
    </row>
    <row r="170" spans="2:6" x14ac:dyDescent="0.25">
      <c r="B170" s="122">
        <f t="shared" si="5"/>
        <v>41558</v>
      </c>
      <c r="D170" s="136">
        <v>0.09</v>
      </c>
      <c r="F170" s="130">
        <f t="shared" si="6"/>
        <v>123.287671</v>
      </c>
    </row>
    <row r="171" spans="2:6" x14ac:dyDescent="0.25">
      <c r="B171" s="122">
        <f t="shared" si="5"/>
        <v>41559</v>
      </c>
      <c r="D171" s="136">
        <v>0.09</v>
      </c>
      <c r="F171" s="130">
        <f t="shared" si="6"/>
        <v>123.287671</v>
      </c>
    </row>
    <row r="172" spans="2:6" x14ac:dyDescent="0.25">
      <c r="B172" s="122">
        <f t="shared" si="5"/>
        <v>41560</v>
      </c>
      <c r="D172" s="136">
        <v>0.09</v>
      </c>
      <c r="F172" s="130">
        <f t="shared" si="6"/>
        <v>123.287671</v>
      </c>
    </row>
    <row r="173" spans="2:6" x14ac:dyDescent="0.25">
      <c r="B173" s="122">
        <f t="shared" si="5"/>
        <v>41561</v>
      </c>
      <c r="D173" s="136">
        <v>0.09</v>
      </c>
      <c r="F173" s="130">
        <f t="shared" si="6"/>
        <v>123.287671</v>
      </c>
    </row>
    <row r="174" spans="2:6" x14ac:dyDescent="0.25">
      <c r="B174" s="122">
        <f t="shared" si="5"/>
        <v>41562</v>
      </c>
      <c r="D174" s="136">
        <v>0.09</v>
      </c>
      <c r="F174" s="130">
        <f t="shared" si="6"/>
        <v>123.287671</v>
      </c>
    </row>
    <row r="175" spans="2:6" x14ac:dyDescent="0.25">
      <c r="B175" s="122">
        <f t="shared" si="5"/>
        <v>41563</v>
      </c>
      <c r="D175" s="136">
        <v>0.11</v>
      </c>
      <c r="F175" s="130">
        <f t="shared" si="6"/>
        <v>150.684932</v>
      </c>
    </row>
    <row r="176" spans="2:6" x14ac:dyDescent="0.25">
      <c r="B176" s="122">
        <f t="shared" si="5"/>
        <v>41564</v>
      </c>
      <c r="D176" s="136">
        <v>0.11</v>
      </c>
      <c r="F176" s="130">
        <f t="shared" si="6"/>
        <v>150.684932</v>
      </c>
    </row>
    <row r="177" spans="2:11" x14ac:dyDescent="0.25">
      <c r="B177" s="122">
        <f t="shared" si="5"/>
        <v>41565</v>
      </c>
      <c r="D177" s="136">
        <v>0.11</v>
      </c>
      <c r="F177" s="130">
        <f t="shared" si="6"/>
        <v>150.684932</v>
      </c>
    </row>
    <row r="178" spans="2:11" x14ac:dyDescent="0.25">
      <c r="B178" s="122">
        <f t="shared" si="5"/>
        <v>41566</v>
      </c>
      <c r="D178" s="136">
        <v>0.11</v>
      </c>
      <c r="F178" s="130">
        <f t="shared" si="6"/>
        <v>150.684932</v>
      </c>
    </row>
    <row r="179" spans="2:11" x14ac:dyDescent="0.25">
      <c r="B179" s="122">
        <f t="shared" si="5"/>
        <v>41567</v>
      </c>
      <c r="D179" s="136">
        <v>0.11</v>
      </c>
      <c r="F179" s="130">
        <f t="shared" si="6"/>
        <v>150.684932</v>
      </c>
    </row>
    <row r="180" spans="2:11" x14ac:dyDescent="0.25">
      <c r="B180" s="122">
        <f t="shared" si="5"/>
        <v>41568</v>
      </c>
      <c r="D180" s="136">
        <v>0.11</v>
      </c>
      <c r="F180" s="130">
        <f t="shared" si="6"/>
        <v>150.684932</v>
      </c>
    </row>
    <row r="181" spans="2:11" x14ac:dyDescent="0.25">
      <c r="B181" s="122">
        <f t="shared" si="5"/>
        <v>41569</v>
      </c>
      <c r="D181" s="136">
        <v>0.11</v>
      </c>
      <c r="F181" s="130">
        <f t="shared" si="6"/>
        <v>150.684932</v>
      </c>
    </row>
    <row r="182" spans="2:11" x14ac:dyDescent="0.25">
      <c r="B182" s="122">
        <f t="shared" si="5"/>
        <v>41570</v>
      </c>
      <c r="D182" s="136">
        <v>0.12</v>
      </c>
      <c r="F182" s="130">
        <f t="shared" si="6"/>
        <v>164.38356200000001</v>
      </c>
    </row>
    <row r="183" spans="2:11" x14ac:dyDescent="0.25">
      <c r="B183" s="122">
        <f t="shared" si="5"/>
        <v>41571</v>
      </c>
      <c r="D183" s="136">
        <v>0.12</v>
      </c>
      <c r="F183" s="130">
        <f t="shared" si="6"/>
        <v>164.38356200000001</v>
      </c>
    </row>
    <row r="184" spans="2:11" x14ac:dyDescent="0.25">
      <c r="B184" s="122">
        <f t="shared" si="5"/>
        <v>41572</v>
      </c>
      <c r="D184" s="136">
        <v>0.12</v>
      </c>
      <c r="F184" s="130">
        <f t="shared" si="6"/>
        <v>164.38356200000001</v>
      </c>
    </row>
    <row r="185" spans="2:11" x14ac:dyDescent="0.25">
      <c r="B185" s="122">
        <f t="shared" si="5"/>
        <v>41573</v>
      </c>
      <c r="D185" s="136">
        <v>0.12</v>
      </c>
      <c r="F185" s="130">
        <f t="shared" si="6"/>
        <v>164.38356200000001</v>
      </c>
    </row>
    <row r="186" spans="2:11" x14ac:dyDescent="0.25">
      <c r="B186" s="122">
        <f t="shared" si="5"/>
        <v>41574</v>
      </c>
      <c r="D186" s="136">
        <v>0.12</v>
      </c>
      <c r="F186" s="130">
        <f t="shared" si="6"/>
        <v>164.38356200000001</v>
      </c>
    </row>
    <row r="187" spans="2:11" x14ac:dyDescent="0.25">
      <c r="B187" s="122">
        <f t="shared" si="5"/>
        <v>41575</v>
      </c>
      <c r="D187" s="136">
        <v>0.12</v>
      </c>
      <c r="F187" s="130">
        <f t="shared" si="6"/>
        <v>164.38356200000001</v>
      </c>
    </row>
    <row r="188" spans="2:11" x14ac:dyDescent="0.25">
      <c r="B188" s="122">
        <f t="shared" si="5"/>
        <v>41576</v>
      </c>
      <c r="D188" s="136">
        <v>0.12</v>
      </c>
      <c r="F188" s="130">
        <f t="shared" si="6"/>
        <v>164.38356200000001</v>
      </c>
    </row>
    <row r="189" spans="2:11" x14ac:dyDescent="0.25">
      <c r="B189" s="122">
        <f t="shared" si="5"/>
        <v>41577</v>
      </c>
      <c r="D189" s="136">
        <v>0.11</v>
      </c>
      <c r="F189" s="130">
        <f t="shared" si="6"/>
        <v>150.684932</v>
      </c>
    </row>
    <row r="190" spans="2:11" x14ac:dyDescent="0.25">
      <c r="B190" s="122">
        <f t="shared" si="5"/>
        <v>41578</v>
      </c>
      <c r="D190" s="136">
        <v>0.11</v>
      </c>
      <c r="F190" s="130">
        <f t="shared" si="6"/>
        <v>150.684932</v>
      </c>
      <c r="H190" s="133">
        <f>SUM(F160:F190)</f>
        <v>4164.3835670000008</v>
      </c>
      <c r="I190" s="134">
        <f>AVERAGE(D160:D190)</f>
        <v>9.8064516129032303E-2</v>
      </c>
      <c r="J190" s="135">
        <f>AVERAGE(D7:D190)</f>
        <v>9.6195652173913238E-2</v>
      </c>
      <c r="K190" s="138">
        <f>AVERAGE(D7:D190)</f>
        <v>9.6195652173913238E-2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>
    <pageSetUpPr fitToPage="1"/>
  </sheetPr>
  <dimension ref="A1:N190"/>
  <sheetViews>
    <sheetView zoomScaleNormal="100" workbookViewId="0">
      <pane ySplit="5" topLeftCell="A179" activePane="bottomLeft" state="frozen"/>
      <selection sqref="A1:XFD1048576"/>
      <selection pane="bottomLeft" activeCell="A7" sqref="A7:XFD159"/>
    </sheetView>
  </sheetViews>
  <sheetFormatPr defaultRowHeight="15" x14ac:dyDescent="0.25"/>
  <cols>
    <col min="1" max="1" width="8.5703125" style="121" customWidth="1"/>
    <col min="2" max="2" width="9.7109375" style="140" bestFit="1" customWidth="1"/>
    <col min="3" max="3" width="5.7109375" style="120" customWidth="1"/>
    <col min="4" max="4" width="10.7109375" style="120" customWidth="1"/>
    <col min="5" max="5" width="5.7109375" style="120" customWidth="1"/>
    <col min="6" max="6" width="11.42578125" style="120" customWidth="1"/>
    <col min="7" max="7" width="1.7109375" style="120" customWidth="1"/>
    <col min="8" max="8" width="11.7109375" style="137" customWidth="1"/>
    <col min="9" max="9" width="11.7109375" style="131" customWidth="1"/>
    <col min="10" max="10" width="11.7109375" style="132" customWidth="1"/>
    <col min="11" max="11" width="12.42578125" style="139" customWidth="1"/>
    <col min="12" max="16384" width="9.140625" style="120"/>
  </cols>
  <sheetData>
    <row r="1" spans="1:14" ht="12.75" x14ac:dyDescent="0.2">
      <c r="A1" s="502" t="s">
        <v>110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4" ht="12.75" x14ac:dyDescent="0.2">
      <c r="A2" s="503" t="s">
        <v>98</v>
      </c>
      <c r="B2" s="502"/>
      <c r="C2" s="502"/>
      <c r="D2" s="502"/>
      <c r="E2" s="502"/>
      <c r="F2" s="502"/>
      <c r="G2" s="502"/>
      <c r="H2" s="502"/>
      <c r="I2" s="502"/>
      <c r="J2" s="502"/>
    </row>
    <row r="3" spans="1:14" ht="12.75" x14ac:dyDescent="0.2">
      <c r="A3" s="504">
        <v>54000000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4" ht="12.75" x14ac:dyDescent="0.2">
      <c r="A4" s="505">
        <v>237199</v>
      </c>
      <c r="B4" s="505"/>
      <c r="C4" s="505"/>
      <c r="D4" s="505"/>
      <c r="E4" s="505"/>
      <c r="F4" s="505"/>
      <c r="G4" s="505"/>
      <c r="H4" s="505"/>
      <c r="I4" s="505"/>
      <c r="J4" s="505"/>
    </row>
    <row r="5" spans="1:14" ht="39" x14ac:dyDescent="0.25">
      <c r="B5" s="122"/>
      <c r="D5" s="123"/>
      <c r="H5" s="124" t="s">
        <v>99</v>
      </c>
      <c r="I5" s="125" t="s">
        <v>100</v>
      </c>
      <c r="J5" s="126" t="s">
        <v>101</v>
      </c>
      <c r="K5" s="127" t="s">
        <v>372</v>
      </c>
      <c r="L5" s="128"/>
      <c r="M5" s="128"/>
      <c r="N5" s="128"/>
    </row>
    <row r="6" spans="1:14" x14ac:dyDescent="0.25">
      <c r="B6" s="122"/>
      <c r="D6" s="123"/>
      <c r="H6" s="124"/>
      <c r="I6" s="125"/>
      <c r="J6" s="126"/>
      <c r="K6" s="158"/>
      <c r="L6" s="128"/>
      <c r="M6" s="128"/>
      <c r="N6" s="128"/>
    </row>
    <row r="7" spans="1:14" hidden="1" x14ac:dyDescent="0.25">
      <c r="A7" s="121">
        <v>41395</v>
      </c>
      <c r="B7" s="122">
        <v>41395</v>
      </c>
      <c r="D7" s="136">
        <v>0.23</v>
      </c>
      <c r="F7" s="130">
        <f t="shared" ref="F7:F16" si="0">ROUND(D7/100*$A$3/365,6)</f>
        <v>340.27397300000001</v>
      </c>
    </row>
    <row r="8" spans="1:14" hidden="1" x14ac:dyDescent="0.25">
      <c r="B8" s="122">
        <f t="shared" ref="B8:B66" si="1">B7+1</f>
        <v>41396</v>
      </c>
      <c r="D8" s="136">
        <v>0.23</v>
      </c>
      <c r="F8" s="130">
        <f t="shared" si="0"/>
        <v>340.27397300000001</v>
      </c>
    </row>
    <row r="9" spans="1:14" hidden="1" x14ac:dyDescent="0.25">
      <c r="B9" s="122">
        <f t="shared" si="1"/>
        <v>41397</v>
      </c>
      <c r="D9" s="136">
        <v>0.2</v>
      </c>
      <c r="F9" s="130">
        <f t="shared" si="0"/>
        <v>295.89041099999997</v>
      </c>
    </row>
    <row r="10" spans="1:14" hidden="1" x14ac:dyDescent="0.25">
      <c r="B10" s="122">
        <f t="shared" si="1"/>
        <v>41398</v>
      </c>
      <c r="D10" s="136">
        <v>0.2</v>
      </c>
      <c r="F10" s="130">
        <f t="shared" si="0"/>
        <v>295.89041099999997</v>
      </c>
    </row>
    <row r="11" spans="1:14" hidden="1" x14ac:dyDescent="0.25">
      <c r="B11" s="122">
        <f t="shared" si="1"/>
        <v>41399</v>
      </c>
      <c r="D11" s="136">
        <v>0.2</v>
      </c>
      <c r="F11" s="130">
        <f t="shared" si="0"/>
        <v>295.89041099999997</v>
      </c>
    </row>
    <row r="12" spans="1:14" hidden="1" x14ac:dyDescent="0.25">
      <c r="B12" s="122">
        <f t="shared" si="1"/>
        <v>41400</v>
      </c>
      <c r="D12" s="136">
        <v>0.2</v>
      </c>
      <c r="F12" s="130">
        <f t="shared" si="0"/>
        <v>295.89041099999997</v>
      </c>
    </row>
    <row r="13" spans="1:14" hidden="1" x14ac:dyDescent="0.25">
      <c r="B13" s="122">
        <f t="shared" si="1"/>
        <v>41401</v>
      </c>
      <c r="D13" s="136">
        <v>0.2</v>
      </c>
      <c r="F13" s="130">
        <f t="shared" si="0"/>
        <v>295.89041099999997</v>
      </c>
    </row>
    <row r="14" spans="1:14" hidden="1" x14ac:dyDescent="0.25">
      <c r="B14" s="122">
        <f t="shared" si="1"/>
        <v>41402</v>
      </c>
      <c r="D14" s="136">
        <v>0.2</v>
      </c>
      <c r="F14" s="130">
        <f t="shared" si="0"/>
        <v>295.89041099999997</v>
      </c>
    </row>
    <row r="15" spans="1:14" hidden="1" x14ac:dyDescent="0.25">
      <c r="B15" s="122">
        <f t="shared" si="1"/>
        <v>41403</v>
      </c>
      <c r="D15" s="136">
        <v>0.2</v>
      </c>
      <c r="F15" s="130">
        <f t="shared" si="0"/>
        <v>295.89041099999997</v>
      </c>
    </row>
    <row r="16" spans="1:14" hidden="1" x14ac:dyDescent="0.25">
      <c r="B16" s="122">
        <f t="shared" si="1"/>
        <v>41404</v>
      </c>
      <c r="D16" s="136">
        <v>0.18</v>
      </c>
      <c r="F16" s="130">
        <f t="shared" si="0"/>
        <v>266.30137000000002</v>
      </c>
    </row>
    <row r="17" spans="2:6" hidden="1" x14ac:dyDescent="0.25">
      <c r="B17" s="122">
        <f t="shared" si="1"/>
        <v>41405</v>
      </c>
      <c r="D17" s="136">
        <v>0.18</v>
      </c>
      <c r="F17" s="130">
        <f t="shared" ref="F17:F80" si="2">ROUND(D17/100*$A$3/365,6)</f>
        <v>266.30137000000002</v>
      </c>
    </row>
    <row r="18" spans="2:6" hidden="1" x14ac:dyDescent="0.25">
      <c r="B18" s="122">
        <f t="shared" si="1"/>
        <v>41406</v>
      </c>
      <c r="D18" s="136">
        <v>0.18</v>
      </c>
      <c r="F18" s="130">
        <f t="shared" si="2"/>
        <v>266.30137000000002</v>
      </c>
    </row>
    <row r="19" spans="2:6" hidden="1" x14ac:dyDescent="0.25">
      <c r="B19" s="122">
        <f t="shared" si="1"/>
        <v>41407</v>
      </c>
      <c r="D19" s="136">
        <v>0.18</v>
      </c>
      <c r="F19" s="130">
        <f t="shared" si="2"/>
        <v>266.30137000000002</v>
      </c>
    </row>
    <row r="20" spans="2:6" hidden="1" x14ac:dyDescent="0.25">
      <c r="B20" s="122">
        <f t="shared" si="1"/>
        <v>41408</v>
      </c>
      <c r="D20" s="136">
        <v>0.18</v>
      </c>
      <c r="F20" s="130">
        <f t="shared" si="2"/>
        <v>266.30137000000002</v>
      </c>
    </row>
    <row r="21" spans="2:6" hidden="1" x14ac:dyDescent="0.25">
      <c r="B21" s="122">
        <f t="shared" si="1"/>
        <v>41409</v>
      </c>
      <c r="D21" s="136">
        <v>0.18</v>
      </c>
      <c r="F21" s="130">
        <f t="shared" si="2"/>
        <v>266.30137000000002</v>
      </c>
    </row>
    <row r="22" spans="2:6" hidden="1" x14ac:dyDescent="0.25">
      <c r="B22" s="122">
        <f t="shared" si="1"/>
        <v>41410</v>
      </c>
      <c r="D22" s="136">
        <v>0.18</v>
      </c>
      <c r="F22" s="130">
        <f t="shared" si="2"/>
        <v>266.30137000000002</v>
      </c>
    </row>
    <row r="23" spans="2:6" hidden="1" x14ac:dyDescent="0.25">
      <c r="B23" s="122">
        <f t="shared" si="1"/>
        <v>41411</v>
      </c>
      <c r="D23" s="136">
        <v>0.19</v>
      </c>
      <c r="F23" s="130">
        <f t="shared" si="2"/>
        <v>281.09589</v>
      </c>
    </row>
    <row r="24" spans="2:6" hidden="1" x14ac:dyDescent="0.25">
      <c r="B24" s="122">
        <f t="shared" si="1"/>
        <v>41412</v>
      </c>
      <c r="D24" s="136">
        <v>0.19</v>
      </c>
      <c r="F24" s="130">
        <f t="shared" si="2"/>
        <v>281.09589</v>
      </c>
    </row>
    <row r="25" spans="2:6" hidden="1" x14ac:dyDescent="0.25">
      <c r="B25" s="122">
        <f t="shared" si="1"/>
        <v>41413</v>
      </c>
      <c r="D25" s="136">
        <v>0.19</v>
      </c>
      <c r="F25" s="130">
        <f t="shared" si="2"/>
        <v>281.09589</v>
      </c>
    </row>
    <row r="26" spans="2:6" hidden="1" x14ac:dyDescent="0.25">
      <c r="B26" s="122">
        <f t="shared" si="1"/>
        <v>41414</v>
      </c>
      <c r="D26" s="136">
        <v>0.19</v>
      </c>
      <c r="F26" s="130">
        <f t="shared" si="2"/>
        <v>281.09589</v>
      </c>
    </row>
    <row r="27" spans="2:6" hidden="1" x14ac:dyDescent="0.25">
      <c r="B27" s="122">
        <f t="shared" si="1"/>
        <v>41415</v>
      </c>
      <c r="D27" s="136">
        <v>0.19</v>
      </c>
      <c r="F27" s="130">
        <f t="shared" si="2"/>
        <v>281.09589</v>
      </c>
    </row>
    <row r="28" spans="2:6" hidden="1" x14ac:dyDescent="0.25">
      <c r="B28" s="122">
        <f t="shared" si="1"/>
        <v>41416</v>
      </c>
      <c r="D28" s="136">
        <v>0.19</v>
      </c>
      <c r="F28" s="130">
        <f t="shared" si="2"/>
        <v>281.09589</v>
      </c>
    </row>
    <row r="29" spans="2:6" hidden="1" x14ac:dyDescent="0.25">
      <c r="B29" s="122">
        <f t="shared" si="1"/>
        <v>41417</v>
      </c>
      <c r="D29" s="136">
        <v>0.19</v>
      </c>
      <c r="F29" s="130">
        <f t="shared" si="2"/>
        <v>281.09589</v>
      </c>
    </row>
    <row r="30" spans="2:6" hidden="1" x14ac:dyDescent="0.25">
      <c r="B30" s="122">
        <f t="shared" si="1"/>
        <v>41418</v>
      </c>
      <c r="D30" s="136">
        <v>0.16</v>
      </c>
      <c r="F30" s="130">
        <f t="shared" si="2"/>
        <v>236.71232900000001</v>
      </c>
    </row>
    <row r="31" spans="2:6" hidden="1" x14ac:dyDescent="0.25">
      <c r="B31" s="122">
        <f t="shared" si="1"/>
        <v>41419</v>
      </c>
      <c r="D31" s="136">
        <v>0.16</v>
      </c>
      <c r="F31" s="130">
        <f t="shared" si="2"/>
        <v>236.71232900000001</v>
      </c>
    </row>
    <row r="32" spans="2:6" hidden="1" x14ac:dyDescent="0.25">
      <c r="B32" s="122">
        <f t="shared" si="1"/>
        <v>41420</v>
      </c>
      <c r="D32" s="136">
        <v>0.16</v>
      </c>
      <c r="F32" s="130">
        <f t="shared" si="2"/>
        <v>236.71232900000001</v>
      </c>
    </row>
    <row r="33" spans="1:11" hidden="1" x14ac:dyDescent="0.25">
      <c r="B33" s="122">
        <f t="shared" si="1"/>
        <v>41421</v>
      </c>
      <c r="D33" s="136">
        <v>0.16</v>
      </c>
      <c r="F33" s="130">
        <f t="shared" si="2"/>
        <v>236.71232900000001</v>
      </c>
    </row>
    <row r="34" spans="1:11" hidden="1" x14ac:dyDescent="0.25">
      <c r="B34" s="122">
        <f t="shared" si="1"/>
        <v>41422</v>
      </c>
      <c r="D34" s="136">
        <v>0.16</v>
      </c>
      <c r="F34" s="130">
        <f t="shared" si="2"/>
        <v>236.71232900000001</v>
      </c>
    </row>
    <row r="35" spans="1:11" hidden="1" x14ac:dyDescent="0.25">
      <c r="B35" s="122">
        <f t="shared" si="1"/>
        <v>41423</v>
      </c>
      <c r="D35" s="136">
        <v>0.16</v>
      </c>
      <c r="F35" s="130">
        <f t="shared" si="2"/>
        <v>236.71232900000001</v>
      </c>
    </row>
    <row r="36" spans="1:11" hidden="1" x14ac:dyDescent="0.25">
      <c r="B36" s="122">
        <f t="shared" si="1"/>
        <v>41424</v>
      </c>
      <c r="D36" s="136">
        <v>0.16</v>
      </c>
      <c r="F36" s="130">
        <f t="shared" si="2"/>
        <v>236.71232900000001</v>
      </c>
    </row>
    <row r="37" spans="1:11" hidden="1" x14ac:dyDescent="0.25">
      <c r="B37" s="122">
        <f t="shared" si="1"/>
        <v>41425</v>
      </c>
      <c r="D37" s="136">
        <v>0.13</v>
      </c>
      <c r="F37" s="130">
        <f t="shared" si="2"/>
        <v>192.328767</v>
      </c>
      <c r="H37" s="133">
        <f>SUM(F7:F37)</f>
        <v>8432.8767129999978</v>
      </c>
      <c r="I37" s="134">
        <f>AVERAGE(D7:D37)</f>
        <v>0.18387096774193556</v>
      </c>
      <c r="J37" s="135">
        <f>AVERAGE(D7:D37)</f>
        <v>0.18387096774193556</v>
      </c>
      <c r="K37" s="138">
        <f>AVERAGE(D7:D37)</f>
        <v>0.18387096774193556</v>
      </c>
    </row>
    <row r="38" spans="1:11" hidden="1" x14ac:dyDescent="0.25">
      <c r="A38" s="121">
        <v>41426</v>
      </c>
      <c r="B38" s="122">
        <f t="shared" si="1"/>
        <v>41426</v>
      </c>
      <c r="D38" s="136">
        <v>0.13</v>
      </c>
      <c r="F38" s="130">
        <f t="shared" si="2"/>
        <v>192.328767</v>
      </c>
    </row>
    <row r="39" spans="1:11" hidden="1" x14ac:dyDescent="0.25">
      <c r="B39" s="122">
        <f t="shared" si="1"/>
        <v>41427</v>
      </c>
      <c r="D39" s="136">
        <v>0.13</v>
      </c>
      <c r="F39" s="130">
        <f t="shared" si="2"/>
        <v>192.328767</v>
      </c>
      <c r="H39" s="133"/>
    </row>
    <row r="40" spans="1:11" hidden="1" x14ac:dyDescent="0.25">
      <c r="B40" s="122">
        <f t="shared" si="1"/>
        <v>41428</v>
      </c>
      <c r="D40" s="136">
        <v>0.13</v>
      </c>
      <c r="F40" s="130">
        <f t="shared" si="2"/>
        <v>192.328767</v>
      </c>
    </row>
    <row r="41" spans="1:11" hidden="1" x14ac:dyDescent="0.25">
      <c r="B41" s="122">
        <f t="shared" si="1"/>
        <v>41429</v>
      </c>
      <c r="D41" s="136">
        <v>0.13</v>
      </c>
      <c r="F41" s="130">
        <f t="shared" si="2"/>
        <v>192.328767</v>
      </c>
    </row>
    <row r="42" spans="1:11" hidden="1" x14ac:dyDescent="0.25">
      <c r="B42" s="122">
        <f t="shared" si="1"/>
        <v>41430</v>
      </c>
      <c r="D42" s="136">
        <v>0.13</v>
      </c>
      <c r="F42" s="130">
        <f t="shared" si="2"/>
        <v>192.328767</v>
      </c>
    </row>
    <row r="43" spans="1:11" hidden="1" x14ac:dyDescent="0.25">
      <c r="B43" s="122">
        <f t="shared" si="1"/>
        <v>41431</v>
      </c>
      <c r="D43" s="136">
        <v>0.13</v>
      </c>
      <c r="F43" s="130">
        <f t="shared" si="2"/>
        <v>192.328767</v>
      </c>
    </row>
    <row r="44" spans="1:11" hidden="1" x14ac:dyDescent="0.25">
      <c r="B44" s="122">
        <f t="shared" si="1"/>
        <v>41432</v>
      </c>
      <c r="D44" s="136">
        <v>0.1</v>
      </c>
      <c r="F44" s="130">
        <f t="shared" si="2"/>
        <v>147.94520499999999</v>
      </c>
    </row>
    <row r="45" spans="1:11" hidden="1" x14ac:dyDescent="0.25">
      <c r="B45" s="122">
        <f t="shared" si="1"/>
        <v>41433</v>
      </c>
      <c r="D45" s="136">
        <v>0.1</v>
      </c>
      <c r="F45" s="130">
        <f t="shared" si="2"/>
        <v>147.94520499999999</v>
      </c>
    </row>
    <row r="46" spans="1:11" hidden="1" x14ac:dyDescent="0.25">
      <c r="B46" s="122">
        <f t="shared" si="1"/>
        <v>41434</v>
      </c>
      <c r="D46" s="136">
        <v>0.1</v>
      </c>
      <c r="F46" s="130">
        <f t="shared" si="2"/>
        <v>147.94520499999999</v>
      </c>
    </row>
    <row r="47" spans="1:11" hidden="1" x14ac:dyDescent="0.25">
      <c r="B47" s="122">
        <f t="shared" si="1"/>
        <v>41435</v>
      </c>
      <c r="D47" s="136">
        <v>0.1</v>
      </c>
      <c r="F47" s="130">
        <f t="shared" si="2"/>
        <v>147.94520499999999</v>
      </c>
    </row>
    <row r="48" spans="1:11" hidden="1" x14ac:dyDescent="0.25">
      <c r="B48" s="122">
        <f t="shared" si="1"/>
        <v>41436</v>
      </c>
      <c r="D48" s="136">
        <v>0.1</v>
      </c>
      <c r="F48" s="130">
        <f t="shared" si="2"/>
        <v>147.94520499999999</v>
      </c>
    </row>
    <row r="49" spans="2:6" hidden="1" x14ac:dyDescent="0.25">
      <c r="B49" s="122">
        <f t="shared" si="1"/>
        <v>41437</v>
      </c>
      <c r="D49" s="136">
        <v>0.1</v>
      </c>
      <c r="F49" s="130">
        <f t="shared" si="2"/>
        <v>147.94520499999999</v>
      </c>
    </row>
    <row r="50" spans="2:6" hidden="1" x14ac:dyDescent="0.25">
      <c r="B50" s="122">
        <f t="shared" si="1"/>
        <v>41438</v>
      </c>
      <c r="D50" s="136">
        <v>0.1</v>
      </c>
      <c r="F50" s="130">
        <f t="shared" si="2"/>
        <v>147.94520499999999</v>
      </c>
    </row>
    <row r="51" spans="2:6" hidden="1" x14ac:dyDescent="0.25">
      <c r="B51" s="122">
        <f t="shared" si="1"/>
        <v>41439</v>
      </c>
      <c r="D51" s="136">
        <v>0.09</v>
      </c>
      <c r="F51" s="130">
        <f t="shared" si="2"/>
        <v>133.15068500000001</v>
      </c>
    </row>
    <row r="52" spans="2:6" hidden="1" x14ac:dyDescent="0.25">
      <c r="B52" s="122">
        <f t="shared" si="1"/>
        <v>41440</v>
      </c>
      <c r="D52" s="136">
        <v>0.09</v>
      </c>
      <c r="F52" s="130">
        <f t="shared" si="2"/>
        <v>133.15068500000001</v>
      </c>
    </row>
    <row r="53" spans="2:6" hidden="1" x14ac:dyDescent="0.25">
      <c r="B53" s="122">
        <f t="shared" si="1"/>
        <v>41441</v>
      </c>
      <c r="D53" s="136">
        <v>0.09</v>
      </c>
      <c r="F53" s="130">
        <f t="shared" si="2"/>
        <v>133.15068500000001</v>
      </c>
    </row>
    <row r="54" spans="2:6" hidden="1" x14ac:dyDescent="0.25">
      <c r="B54" s="122">
        <f t="shared" si="1"/>
        <v>41442</v>
      </c>
      <c r="D54" s="136">
        <v>0.09</v>
      </c>
      <c r="F54" s="130">
        <f t="shared" si="2"/>
        <v>133.15068500000001</v>
      </c>
    </row>
    <row r="55" spans="2:6" hidden="1" x14ac:dyDescent="0.25">
      <c r="B55" s="122">
        <f t="shared" si="1"/>
        <v>41443</v>
      </c>
      <c r="D55" s="136">
        <v>0.09</v>
      </c>
      <c r="F55" s="130">
        <f t="shared" si="2"/>
        <v>133.15068500000001</v>
      </c>
    </row>
    <row r="56" spans="2:6" hidden="1" x14ac:dyDescent="0.25">
      <c r="B56" s="122">
        <f t="shared" si="1"/>
        <v>41444</v>
      </c>
      <c r="D56" s="136">
        <v>0.09</v>
      </c>
      <c r="F56" s="130">
        <f t="shared" si="2"/>
        <v>133.15068500000001</v>
      </c>
    </row>
    <row r="57" spans="2:6" hidden="1" x14ac:dyDescent="0.25">
      <c r="B57" s="122">
        <f t="shared" si="1"/>
        <v>41445</v>
      </c>
      <c r="D57" s="136">
        <v>0.09</v>
      </c>
      <c r="F57" s="130">
        <f t="shared" si="2"/>
        <v>133.15068500000001</v>
      </c>
    </row>
    <row r="58" spans="2:6" hidden="1" x14ac:dyDescent="0.25">
      <c r="B58" s="122">
        <f t="shared" si="1"/>
        <v>41446</v>
      </c>
      <c r="D58" s="136">
        <v>0.09</v>
      </c>
      <c r="F58" s="130">
        <f t="shared" si="2"/>
        <v>133.15068500000001</v>
      </c>
    </row>
    <row r="59" spans="2:6" hidden="1" x14ac:dyDescent="0.25">
      <c r="B59" s="122">
        <f t="shared" si="1"/>
        <v>41447</v>
      </c>
      <c r="D59" s="136">
        <v>0.09</v>
      </c>
      <c r="F59" s="130">
        <f t="shared" si="2"/>
        <v>133.15068500000001</v>
      </c>
    </row>
    <row r="60" spans="2:6" hidden="1" x14ac:dyDescent="0.25">
      <c r="B60" s="122">
        <f t="shared" si="1"/>
        <v>41448</v>
      </c>
      <c r="D60" s="136">
        <v>0.09</v>
      </c>
      <c r="F60" s="130">
        <f t="shared" si="2"/>
        <v>133.15068500000001</v>
      </c>
    </row>
    <row r="61" spans="2:6" hidden="1" x14ac:dyDescent="0.25">
      <c r="B61" s="122">
        <f t="shared" si="1"/>
        <v>41449</v>
      </c>
      <c r="D61" s="136">
        <v>0.09</v>
      </c>
      <c r="F61" s="130">
        <f t="shared" si="2"/>
        <v>133.15068500000001</v>
      </c>
    </row>
    <row r="62" spans="2:6" hidden="1" x14ac:dyDescent="0.25">
      <c r="B62" s="122">
        <f t="shared" si="1"/>
        <v>41450</v>
      </c>
      <c r="D62" s="136">
        <v>0.09</v>
      </c>
      <c r="F62" s="130">
        <f t="shared" si="2"/>
        <v>133.15068500000001</v>
      </c>
    </row>
    <row r="63" spans="2:6" hidden="1" x14ac:dyDescent="0.25">
      <c r="B63" s="122">
        <f t="shared" si="1"/>
        <v>41451</v>
      </c>
      <c r="D63" s="136">
        <v>0.09</v>
      </c>
      <c r="F63" s="130">
        <f t="shared" si="2"/>
        <v>133.15068500000001</v>
      </c>
    </row>
    <row r="64" spans="2:6" hidden="1" x14ac:dyDescent="0.25">
      <c r="B64" s="122">
        <f t="shared" si="1"/>
        <v>41452</v>
      </c>
      <c r="D64" s="136">
        <v>0.09</v>
      </c>
      <c r="F64" s="130">
        <f t="shared" si="2"/>
        <v>133.15068500000001</v>
      </c>
    </row>
    <row r="65" spans="1:11" hidden="1" x14ac:dyDescent="0.25">
      <c r="B65" s="122">
        <f t="shared" si="1"/>
        <v>41453</v>
      </c>
      <c r="D65" s="136">
        <v>7.0000000000000007E-2</v>
      </c>
      <c r="F65" s="130">
        <f t="shared" si="2"/>
        <v>103.561644</v>
      </c>
    </row>
    <row r="66" spans="1:11" hidden="1" x14ac:dyDescent="0.25">
      <c r="B66" s="122">
        <f t="shared" si="1"/>
        <v>41454</v>
      </c>
      <c r="D66" s="136">
        <v>7.0000000000000007E-2</v>
      </c>
      <c r="F66" s="130">
        <f t="shared" si="2"/>
        <v>103.561644</v>
      </c>
    </row>
    <row r="67" spans="1:11" hidden="1" x14ac:dyDescent="0.25">
      <c r="B67" s="122">
        <f t="shared" ref="B67:B130" si="3">B66+1</f>
        <v>41455</v>
      </c>
      <c r="D67" s="136">
        <v>7.0000000000000007E-2</v>
      </c>
      <c r="F67" s="130">
        <f t="shared" si="2"/>
        <v>103.561644</v>
      </c>
      <c r="H67" s="133">
        <f>SUM(F38:F68)</f>
        <v>4467.945203000002</v>
      </c>
      <c r="I67" s="159">
        <f>AVERAGE(D38:D67)</f>
        <v>9.8333333333333314E-2</v>
      </c>
      <c r="J67" s="159">
        <f>AVERAGE(D7:D67)</f>
        <v>0.14180327868852458</v>
      </c>
      <c r="K67" s="159">
        <f>AVERAGE(D7:D67)</f>
        <v>0.14180327868852458</v>
      </c>
    </row>
    <row r="68" spans="1:11" hidden="1" x14ac:dyDescent="0.25">
      <c r="A68" s="121">
        <v>41456</v>
      </c>
      <c r="B68" s="122">
        <f t="shared" si="3"/>
        <v>41456</v>
      </c>
      <c r="D68" s="136">
        <v>7.0000000000000007E-2</v>
      </c>
      <c r="F68" s="130">
        <f t="shared" si="2"/>
        <v>103.561644</v>
      </c>
    </row>
    <row r="69" spans="1:11" hidden="1" x14ac:dyDescent="0.25">
      <c r="B69" s="122">
        <f t="shared" si="3"/>
        <v>41457</v>
      </c>
      <c r="D69" s="136">
        <v>7.0000000000000007E-2</v>
      </c>
      <c r="F69" s="130">
        <f t="shared" si="2"/>
        <v>103.561644</v>
      </c>
    </row>
    <row r="70" spans="1:11" hidden="1" x14ac:dyDescent="0.25">
      <c r="B70" s="122">
        <f t="shared" si="3"/>
        <v>41458</v>
      </c>
      <c r="D70" s="136">
        <v>7.0000000000000007E-2</v>
      </c>
      <c r="F70" s="130">
        <f t="shared" si="2"/>
        <v>103.561644</v>
      </c>
    </row>
    <row r="71" spans="1:11" hidden="1" x14ac:dyDescent="0.25">
      <c r="B71" s="122">
        <f t="shared" si="3"/>
        <v>41459</v>
      </c>
      <c r="D71" s="136">
        <v>7.0000000000000007E-2</v>
      </c>
      <c r="F71" s="130">
        <f t="shared" si="2"/>
        <v>103.561644</v>
      </c>
    </row>
    <row r="72" spans="1:11" hidden="1" x14ac:dyDescent="0.25">
      <c r="B72" s="122">
        <f t="shared" si="3"/>
        <v>41460</v>
      </c>
      <c r="D72" s="136">
        <v>0.06</v>
      </c>
      <c r="F72" s="130">
        <f t="shared" si="2"/>
        <v>88.767122999999998</v>
      </c>
    </row>
    <row r="73" spans="1:11" hidden="1" x14ac:dyDescent="0.25">
      <c r="B73" s="122">
        <f t="shared" si="3"/>
        <v>41461</v>
      </c>
      <c r="D73" s="136">
        <v>0.06</v>
      </c>
      <c r="F73" s="130">
        <f t="shared" si="2"/>
        <v>88.767122999999998</v>
      </c>
    </row>
    <row r="74" spans="1:11" hidden="1" x14ac:dyDescent="0.25">
      <c r="B74" s="122">
        <f t="shared" si="3"/>
        <v>41462</v>
      </c>
      <c r="D74" s="136">
        <v>0.06</v>
      </c>
      <c r="F74" s="130">
        <f t="shared" si="2"/>
        <v>88.767122999999998</v>
      </c>
    </row>
    <row r="75" spans="1:11" hidden="1" x14ac:dyDescent="0.25">
      <c r="B75" s="122">
        <f t="shared" si="3"/>
        <v>41463</v>
      </c>
      <c r="D75" s="136">
        <v>0.06</v>
      </c>
      <c r="F75" s="130">
        <f t="shared" si="2"/>
        <v>88.767122999999998</v>
      </c>
    </row>
    <row r="76" spans="1:11" hidden="1" x14ac:dyDescent="0.25">
      <c r="B76" s="122">
        <f t="shared" si="3"/>
        <v>41464</v>
      </c>
      <c r="D76" s="136">
        <v>0.06</v>
      </c>
      <c r="F76" s="130">
        <f t="shared" si="2"/>
        <v>88.767122999999998</v>
      </c>
    </row>
    <row r="77" spans="1:11" hidden="1" x14ac:dyDescent="0.25">
      <c r="B77" s="122">
        <f t="shared" si="3"/>
        <v>41465</v>
      </c>
      <c r="D77" s="136">
        <v>0.06</v>
      </c>
      <c r="F77" s="130">
        <f t="shared" si="2"/>
        <v>88.767122999999998</v>
      </c>
    </row>
    <row r="78" spans="1:11" hidden="1" x14ac:dyDescent="0.25">
      <c r="B78" s="122">
        <f t="shared" si="3"/>
        <v>41466</v>
      </c>
      <c r="D78" s="136">
        <v>0.06</v>
      </c>
      <c r="F78" s="130">
        <f t="shared" si="2"/>
        <v>88.767122999999998</v>
      </c>
    </row>
    <row r="79" spans="1:11" hidden="1" x14ac:dyDescent="0.25">
      <c r="B79" s="122">
        <f t="shared" si="3"/>
        <v>41467</v>
      </c>
      <c r="D79" s="136">
        <v>7.0000000000000007E-2</v>
      </c>
      <c r="F79" s="130">
        <f t="shared" si="2"/>
        <v>103.561644</v>
      </c>
    </row>
    <row r="80" spans="1:11" hidden="1" x14ac:dyDescent="0.25">
      <c r="B80" s="122">
        <f t="shared" si="3"/>
        <v>41468</v>
      </c>
      <c r="D80" s="136">
        <v>7.0000000000000007E-2</v>
      </c>
      <c r="F80" s="130">
        <f t="shared" si="2"/>
        <v>103.561644</v>
      </c>
    </row>
    <row r="81" spans="2:6" hidden="1" x14ac:dyDescent="0.25">
      <c r="B81" s="122">
        <f t="shared" si="3"/>
        <v>41469</v>
      </c>
      <c r="D81" s="136">
        <v>7.0000000000000007E-2</v>
      </c>
      <c r="F81" s="130">
        <f t="shared" ref="F81:F144" si="4">ROUND(D81/100*$A$3/365,6)</f>
        <v>103.561644</v>
      </c>
    </row>
    <row r="82" spans="2:6" hidden="1" x14ac:dyDescent="0.25">
      <c r="B82" s="122">
        <f t="shared" si="3"/>
        <v>41470</v>
      </c>
      <c r="D82" s="136">
        <v>7.0000000000000007E-2</v>
      </c>
      <c r="F82" s="130">
        <f t="shared" si="4"/>
        <v>103.561644</v>
      </c>
    </row>
    <row r="83" spans="2:6" hidden="1" x14ac:dyDescent="0.25">
      <c r="B83" s="122">
        <f t="shared" si="3"/>
        <v>41471</v>
      </c>
      <c r="D83" s="136">
        <v>7.0000000000000007E-2</v>
      </c>
      <c r="F83" s="130">
        <f t="shared" si="4"/>
        <v>103.561644</v>
      </c>
    </row>
    <row r="84" spans="2:6" hidden="1" x14ac:dyDescent="0.25">
      <c r="B84" s="122">
        <f t="shared" si="3"/>
        <v>41472</v>
      </c>
      <c r="D84" s="136">
        <v>7.0000000000000007E-2</v>
      </c>
      <c r="F84" s="130">
        <f t="shared" si="4"/>
        <v>103.561644</v>
      </c>
    </row>
    <row r="85" spans="2:6" hidden="1" x14ac:dyDescent="0.25">
      <c r="B85" s="122">
        <f t="shared" si="3"/>
        <v>41473</v>
      </c>
      <c r="D85" s="136">
        <v>7.0000000000000007E-2</v>
      </c>
      <c r="F85" s="130">
        <f t="shared" si="4"/>
        <v>103.561644</v>
      </c>
    </row>
    <row r="86" spans="2:6" hidden="1" x14ac:dyDescent="0.25">
      <c r="B86" s="122">
        <f t="shared" si="3"/>
        <v>41474</v>
      </c>
      <c r="D86" s="136">
        <v>7.0000000000000007E-2</v>
      </c>
      <c r="F86" s="130">
        <f t="shared" si="4"/>
        <v>103.561644</v>
      </c>
    </row>
    <row r="87" spans="2:6" hidden="1" x14ac:dyDescent="0.25">
      <c r="B87" s="122">
        <f t="shared" si="3"/>
        <v>41475</v>
      </c>
      <c r="D87" s="136">
        <v>7.0000000000000007E-2</v>
      </c>
      <c r="F87" s="130">
        <f t="shared" si="4"/>
        <v>103.561644</v>
      </c>
    </row>
    <row r="88" spans="2:6" hidden="1" x14ac:dyDescent="0.25">
      <c r="B88" s="122">
        <f t="shared" si="3"/>
        <v>41476</v>
      </c>
      <c r="D88" s="136">
        <v>7.0000000000000007E-2</v>
      </c>
      <c r="F88" s="130">
        <f t="shared" si="4"/>
        <v>103.561644</v>
      </c>
    </row>
    <row r="89" spans="2:6" hidden="1" x14ac:dyDescent="0.25">
      <c r="B89" s="122">
        <f t="shared" si="3"/>
        <v>41477</v>
      </c>
      <c r="D89" s="136">
        <v>7.0000000000000007E-2</v>
      </c>
      <c r="F89" s="130">
        <f t="shared" si="4"/>
        <v>103.561644</v>
      </c>
    </row>
    <row r="90" spans="2:6" hidden="1" x14ac:dyDescent="0.25">
      <c r="B90" s="122">
        <f t="shared" si="3"/>
        <v>41478</v>
      </c>
      <c r="D90" s="136">
        <v>7.0000000000000007E-2</v>
      </c>
      <c r="F90" s="130">
        <f t="shared" si="4"/>
        <v>103.561644</v>
      </c>
    </row>
    <row r="91" spans="2:6" hidden="1" x14ac:dyDescent="0.25">
      <c r="B91" s="122">
        <f t="shared" si="3"/>
        <v>41479</v>
      </c>
      <c r="D91" s="136">
        <v>7.0000000000000007E-2</v>
      </c>
      <c r="F91" s="130">
        <f t="shared" si="4"/>
        <v>103.561644</v>
      </c>
    </row>
    <row r="92" spans="2:6" hidden="1" x14ac:dyDescent="0.25">
      <c r="B92" s="122">
        <f t="shared" si="3"/>
        <v>41480</v>
      </c>
      <c r="D92" s="136">
        <v>7.0000000000000007E-2</v>
      </c>
      <c r="F92" s="130">
        <f t="shared" si="4"/>
        <v>103.561644</v>
      </c>
    </row>
    <row r="93" spans="2:6" hidden="1" x14ac:dyDescent="0.25">
      <c r="B93" s="122">
        <f t="shared" si="3"/>
        <v>41481</v>
      </c>
      <c r="D93" s="136">
        <v>7.0000000000000007E-2</v>
      </c>
      <c r="F93" s="130">
        <f t="shared" si="4"/>
        <v>103.561644</v>
      </c>
    </row>
    <row r="94" spans="2:6" hidden="1" x14ac:dyDescent="0.25">
      <c r="B94" s="122">
        <f t="shared" si="3"/>
        <v>41482</v>
      </c>
      <c r="D94" s="136">
        <v>7.0000000000000007E-2</v>
      </c>
      <c r="F94" s="130">
        <f t="shared" si="4"/>
        <v>103.561644</v>
      </c>
    </row>
    <row r="95" spans="2:6" hidden="1" x14ac:dyDescent="0.25">
      <c r="B95" s="122">
        <f t="shared" si="3"/>
        <v>41483</v>
      </c>
      <c r="D95" s="136">
        <v>7.0000000000000007E-2</v>
      </c>
      <c r="F95" s="130">
        <f t="shared" si="4"/>
        <v>103.561644</v>
      </c>
    </row>
    <row r="96" spans="2:6" hidden="1" x14ac:dyDescent="0.25">
      <c r="B96" s="122">
        <f t="shared" si="3"/>
        <v>41484</v>
      </c>
      <c r="D96" s="136">
        <v>7.0000000000000007E-2</v>
      </c>
      <c r="F96" s="130">
        <f t="shared" si="4"/>
        <v>103.561644</v>
      </c>
    </row>
    <row r="97" spans="1:11" hidden="1" x14ac:dyDescent="0.25">
      <c r="B97" s="122">
        <f t="shared" si="3"/>
        <v>41485</v>
      </c>
      <c r="D97" s="136">
        <v>7.0000000000000007E-2</v>
      </c>
      <c r="F97" s="130">
        <f t="shared" si="4"/>
        <v>103.561644</v>
      </c>
    </row>
    <row r="98" spans="1:11" hidden="1" x14ac:dyDescent="0.25">
      <c r="B98" s="122">
        <f t="shared" si="3"/>
        <v>41486</v>
      </c>
      <c r="D98" s="136">
        <v>7.0000000000000007E-2</v>
      </c>
      <c r="F98" s="130">
        <f t="shared" si="4"/>
        <v>103.561644</v>
      </c>
      <c r="H98" s="133">
        <f>SUM(F68:F98)</f>
        <v>3106.8493169999979</v>
      </c>
      <c r="I98" s="159">
        <f>AVERAGE(D68:D98)</f>
        <v>6.7741935483871002E-2</v>
      </c>
      <c r="J98" s="159">
        <f>AVERAGE(D7:D98)</f>
        <v>0.11684782608695662</v>
      </c>
      <c r="K98" s="159">
        <f>AVERAGE(D7:D98)</f>
        <v>0.11684782608695662</v>
      </c>
    </row>
    <row r="99" spans="1:11" hidden="1" x14ac:dyDescent="0.25">
      <c r="A99" s="121">
        <v>41487</v>
      </c>
      <c r="B99" s="122">
        <f t="shared" si="3"/>
        <v>41487</v>
      </c>
      <c r="D99" s="136">
        <v>7.0000000000000007E-2</v>
      </c>
      <c r="F99" s="130">
        <f t="shared" si="4"/>
        <v>103.561644</v>
      </c>
    </row>
    <row r="100" spans="1:11" hidden="1" x14ac:dyDescent="0.25">
      <c r="B100" s="122">
        <f t="shared" si="3"/>
        <v>41488</v>
      </c>
      <c r="D100" s="136">
        <v>0.06</v>
      </c>
      <c r="F100" s="130">
        <f t="shared" si="4"/>
        <v>88.767122999999998</v>
      </c>
    </row>
    <row r="101" spans="1:11" hidden="1" x14ac:dyDescent="0.25">
      <c r="B101" s="122">
        <f t="shared" si="3"/>
        <v>41489</v>
      </c>
      <c r="D101" s="136">
        <v>0.06</v>
      </c>
      <c r="F101" s="130">
        <f t="shared" si="4"/>
        <v>88.767122999999998</v>
      </c>
    </row>
    <row r="102" spans="1:11" hidden="1" x14ac:dyDescent="0.25">
      <c r="B102" s="122">
        <f t="shared" si="3"/>
        <v>41490</v>
      </c>
      <c r="D102" s="136">
        <v>0.06</v>
      </c>
      <c r="F102" s="130">
        <f t="shared" si="4"/>
        <v>88.767122999999998</v>
      </c>
    </row>
    <row r="103" spans="1:11" hidden="1" x14ac:dyDescent="0.25">
      <c r="B103" s="122">
        <f t="shared" si="3"/>
        <v>41491</v>
      </c>
      <c r="D103" s="136">
        <v>0.06</v>
      </c>
      <c r="F103" s="130">
        <f t="shared" si="4"/>
        <v>88.767122999999998</v>
      </c>
    </row>
    <row r="104" spans="1:11" hidden="1" x14ac:dyDescent="0.25">
      <c r="B104" s="122">
        <f t="shared" si="3"/>
        <v>41492</v>
      </c>
      <c r="D104" s="136">
        <v>0.06</v>
      </c>
      <c r="F104" s="130">
        <f t="shared" si="4"/>
        <v>88.767122999999998</v>
      </c>
    </row>
    <row r="105" spans="1:11" hidden="1" x14ac:dyDescent="0.25">
      <c r="B105" s="122">
        <f t="shared" si="3"/>
        <v>41493</v>
      </c>
      <c r="D105" s="136">
        <v>0.06</v>
      </c>
      <c r="F105" s="130">
        <f t="shared" si="4"/>
        <v>88.767122999999998</v>
      </c>
    </row>
    <row r="106" spans="1:11" hidden="1" x14ac:dyDescent="0.25">
      <c r="B106" s="122">
        <f t="shared" si="3"/>
        <v>41494</v>
      </c>
      <c r="D106" s="136">
        <v>0.06</v>
      </c>
      <c r="F106" s="130">
        <f t="shared" si="4"/>
        <v>88.767122999999998</v>
      </c>
    </row>
    <row r="107" spans="1:11" hidden="1" x14ac:dyDescent="0.25">
      <c r="B107" s="122">
        <f t="shared" si="3"/>
        <v>41495</v>
      </c>
      <c r="D107" s="136">
        <v>7.0000000000000007E-2</v>
      </c>
      <c r="F107" s="130">
        <f t="shared" si="4"/>
        <v>103.561644</v>
      </c>
    </row>
    <row r="108" spans="1:11" hidden="1" x14ac:dyDescent="0.25">
      <c r="B108" s="122">
        <f t="shared" si="3"/>
        <v>41496</v>
      </c>
      <c r="D108" s="136">
        <v>7.0000000000000007E-2</v>
      </c>
      <c r="F108" s="130">
        <f t="shared" si="4"/>
        <v>103.561644</v>
      </c>
    </row>
    <row r="109" spans="1:11" hidden="1" x14ac:dyDescent="0.25">
      <c r="B109" s="122">
        <f t="shared" si="3"/>
        <v>41497</v>
      </c>
      <c r="D109" s="136">
        <v>7.0000000000000007E-2</v>
      </c>
      <c r="F109" s="130">
        <f t="shared" si="4"/>
        <v>103.561644</v>
      </c>
    </row>
    <row r="110" spans="1:11" hidden="1" x14ac:dyDescent="0.25">
      <c r="B110" s="122">
        <f t="shared" si="3"/>
        <v>41498</v>
      </c>
      <c r="D110" s="136">
        <v>7.0000000000000007E-2</v>
      </c>
      <c r="F110" s="130">
        <f t="shared" si="4"/>
        <v>103.561644</v>
      </c>
    </row>
    <row r="111" spans="1:11" hidden="1" x14ac:dyDescent="0.25">
      <c r="B111" s="122">
        <f t="shared" si="3"/>
        <v>41499</v>
      </c>
      <c r="D111" s="136">
        <v>7.0000000000000007E-2</v>
      </c>
      <c r="F111" s="130">
        <f t="shared" si="4"/>
        <v>103.561644</v>
      </c>
    </row>
    <row r="112" spans="1:11" hidden="1" x14ac:dyDescent="0.25">
      <c r="B112" s="122">
        <f t="shared" si="3"/>
        <v>41500</v>
      </c>
      <c r="D112" s="136">
        <v>7.0000000000000007E-2</v>
      </c>
      <c r="F112" s="130">
        <f t="shared" si="4"/>
        <v>103.561644</v>
      </c>
    </row>
    <row r="113" spans="2:6" hidden="1" x14ac:dyDescent="0.25">
      <c r="B113" s="122">
        <f t="shared" si="3"/>
        <v>41501</v>
      </c>
      <c r="D113" s="136">
        <v>7.0000000000000007E-2</v>
      </c>
      <c r="F113" s="130">
        <f t="shared" si="4"/>
        <v>103.561644</v>
      </c>
    </row>
    <row r="114" spans="2:6" hidden="1" x14ac:dyDescent="0.25">
      <c r="B114" s="122">
        <f t="shared" si="3"/>
        <v>41502</v>
      </c>
      <c r="D114" s="136">
        <v>0.08</v>
      </c>
      <c r="F114" s="130">
        <f t="shared" si="4"/>
        <v>118.35616400000001</v>
      </c>
    </row>
    <row r="115" spans="2:6" hidden="1" x14ac:dyDescent="0.25">
      <c r="B115" s="122">
        <f t="shared" si="3"/>
        <v>41503</v>
      </c>
      <c r="D115" s="136">
        <v>0.08</v>
      </c>
      <c r="F115" s="130">
        <f t="shared" si="4"/>
        <v>118.35616400000001</v>
      </c>
    </row>
    <row r="116" spans="2:6" hidden="1" x14ac:dyDescent="0.25">
      <c r="B116" s="122">
        <f t="shared" si="3"/>
        <v>41504</v>
      </c>
      <c r="D116" s="136">
        <v>0.08</v>
      </c>
      <c r="F116" s="130">
        <f t="shared" si="4"/>
        <v>118.35616400000001</v>
      </c>
    </row>
    <row r="117" spans="2:6" hidden="1" x14ac:dyDescent="0.25">
      <c r="B117" s="122">
        <f t="shared" si="3"/>
        <v>41505</v>
      </c>
      <c r="D117" s="136">
        <v>0.08</v>
      </c>
      <c r="F117" s="130">
        <f t="shared" si="4"/>
        <v>118.35616400000001</v>
      </c>
    </row>
    <row r="118" spans="2:6" hidden="1" x14ac:dyDescent="0.25">
      <c r="B118" s="122">
        <f t="shared" si="3"/>
        <v>41506</v>
      </c>
      <c r="D118" s="136">
        <v>0.08</v>
      </c>
      <c r="F118" s="130">
        <f t="shared" si="4"/>
        <v>118.35616400000001</v>
      </c>
    </row>
    <row r="119" spans="2:6" hidden="1" x14ac:dyDescent="0.25">
      <c r="B119" s="122">
        <f t="shared" si="3"/>
        <v>41507</v>
      </c>
      <c r="D119" s="136">
        <v>0.08</v>
      </c>
      <c r="F119" s="130">
        <f t="shared" si="4"/>
        <v>118.35616400000001</v>
      </c>
    </row>
    <row r="120" spans="2:6" hidden="1" x14ac:dyDescent="0.25">
      <c r="B120" s="122">
        <f t="shared" si="3"/>
        <v>41508</v>
      </c>
      <c r="D120" s="136">
        <v>0.08</v>
      </c>
      <c r="F120" s="130">
        <f t="shared" si="4"/>
        <v>118.35616400000001</v>
      </c>
    </row>
    <row r="121" spans="2:6" hidden="1" x14ac:dyDescent="0.25">
      <c r="B121" s="122">
        <f t="shared" si="3"/>
        <v>41509</v>
      </c>
      <c r="D121" s="136">
        <v>0.08</v>
      </c>
      <c r="F121" s="130">
        <f t="shared" si="4"/>
        <v>118.35616400000001</v>
      </c>
    </row>
    <row r="122" spans="2:6" hidden="1" x14ac:dyDescent="0.25">
      <c r="B122" s="122">
        <f t="shared" si="3"/>
        <v>41510</v>
      </c>
      <c r="D122" s="136">
        <v>0.08</v>
      </c>
      <c r="F122" s="130">
        <f t="shared" si="4"/>
        <v>118.35616400000001</v>
      </c>
    </row>
    <row r="123" spans="2:6" hidden="1" x14ac:dyDescent="0.25">
      <c r="B123" s="122">
        <f t="shared" si="3"/>
        <v>41511</v>
      </c>
      <c r="D123" s="136">
        <v>0.08</v>
      </c>
      <c r="F123" s="130">
        <f t="shared" si="4"/>
        <v>118.35616400000001</v>
      </c>
    </row>
    <row r="124" spans="2:6" hidden="1" x14ac:dyDescent="0.25">
      <c r="B124" s="122">
        <f t="shared" si="3"/>
        <v>41512</v>
      </c>
      <c r="D124" s="136">
        <v>0.08</v>
      </c>
      <c r="F124" s="130">
        <f t="shared" si="4"/>
        <v>118.35616400000001</v>
      </c>
    </row>
    <row r="125" spans="2:6" hidden="1" x14ac:dyDescent="0.25">
      <c r="B125" s="122">
        <f t="shared" si="3"/>
        <v>41513</v>
      </c>
      <c r="D125" s="136">
        <v>0.08</v>
      </c>
      <c r="F125" s="130">
        <f t="shared" si="4"/>
        <v>118.35616400000001</v>
      </c>
    </row>
    <row r="126" spans="2:6" hidden="1" x14ac:dyDescent="0.25">
      <c r="B126" s="122">
        <f t="shared" si="3"/>
        <v>41514</v>
      </c>
      <c r="D126" s="136">
        <v>0.08</v>
      </c>
      <c r="F126" s="130">
        <f t="shared" si="4"/>
        <v>118.35616400000001</v>
      </c>
    </row>
    <row r="127" spans="2:6" hidden="1" x14ac:dyDescent="0.25">
      <c r="B127" s="122">
        <f t="shared" si="3"/>
        <v>41515</v>
      </c>
      <c r="D127" s="136">
        <v>0.08</v>
      </c>
      <c r="F127" s="130">
        <f t="shared" si="4"/>
        <v>118.35616400000001</v>
      </c>
    </row>
    <row r="128" spans="2:6" hidden="1" x14ac:dyDescent="0.25">
      <c r="B128" s="122">
        <f t="shared" si="3"/>
        <v>41516</v>
      </c>
      <c r="D128" s="136">
        <v>7.0000000000000007E-2</v>
      </c>
      <c r="F128" s="130">
        <f t="shared" si="4"/>
        <v>103.561644</v>
      </c>
    </row>
    <row r="129" spans="1:11" hidden="1" x14ac:dyDescent="0.25">
      <c r="B129" s="122">
        <f t="shared" si="3"/>
        <v>41517</v>
      </c>
      <c r="D129" s="136">
        <v>7.0000000000000007E-2</v>
      </c>
      <c r="F129" s="130">
        <f t="shared" si="4"/>
        <v>103.561644</v>
      </c>
      <c r="H129" s="133">
        <f>SUM(F99:F129)</f>
        <v>3313.9725969999981</v>
      </c>
      <c r="I129" s="134">
        <f>AVERAGE(D99:D129)</f>
        <v>7.2258064516129067E-2</v>
      </c>
      <c r="J129" s="135">
        <f>AVERAGE(D7:D129)</f>
        <v>0.10560975609756111</v>
      </c>
      <c r="K129" s="138">
        <f>AVERAGE(D7:D129)</f>
        <v>0.10560975609756111</v>
      </c>
    </row>
    <row r="130" spans="1:11" hidden="1" x14ac:dyDescent="0.25">
      <c r="A130" s="121">
        <v>41518</v>
      </c>
      <c r="B130" s="122">
        <f t="shared" si="3"/>
        <v>41518</v>
      </c>
      <c r="D130" s="136">
        <v>7.0000000000000007E-2</v>
      </c>
      <c r="F130" s="130">
        <f t="shared" si="4"/>
        <v>103.561644</v>
      </c>
    </row>
    <row r="131" spans="1:11" hidden="1" x14ac:dyDescent="0.25">
      <c r="B131" s="122">
        <f t="shared" ref="B131:B190" si="5">B130+1</f>
        <v>41519</v>
      </c>
      <c r="D131" s="136">
        <v>7.0000000000000007E-2</v>
      </c>
      <c r="F131" s="130">
        <f t="shared" si="4"/>
        <v>103.561644</v>
      </c>
    </row>
    <row r="132" spans="1:11" hidden="1" x14ac:dyDescent="0.25">
      <c r="B132" s="122">
        <f t="shared" si="5"/>
        <v>41520</v>
      </c>
      <c r="D132" s="136">
        <v>7.0000000000000007E-2</v>
      </c>
      <c r="F132" s="130">
        <f t="shared" si="4"/>
        <v>103.561644</v>
      </c>
    </row>
    <row r="133" spans="1:11" hidden="1" x14ac:dyDescent="0.25">
      <c r="B133" s="122">
        <f t="shared" si="5"/>
        <v>41521</v>
      </c>
      <c r="D133" s="136">
        <v>7.0000000000000007E-2</v>
      </c>
      <c r="F133" s="130">
        <f t="shared" si="4"/>
        <v>103.561644</v>
      </c>
    </row>
    <row r="134" spans="1:11" hidden="1" x14ac:dyDescent="0.25">
      <c r="B134" s="122">
        <f t="shared" si="5"/>
        <v>41522</v>
      </c>
      <c r="D134" s="136">
        <v>7.0000000000000007E-2</v>
      </c>
      <c r="F134" s="130">
        <f t="shared" si="4"/>
        <v>103.561644</v>
      </c>
    </row>
    <row r="135" spans="1:11" hidden="1" x14ac:dyDescent="0.25">
      <c r="B135" s="122">
        <f t="shared" si="5"/>
        <v>41523</v>
      </c>
      <c r="D135" s="136">
        <v>7.0000000000000007E-2</v>
      </c>
      <c r="F135" s="130">
        <f t="shared" si="4"/>
        <v>103.561644</v>
      </c>
    </row>
    <row r="136" spans="1:11" hidden="1" x14ac:dyDescent="0.25">
      <c r="B136" s="122">
        <f t="shared" si="5"/>
        <v>41524</v>
      </c>
      <c r="D136" s="136">
        <v>7.0000000000000007E-2</v>
      </c>
      <c r="F136" s="130">
        <f t="shared" si="4"/>
        <v>103.561644</v>
      </c>
    </row>
    <row r="137" spans="1:11" hidden="1" x14ac:dyDescent="0.25">
      <c r="B137" s="122">
        <f t="shared" si="5"/>
        <v>41525</v>
      </c>
      <c r="D137" s="136">
        <v>7.0000000000000007E-2</v>
      </c>
      <c r="F137" s="130">
        <f t="shared" si="4"/>
        <v>103.561644</v>
      </c>
    </row>
    <row r="138" spans="1:11" hidden="1" x14ac:dyDescent="0.25">
      <c r="B138" s="122">
        <f t="shared" si="5"/>
        <v>41526</v>
      </c>
      <c r="D138" s="136">
        <v>7.0000000000000007E-2</v>
      </c>
      <c r="F138" s="130">
        <f t="shared" si="4"/>
        <v>103.561644</v>
      </c>
    </row>
    <row r="139" spans="1:11" hidden="1" x14ac:dyDescent="0.25">
      <c r="B139" s="122">
        <f t="shared" si="5"/>
        <v>41527</v>
      </c>
      <c r="D139" s="136">
        <v>7.0000000000000007E-2</v>
      </c>
      <c r="F139" s="130">
        <f t="shared" si="4"/>
        <v>103.561644</v>
      </c>
    </row>
    <row r="140" spans="1:11" hidden="1" x14ac:dyDescent="0.25">
      <c r="B140" s="122">
        <f t="shared" si="5"/>
        <v>41528</v>
      </c>
      <c r="D140" s="136">
        <v>7.0000000000000007E-2</v>
      </c>
      <c r="F140" s="130">
        <f t="shared" si="4"/>
        <v>103.561644</v>
      </c>
    </row>
    <row r="141" spans="1:11" hidden="1" x14ac:dyDescent="0.25">
      <c r="B141" s="122">
        <f t="shared" si="5"/>
        <v>41529</v>
      </c>
      <c r="D141" s="136">
        <v>7.0000000000000007E-2</v>
      </c>
      <c r="F141" s="130">
        <f t="shared" si="4"/>
        <v>103.561644</v>
      </c>
    </row>
    <row r="142" spans="1:11" hidden="1" x14ac:dyDescent="0.25">
      <c r="B142" s="122">
        <f t="shared" si="5"/>
        <v>41530</v>
      </c>
      <c r="D142" s="136">
        <v>7.0000000000000007E-2</v>
      </c>
      <c r="F142" s="130">
        <f t="shared" si="4"/>
        <v>103.561644</v>
      </c>
    </row>
    <row r="143" spans="1:11" hidden="1" x14ac:dyDescent="0.25">
      <c r="B143" s="122">
        <f t="shared" si="5"/>
        <v>41531</v>
      </c>
      <c r="D143" s="136">
        <v>7.0000000000000007E-2</v>
      </c>
      <c r="F143" s="130">
        <f t="shared" si="4"/>
        <v>103.561644</v>
      </c>
    </row>
    <row r="144" spans="1:11" hidden="1" x14ac:dyDescent="0.25">
      <c r="B144" s="122">
        <f t="shared" si="5"/>
        <v>41532</v>
      </c>
      <c r="D144" s="136">
        <v>7.0000000000000007E-2</v>
      </c>
      <c r="F144" s="130">
        <f t="shared" si="4"/>
        <v>103.561644</v>
      </c>
    </row>
    <row r="145" spans="1:11" hidden="1" x14ac:dyDescent="0.25">
      <c r="B145" s="122">
        <f t="shared" si="5"/>
        <v>41533</v>
      </c>
      <c r="D145" s="136">
        <v>7.0000000000000007E-2</v>
      </c>
      <c r="F145" s="130">
        <f t="shared" ref="F145:F190" si="6">ROUND(D145/100*$A$3/365,6)</f>
        <v>103.561644</v>
      </c>
    </row>
    <row r="146" spans="1:11" hidden="1" x14ac:dyDescent="0.25">
      <c r="B146" s="122">
        <f t="shared" si="5"/>
        <v>41534</v>
      </c>
      <c r="D146" s="136">
        <v>7.0000000000000007E-2</v>
      </c>
      <c r="F146" s="130">
        <f t="shared" si="6"/>
        <v>103.561644</v>
      </c>
    </row>
    <row r="147" spans="1:11" hidden="1" x14ac:dyDescent="0.25">
      <c r="B147" s="122">
        <f t="shared" si="5"/>
        <v>41535</v>
      </c>
      <c r="D147" s="136">
        <v>7.0000000000000007E-2</v>
      </c>
      <c r="F147" s="130">
        <f t="shared" si="6"/>
        <v>103.561644</v>
      </c>
    </row>
    <row r="148" spans="1:11" hidden="1" x14ac:dyDescent="0.25">
      <c r="B148" s="122">
        <f t="shared" si="5"/>
        <v>41536</v>
      </c>
      <c r="D148" s="136">
        <v>7.0000000000000007E-2</v>
      </c>
      <c r="F148" s="130">
        <f t="shared" si="6"/>
        <v>103.561644</v>
      </c>
    </row>
    <row r="149" spans="1:11" hidden="1" x14ac:dyDescent="0.25">
      <c r="B149" s="122">
        <f t="shared" si="5"/>
        <v>41537</v>
      </c>
      <c r="D149" s="136">
        <v>0.08</v>
      </c>
      <c r="F149" s="130">
        <f t="shared" si="6"/>
        <v>118.35616400000001</v>
      </c>
    </row>
    <row r="150" spans="1:11" hidden="1" x14ac:dyDescent="0.25">
      <c r="B150" s="122">
        <f t="shared" si="5"/>
        <v>41538</v>
      </c>
      <c r="D150" s="136">
        <v>0.08</v>
      </c>
      <c r="F150" s="130">
        <f t="shared" si="6"/>
        <v>118.35616400000001</v>
      </c>
    </row>
    <row r="151" spans="1:11" hidden="1" x14ac:dyDescent="0.25">
      <c r="B151" s="122">
        <f t="shared" si="5"/>
        <v>41539</v>
      </c>
      <c r="D151" s="136">
        <v>0.08</v>
      </c>
      <c r="F151" s="130">
        <f t="shared" si="6"/>
        <v>118.35616400000001</v>
      </c>
    </row>
    <row r="152" spans="1:11" hidden="1" x14ac:dyDescent="0.25">
      <c r="B152" s="122">
        <f t="shared" si="5"/>
        <v>41540</v>
      </c>
      <c r="D152" s="136">
        <v>0.08</v>
      </c>
      <c r="F152" s="130">
        <f t="shared" si="6"/>
        <v>118.35616400000001</v>
      </c>
    </row>
    <row r="153" spans="1:11" hidden="1" x14ac:dyDescent="0.25">
      <c r="B153" s="122">
        <f t="shared" si="5"/>
        <v>41541</v>
      </c>
      <c r="D153" s="136">
        <v>0.08</v>
      </c>
      <c r="F153" s="130">
        <f t="shared" si="6"/>
        <v>118.35616400000001</v>
      </c>
    </row>
    <row r="154" spans="1:11" hidden="1" x14ac:dyDescent="0.25">
      <c r="B154" s="122">
        <f t="shared" si="5"/>
        <v>41542</v>
      </c>
      <c r="D154" s="136">
        <v>0.08</v>
      </c>
      <c r="F154" s="130">
        <f t="shared" si="6"/>
        <v>118.35616400000001</v>
      </c>
    </row>
    <row r="155" spans="1:11" hidden="1" x14ac:dyDescent="0.25">
      <c r="B155" s="122">
        <f t="shared" si="5"/>
        <v>41543</v>
      </c>
      <c r="D155" s="136">
        <v>0.08</v>
      </c>
      <c r="F155" s="130">
        <f t="shared" si="6"/>
        <v>118.35616400000001</v>
      </c>
    </row>
    <row r="156" spans="1:11" hidden="1" x14ac:dyDescent="0.25">
      <c r="B156" s="122">
        <f t="shared" si="5"/>
        <v>41544</v>
      </c>
      <c r="D156" s="136">
        <v>0.09</v>
      </c>
      <c r="F156" s="130">
        <f t="shared" si="6"/>
        <v>133.15068500000001</v>
      </c>
    </row>
    <row r="157" spans="1:11" hidden="1" x14ac:dyDescent="0.25">
      <c r="B157" s="122">
        <f t="shared" si="5"/>
        <v>41545</v>
      </c>
      <c r="D157" s="136">
        <v>0.09</v>
      </c>
      <c r="F157" s="130">
        <f t="shared" si="6"/>
        <v>133.15068500000001</v>
      </c>
    </row>
    <row r="158" spans="1:11" hidden="1" x14ac:dyDescent="0.25">
      <c r="B158" s="122">
        <f t="shared" si="5"/>
        <v>41546</v>
      </c>
      <c r="D158" s="136">
        <v>0.09</v>
      </c>
      <c r="F158" s="130">
        <f t="shared" si="6"/>
        <v>133.15068500000001</v>
      </c>
    </row>
    <row r="159" spans="1:11" hidden="1" x14ac:dyDescent="0.25">
      <c r="B159" s="122">
        <f t="shared" si="5"/>
        <v>41547</v>
      </c>
      <c r="D159" s="136">
        <v>0.09</v>
      </c>
      <c r="F159" s="130">
        <f t="shared" si="6"/>
        <v>133.15068500000001</v>
      </c>
      <c r="H159" s="133">
        <f>SUM(F130:F159)</f>
        <v>3328.7671239999981</v>
      </c>
      <c r="I159" s="134">
        <f>AVERAGE(D130:D159)</f>
        <v>7.5000000000000025E-2</v>
      </c>
      <c r="J159" s="135">
        <f>AVERAGE(D7:D159)</f>
        <v>9.9607843137255042E-2</v>
      </c>
      <c r="K159" s="138">
        <f>AVERAGE(D7:D159)</f>
        <v>9.9607843137255042E-2</v>
      </c>
    </row>
    <row r="160" spans="1:11" x14ac:dyDescent="0.25">
      <c r="A160" s="121">
        <v>41548</v>
      </c>
      <c r="B160" s="122">
        <f t="shared" si="5"/>
        <v>41548</v>
      </c>
      <c r="D160" s="136">
        <v>0.09</v>
      </c>
      <c r="F160" s="130">
        <f t="shared" si="6"/>
        <v>133.15068500000001</v>
      </c>
    </row>
    <row r="161" spans="2:6" x14ac:dyDescent="0.25">
      <c r="B161" s="122">
        <f t="shared" si="5"/>
        <v>41549</v>
      </c>
      <c r="D161" s="136">
        <v>0.09</v>
      </c>
      <c r="F161" s="130">
        <f t="shared" si="6"/>
        <v>133.15068500000001</v>
      </c>
    </row>
    <row r="162" spans="2:6" x14ac:dyDescent="0.25">
      <c r="B162" s="122">
        <f t="shared" si="5"/>
        <v>41550</v>
      </c>
      <c r="D162" s="136">
        <v>0.09</v>
      </c>
      <c r="F162" s="130">
        <f t="shared" si="6"/>
        <v>133.15068500000001</v>
      </c>
    </row>
    <row r="163" spans="2:6" x14ac:dyDescent="0.25">
      <c r="B163" s="122">
        <f t="shared" si="5"/>
        <v>41551</v>
      </c>
      <c r="D163" s="136">
        <v>7.0000000000000007E-2</v>
      </c>
      <c r="F163" s="130">
        <f t="shared" si="6"/>
        <v>103.561644</v>
      </c>
    </row>
    <row r="164" spans="2:6" x14ac:dyDescent="0.25">
      <c r="B164" s="122">
        <f t="shared" si="5"/>
        <v>41552</v>
      </c>
      <c r="D164" s="136">
        <v>7.0000000000000007E-2</v>
      </c>
      <c r="F164" s="130">
        <f t="shared" si="6"/>
        <v>103.561644</v>
      </c>
    </row>
    <row r="165" spans="2:6" x14ac:dyDescent="0.25">
      <c r="B165" s="122">
        <f t="shared" si="5"/>
        <v>41553</v>
      </c>
      <c r="D165" s="136">
        <v>7.0000000000000007E-2</v>
      </c>
      <c r="F165" s="130">
        <f t="shared" si="6"/>
        <v>103.561644</v>
      </c>
    </row>
    <row r="166" spans="2:6" x14ac:dyDescent="0.25">
      <c r="B166" s="122">
        <f t="shared" si="5"/>
        <v>41554</v>
      </c>
      <c r="D166" s="136">
        <v>7.0000000000000007E-2</v>
      </c>
      <c r="F166" s="130">
        <f t="shared" si="6"/>
        <v>103.561644</v>
      </c>
    </row>
    <row r="167" spans="2:6" x14ac:dyDescent="0.25">
      <c r="B167" s="122">
        <f t="shared" si="5"/>
        <v>41555</v>
      </c>
      <c r="D167" s="136">
        <v>7.0000000000000007E-2</v>
      </c>
      <c r="F167" s="130">
        <f t="shared" si="6"/>
        <v>103.561644</v>
      </c>
    </row>
    <row r="168" spans="2:6" x14ac:dyDescent="0.25">
      <c r="B168" s="122">
        <f t="shared" si="5"/>
        <v>41556</v>
      </c>
      <c r="D168" s="136">
        <v>7.0000000000000007E-2</v>
      </c>
      <c r="F168" s="130">
        <f t="shared" si="6"/>
        <v>103.561644</v>
      </c>
    </row>
    <row r="169" spans="2:6" x14ac:dyDescent="0.25">
      <c r="B169" s="122">
        <f t="shared" si="5"/>
        <v>41557</v>
      </c>
      <c r="D169" s="136">
        <v>7.0000000000000007E-2</v>
      </c>
      <c r="F169" s="130">
        <f t="shared" si="6"/>
        <v>103.561644</v>
      </c>
    </row>
    <row r="170" spans="2:6" x14ac:dyDescent="0.25">
      <c r="B170" s="122">
        <f t="shared" si="5"/>
        <v>41558</v>
      </c>
      <c r="D170" s="136">
        <v>0.09</v>
      </c>
      <c r="F170" s="130">
        <f t="shared" si="6"/>
        <v>133.15068500000001</v>
      </c>
    </row>
    <row r="171" spans="2:6" x14ac:dyDescent="0.25">
      <c r="B171" s="122">
        <f t="shared" si="5"/>
        <v>41559</v>
      </c>
      <c r="D171" s="136">
        <v>0.09</v>
      </c>
      <c r="F171" s="130">
        <f t="shared" si="6"/>
        <v>133.15068500000001</v>
      </c>
    </row>
    <row r="172" spans="2:6" x14ac:dyDescent="0.25">
      <c r="B172" s="122">
        <f t="shared" si="5"/>
        <v>41560</v>
      </c>
      <c r="D172" s="136">
        <v>0.09</v>
      </c>
      <c r="F172" s="130">
        <f t="shared" si="6"/>
        <v>133.15068500000001</v>
      </c>
    </row>
    <row r="173" spans="2:6" x14ac:dyDescent="0.25">
      <c r="B173" s="122">
        <f t="shared" si="5"/>
        <v>41561</v>
      </c>
      <c r="D173" s="136">
        <v>0.09</v>
      </c>
      <c r="F173" s="130">
        <f t="shared" si="6"/>
        <v>133.15068500000001</v>
      </c>
    </row>
    <row r="174" spans="2:6" x14ac:dyDescent="0.25">
      <c r="B174" s="122">
        <f t="shared" si="5"/>
        <v>41562</v>
      </c>
      <c r="D174" s="136">
        <v>0.09</v>
      </c>
      <c r="F174" s="130">
        <f t="shared" si="6"/>
        <v>133.15068500000001</v>
      </c>
    </row>
    <row r="175" spans="2:6" x14ac:dyDescent="0.25">
      <c r="B175" s="122">
        <f t="shared" si="5"/>
        <v>41563</v>
      </c>
      <c r="D175" s="136">
        <v>0.09</v>
      </c>
      <c r="F175" s="130">
        <f t="shared" si="6"/>
        <v>133.15068500000001</v>
      </c>
    </row>
    <row r="176" spans="2:6" x14ac:dyDescent="0.25">
      <c r="B176" s="122">
        <f t="shared" si="5"/>
        <v>41564</v>
      </c>
      <c r="D176" s="136">
        <v>0.09</v>
      </c>
      <c r="F176" s="130">
        <f t="shared" si="6"/>
        <v>133.15068500000001</v>
      </c>
    </row>
    <row r="177" spans="2:11" x14ac:dyDescent="0.25">
      <c r="B177" s="122">
        <f t="shared" si="5"/>
        <v>41565</v>
      </c>
      <c r="D177" s="136">
        <v>0.11</v>
      </c>
      <c r="F177" s="130">
        <f t="shared" si="6"/>
        <v>162.73972599999999</v>
      </c>
    </row>
    <row r="178" spans="2:11" x14ac:dyDescent="0.25">
      <c r="B178" s="122">
        <f t="shared" si="5"/>
        <v>41566</v>
      </c>
      <c r="D178" s="136">
        <v>0.11</v>
      </c>
      <c r="F178" s="130">
        <f t="shared" si="6"/>
        <v>162.73972599999999</v>
      </c>
    </row>
    <row r="179" spans="2:11" x14ac:dyDescent="0.25">
      <c r="B179" s="122">
        <f t="shared" si="5"/>
        <v>41567</v>
      </c>
      <c r="D179" s="136">
        <v>0.11</v>
      </c>
      <c r="F179" s="130">
        <f t="shared" si="6"/>
        <v>162.73972599999999</v>
      </c>
    </row>
    <row r="180" spans="2:11" x14ac:dyDescent="0.25">
      <c r="B180" s="122">
        <f t="shared" si="5"/>
        <v>41568</v>
      </c>
      <c r="D180" s="136">
        <v>0.11</v>
      </c>
      <c r="F180" s="130">
        <f t="shared" si="6"/>
        <v>162.73972599999999</v>
      </c>
    </row>
    <row r="181" spans="2:11" x14ac:dyDescent="0.25">
      <c r="B181" s="122">
        <f t="shared" si="5"/>
        <v>41569</v>
      </c>
      <c r="D181" s="136">
        <v>0.11</v>
      </c>
      <c r="F181" s="130">
        <f t="shared" si="6"/>
        <v>162.73972599999999</v>
      </c>
    </row>
    <row r="182" spans="2:11" x14ac:dyDescent="0.25">
      <c r="B182" s="122">
        <f t="shared" si="5"/>
        <v>41570</v>
      </c>
      <c r="D182" s="136">
        <v>0.11</v>
      </c>
      <c r="F182" s="130">
        <f t="shared" si="6"/>
        <v>162.73972599999999</v>
      </c>
    </row>
    <row r="183" spans="2:11" x14ac:dyDescent="0.25">
      <c r="B183" s="122">
        <f t="shared" si="5"/>
        <v>41571</v>
      </c>
      <c r="D183" s="136">
        <v>0.11</v>
      </c>
      <c r="F183" s="130">
        <f t="shared" si="6"/>
        <v>162.73972599999999</v>
      </c>
    </row>
    <row r="184" spans="2:11" x14ac:dyDescent="0.25">
      <c r="B184" s="122">
        <f t="shared" si="5"/>
        <v>41572</v>
      </c>
      <c r="D184" s="136">
        <v>0.12</v>
      </c>
      <c r="F184" s="130">
        <f t="shared" si="6"/>
        <v>177.53424699999999</v>
      </c>
    </row>
    <row r="185" spans="2:11" x14ac:dyDescent="0.25">
      <c r="B185" s="122">
        <f t="shared" si="5"/>
        <v>41573</v>
      </c>
      <c r="D185" s="136">
        <v>0.12</v>
      </c>
      <c r="F185" s="130">
        <f t="shared" si="6"/>
        <v>177.53424699999999</v>
      </c>
    </row>
    <row r="186" spans="2:11" x14ac:dyDescent="0.25">
      <c r="B186" s="122">
        <f t="shared" si="5"/>
        <v>41574</v>
      </c>
      <c r="D186" s="136">
        <v>0.12</v>
      </c>
      <c r="F186" s="130">
        <f t="shared" si="6"/>
        <v>177.53424699999999</v>
      </c>
    </row>
    <row r="187" spans="2:11" x14ac:dyDescent="0.25">
      <c r="B187" s="122">
        <f t="shared" si="5"/>
        <v>41575</v>
      </c>
      <c r="D187" s="136">
        <v>0.12</v>
      </c>
      <c r="F187" s="130">
        <f t="shared" si="6"/>
        <v>177.53424699999999</v>
      </c>
    </row>
    <row r="188" spans="2:11" x14ac:dyDescent="0.25">
      <c r="B188" s="122">
        <f t="shared" si="5"/>
        <v>41576</v>
      </c>
      <c r="D188" s="136">
        <v>0.12</v>
      </c>
      <c r="F188" s="130">
        <f t="shared" si="6"/>
        <v>177.53424699999999</v>
      </c>
    </row>
    <row r="189" spans="2:11" x14ac:dyDescent="0.25">
      <c r="B189" s="122">
        <f t="shared" si="5"/>
        <v>41577</v>
      </c>
      <c r="D189" s="136">
        <v>0.12</v>
      </c>
      <c r="F189" s="130">
        <f t="shared" si="6"/>
        <v>177.53424699999999</v>
      </c>
    </row>
    <row r="190" spans="2:11" x14ac:dyDescent="0.25">
      <c r="B190" s="122">
        <f t="shared" si="5"/>
        <v>41578</v>
      </c>
      <c r="D190" s="136">
        <v>0.12</v>
      </c>
      <c r="F190" s="130">
        <f t="shared" si="6"/>
        <v>177.53424699999999</v>
      </c>
      <c r="H190" s="133">
        <f>SUM(F160:F190)</f>
        <v>4438.3561689999988</v>
      </c>
      <c r="I190" s="134">
        <f>AVERAGE(D160:D190)</f>
        <v>9.677419354838715E-2</v>
      </c>
      <c r="J190" s="135">
        <f>AVERAGE(D7:D190)</f>
        <v>9.9130434782608828E-2</v>
      </c>
      <c r="K190" s="138">
        <f>AVERAGE(D7:D190)</f>
        <v>9.9130434782608828E-2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KU 1013 ECR</vt:lpstr>
      <vt:lpstr>$12.9M</vt:lpstr>
      <vt:lpstr>$20.9M</vt:lpstr>
      <vt:lpstr>$2.4M CC2002B</vt:lpstr>
      <vt:lpstr>$2.4M Muhl</vt:lpstr>
      <vt:lpstr>$7.4M</vt:lpstr>
      <vt:lpstr>$96M</vt:lpstr>
      <vt:lpstr>$50M</vt:lpstr>
      <vt:lpstr>$54M</vt:lpstr>
      <vt:lpstr>$77.9M</vt:lpstr>
      <vt:lpstr>KU Unamort Debt Exp</vt:lpstr>
      <vt:lpstr>KU Loss on Reacq</vt:lpstr>
      <vt:lpstr>KU Debt Disc. FMBs</vt:lpstr>
      <vt:lpstr>KU Rev Credit Debt Exp</vt:lpstr>
      <vt:lpstr>KU Money POOL</vt:lpstr>
      <vt:lpstr>KU CP ECR Calc</vt:lpstr>
      <vt:lpstr>LTD Schedule</vt:lpstr>
      <vt:lpstr>Sheet24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2014-03-07T15:24:03Z</dcterms:created>
  <dcterms:modified xsi:type="dcterms:W3CDTF">2014-03-11T20:18:52Z</dcterms:modified>
</cp:coreProperties>
</file>