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 activeTab="1"/>
  </bookViews>
  <sheets>
    <sheet name="Schedule D" sheetId="1" r:id="rId1"/>
    <sheet name="Schedule D with Link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D">'[1]A-15'!#REF!</definedName>
    <definedName name="\G">'[1]A-15'!#REF!</definedName>
    <definedName name="\P">'[1]A-15'!#REF!</definedName>
    <definedName name="\S">'[1]A-15'!#REF!</definedName>
    <definedName name="_1CONTRACT_LABOR">#REF!</definedName>
    <definedName name="_CNC2.CE2">'[2]Cust Eq Input'!#REF!</definedName>
    <definedName name="_pri0004">'[1]A-15'!#REF!</definedName>
    <definedName name="_pri0005">'[1]A-15'!#REF!</definedName>
    <definedName name="_pri0006">'[1]A-15'!#REF!</definedName>
    <definedName name="_pri0007">'[1]A-15'!#REF!</definedName>
    <definedName name="_pri0008">'[1]A-15'!#REF!</definedName>
    <definedName name="_pri0009">'[1]A-15'!#REF!</definedName>
    <definedName name="_pri0010">'[1]A-15'!#REF!</definedName>
    <definedName name="_pri0011">'[1]A-15'!#REF!</definedName>
    <definedName name="_pri0012">'[1]A-15'!#REF!</definedName>
    <definedName name="_pri0013">'[1]A-15'!#REF!</definedName>
    <definedName name="_pri0014">'[1]A-15'!#REF!</definedName>
    <definedName name="_pri0015">'[1]A-15'!#REF!</definedName>
    <definedName name="_pri0016">'[1]A-15'!#REF!</definedName>
    <definedName name="_pri0017">'[1]A-15'!#REF!</definedName>
    <definedName name="_pri0019">'[1]A-15'!#REF!</definedName>
    <definedName name="Account_and_Adjustment_Information">OFFSET(#REF!,0,0,COUNTA(#REF!),COUNTA(#REF!))</definedName>
    <definedName name="Account_Balance">'[3]COPY ELECTRONIC TB HERE'!$L$2:$L$512</definedName>
    <definedName name="Account_Name">'[3]COPY ELECTRONIC TB HERE'!$B$2:$B$513</definedName>
    <definedName name="Account_Number">'[3]COPY ELECTRONIC TB HERE'!$A$2:$A$512</definedName>
    <definedName name="Accounts">#REF!</definedName>
    <definedName name="AccumDepr">[4]Data!$I$13:$J$131</definedName>
    <definedName name="AFUDC">'[1]A-15'!#REF!</definedName>
    <definedName name="AIAC">[4]Data!$O$13:$P$131</definedName>
    <definedName name="allocation_data">OFFSET(#REF!,1,0,COUNTA(#REF!)-1,COUNTA(#REF!))</definedName>
    <definedName name="ALLOCATION_TABLE" localSheetId="1">'[17]Linked TB'!$B$655:$H$662</definedName>
    <definedName name="ALLOCATION_TABLE">'[5]Linked TB'!$B$684:$H$691</definedName>
    <definedName name="ANNAACIAC">'[1]A-15'!#REF!</definedName>
    <definedName name="ANNAD">'[1]A-15'!#REF!</definedName>
    <definedName name="ANNAFC">'[1]A-15'!#REF!</definedName>
    <definedName name="ANNCIAC">'[1]A-15'!#REF!</definedName>
    <definedName name="ANNPL">'[1]A-15'!#REF!</definedName>
    <definedName name="ARB">'[1]A-15'!#REF!</definedName>
    <definedName name="BALANCE">'[1]A-15'!#REF!</definedName>
    <definedName name="Calculate">'[6]General Data'!$A$42</definedName>
    <definedName name="CAM.CE">#REF!</definedName>
    <definedName name="CCE.CAM.">#REF!</definedName>
    <definedName name="CCE.CB.">#REF!</definedName>
    <definedName name="CCE.CH.">#REF!</definedName>
    <definedName name="CCE.CHAR.">#REF!</definedName>
    <definedName name="CCE.CL.">#REF!</definedName>
    <definedName name="CCE.CLAR.">#REF!</definedName>
    <definedName name="CCE.DM.">#REF!</definedName>
    <definedName name="CCE.FC.">#REF!</definedName>
    <definedName name="CCE.GN.">#REF!</definedName>
    <definedName name="CCE.GT.">#REF!</definedName>
    <definedName name="CCE.HR.">#REF!</definedName>
    <definedName name="CCE.KILL.">#REF!</definedName>
    <definedName name="CCE.MED.">#REF!</definedName>
    <definedName name="CCE.VAL.">#REF!</definedName>
    <definedName name="CCE.WH.">#REF!</definedName>
    <definedName name="CCE.WUW.">#REF!</definedName>
    <definedName name="CH.CE">#REF!</definedName>
    <definedName name="CHAR.CE">#REF!</definedName>
    <definedName name="Charlotte_office_factor">'[3]Input Schedule'!#REF!</definedName>
    <definedName name="Charlotte_Warehouse_factor">'[3]Input Schedule'!#REF!</definedName>
    <definedName name="CIAC">[4]Data!$R$13:$S$131</definedName>
    <definedName name="CL.CE">#REF!</definedName>
    <definedName name="CLAR.CE">#REF!</definedName>
    <definedName name="CNC.CE">#REF!</definedName>
    <definedName name="CNC2.CE">#REF!</definedName>
    <definedName name="Co.">'[7]General Data'!$C$2</definedName>
    <definedName name="co_sub">'[3]Input Schedule'!$C$5</definedName>
    <definedName name="COL.CE">#REF!</definedName>
    <definedName name="Company_Name">[8]Input!$B$5</definedName>
    <definedName name="company_title">'[3]Input Schedule'!$C$3</definedName>
    <definedName name="Company2">'[6]WSC Factor'!$C$101</definedName>
    <definedName name="Company3">'[6]WSC Factor'!$C$152</definedName>
    <definedName name="Computers_rate">[9]Input!$B$20</definedName>
    <definedName name="CPI">'[10]wp-t-Assumptions'!$C$26</definedName>
    <definedName name="CSI.CE">#REF!</definedName>
    <definedName name="CustomerDeposits">[4]Data!$AA$13:$AB$131</definedName>
    <definedName name="CWIP">[4]Data!$F$13:$G$131</definedName>
    <definedName name="CWS.CE">#REF!</definedName>
    <definedName name="cws_customers">'[3]Input Schedule'!$C$15</definedName>
    <definedName name="DeferredCharges">[4]Data!$U$13:$V$131</definedName>
    <definedName name="DeferredIncomeTaxes">[4]Data!$X$13:$Y$131</definedName>
    <definedName name="DIR">'[1]A-15'!#REF!</definedName>
    <definedName name="DisallowedPAA">[4]Data!$CF$13:$CG$131</definedName>
    <definedName name="DM.CE">#REF!</definedName>
    <definedName name="Docket_Number">'[3]Input Schedule'!$C$7:$C$7</definedName>
    <definedName name="Docket2">'[6]WSC Factor'!$C$102</definedName>
    <definedName name="Docket3">'[6]WSC Factor'!$C$153</definedName>
    <definedName name="end_balance">OFFSET('[11]tb 2007 reformat'!$H$1,1,0,COUNTA('[11]tb 2007 reformat'!$A$1:$A$65536),1)</definedName>
    <definedName name="FC.CE">#REF!</definedName>
    <definedName name="FICA">'[10]wp-t-Assumptions'!$C$10</definedName>
    <definedName name="FICARate">'[10]wp-t-Assumptions'!$C$10</definedName>
    <definedName name="FL.1">#REF!</definedName>
    <definedName name="FL.3">#REF!</definedName>
    <definedName name="FL.5">#REF!</definedName>
    <definedName name="FL.CE">#REF!</definedName>
    <definedName name="FL.CEP">#REF!</definedName>
    <definedName name="Florida_CSR_Allocation">'[3]Input Schedule'!#REF!</definedName>
    <definedName name="FUTA">'[10]wp-t-Assumptions'!$C$18</definedName>
    <definedName name="GA.1">#REF!</definedName>
    <definedName name="GA.3">#REF!</definedName>
    <definedName name="GA.5">#REF!</definedName>
    <definedName name="GA.CE">#REF!</definedName>
    <definedName name="GA.CEP">#REF!</definedName>
    <definedName name="GN.CE">#REF!</definedName>
    <definedName name="GT.CE">#REF!</definedName>
    <definedName name="HealthIns">'[10]wp-t-Assumptions'!$C$22</definedName>
    <definedName name="HR.CE">#REF!</definedName>
    <definedName name="IL.1">#REF!</definedName>
    <definedName name="IL.3">#REF!</definedName>
    <definedName name="IL.5">#REF!</definedName>
    <definedName name="IL.CE">#REF!</definedName>
    <definedName name="IL.CEP">#REF!</definedName>
    <definedName name="IN.3">#REF!</definedName>
    <definedName name="IN.5">#REF!</definedName>
    <definedName name="IN.CE">#REF!</definedName>
    <definedName name="IN.CEP">#REF!</definedName>
    <definedName name="KILL.CE">#REF!</definedName>
    <definedName name="LA.1">#REF!</definedName>
    <definedName name="LA.3">#REF!</definedName>
    <definedName name="LA.5">#REF!</definedName>
    <definedName name="LA.CE">#REF!</definedName>
    <definedName name="LA.CEP">#REF!</definedName>
    <definedName name="LEXINGTON">#REF!</definedName>
    <definedName name="LH.CE">#REF!</definedName>
    <definedName name="LUI.CE">#REF!</definedName>
    <definedName name="LUS.CE">#REF!</definedName>
    <definedName name="LW.CE">#REF!</definedName>
    <definedName name="MASS.CE">#REF!</definedName>
    <definedName name="MCSI.CE">#REF!</definedName>
    <definedName name="MD.1">#REF!</definedName>
    <definedName name="MD.3">#REF!</definedName>
    <definedName name="MD.5">#REF!</definedName>
    <definedName name="MD.CE">#REF!</definedName>
    <definedName name="MD.CEP">#REF!</definedName>
    <definedName name="MED.CE">#REF!</definedName>
    <definedName name="Medicare">'[10]wp-t-Assumptions'!$C$15</definedName>
    <definedName name="MG.CE">#REF!</definedName>
    <definedName name="MID.C.CE">#REF!</definedName>
    <definedName name="MS.1">#REF!</definedName>
    <definedName name="MS.3">#REF!</definedName>
    <definedName name="MS.5">#REF!</definedName>
    <definedName name="MS.CE">#REF!</definedName>
    <definedName name="MS.CEP">#REF!</definedName>
    <definedName name="NC.1">#REF!</definedName>
    <definedName name="NC.3">#REF!</definedName>
    <definedName name="NC.5">#REF!</definedName>
    <definedName name="NC.CE">#REF!</definedName>
    <definedName name="NC.CEP">#REF!</definedName>
    <definedName name="New_Account_balance">'[12]COPY ELECTRONIC TB HERE'!$D$2:$D$329</definedName>
    <definedName name="New_Account_Name">'[12]COPY ELECTRONIC TB HERE'!$B$2:$B$329</definedName>
    <definedName name="New_Account_Number">'[12]COPY ELECTRONIC TB HERE'!$A$2:$A$329</definedName>
    <definedName name="NEW_ALLOCATION_TABLE">'[12]Linked TB'!$B$531:$H$537</definedName>
    <definedName name="NEW_COMPANY_NAME">[9]Input!$B$5</definedName>
    <definedName name="NEW_COMPANY_TITLE">'[12]Input Schedule'!$C$3</definedName>
    <definedName name="NEW_DOCKET_NUMBER">'[12]Input Schedule'!$C$5:$C$5</definedName>
    <definedName name="NEW_SEWER_CUSTOMERS">'[12]Input Schedule'!$C$12</definedName>
    <definedName name="NEW_TB">'[12]COPY ELECTRONIC TB HERE'!$A$1:$G$65536</definedName>
    <definedName name="NEW_TEST_YEAR_END_DATE">'[12]Input Schedule'!$C$7</definedName>
    <definedName name="NEW_WATER_CUSTOMER">'[12]Input Schedule'!$C$11</definedName>
    <definedName name="Note">'[13]General Data'!$C$5</definedName>
    <definedName name="OCC.CE">#REF!</definedName>
    <definedName name="OH.1">#REF!</definedName>
    <definedName name="OH.3">#REF!</definedName>
    <definedName name="OH.5">#REF!</definedName>
    <definedName name="OH.CE">#REF!</definedName>
    <definedName name="OH.CEP">#REF!</definedName>
    <definedName name="OtherBenefits">'[10]wp-t-Assumptions'!$C$25</definedName>
    <definedName name="PAA">[4]Data!$L$13:$M$131</definedName>
    <definedName name="Parump_CSR_Allocation">'[3]Input Schedule'!#REF!</definedName>
    <definedName name="Pension">'[10]wp-t-Assumptions'!$C$23</definedName>
    <definedName name="Plant">[4]Data!$C$13:$D$131</definedName>
    <definedName name="_xlnm.Print_Area" localSheetId="0">'Schedule D'!$A$1:$T$374</definedName>
    <definedName name="_xlnm.Print_Area" localSheetId="1">'Schedule D with Links'!$A$1:$T$379</definedName>
    <definedName name="_xlnm.Print_Titles" localSheetId="0">'Schedule D'!$1:$10</definedName>
    <definedName name="_xlnm.Print_Titles" localSheetId="1">'Schedule D with Links'!$1:$10</definedName>
    <definedName name="Rate401k">'[10]wp-t-Assumptions'!$C$24</definedName>
    <definedName name="Reduced_acct">OFFSET('[11]tb 2007 reformat'!$A$1,1,0,COUNTA('[11]tb 2007 reformat'!$A$1:$A$65536),1)</definedName>
    <definedName name="Reg_factor">'[3]Input Schedule'!$D$20</definedName>
    <definedName name="RPC.CE">#REF!</definedName>
    <definedName name="RVP_factor">'[3]Input Schedule'!$D$19</definedName>
    <definedName name="SADPRIM">'[1]A-15'!#REF!</definedName>
    <definedName name="SalaryIncrease">'[10]wp-t-Assumptions'!$C$9</definedName>
    <definedName name="SC.1">#REF!</definedName>
    <definedName name="SC.3">#REF!</definedName>
    <definedName name="SC.5">#REF!</definedName>
    <definedName name="SC.CE">#REF!</definedName>
    <definedName name="SC.CEP">#REF!</definedName>
    <definedName name="SCI.CE">#REF!</definedName>
    <definedName name="SCU.CE">#REF!</definedName>
    <definedName name="SE.SE60D.ALLOC.">#REF!</definedName>
    <definedName name="sewer_customers">'[3]Input Schedule'!$C$14</definedName>
    <definedName name="Sewer_distributions_of_costs_to_plant">[9]Input!$B$14</definedName>
    <definedName name="SocSec">'[10]wp-t-Assumptions'!$C$12</definedName>
    <definedName name="SPPRIM">'[1]A-15'!#REF!</definedName>
    <definedName name="SRB">'[1]A-15'!#REF!</definedName>
    <definedName name="State_factor">'[3]Input Schedule'!$D$21</definedName>
    <definedName name="Sub_Names">#REF!</definedName>
    <definedName name="SUI.CE">#REF!</definedName>
    <definedName name="SUMU_U">'[1]A-15'!#REF!</definedName>
    <definedName name="SUTA">'[10]wp-t-Assumptions'!$C$20</definedName>
    <definedName name="SUTALimit">'[10]wp-t-Assumptions'!$C$21</definedName>
    <definedName name="swr_cust_per">'[3]Input Schedule'!$D$14</definedName>
    <definedName name="swr_plt_dep">'[3]Input Schedule'!$D$29</definedName>
    <definedName name="TC.CE">#REF!</definedName>
    <definedName name="Test">'[6]WSC Factor'!$C$4</definedName>
    <definedName name="test_year_end_date">'[3]Input Schedule'!$C$9</definedName>
    <definedName name="TestYr">'[7]General Data'!$C$4</definedName>
    <definedName name="TN.1">#REF!</definedName>
    <definedName name="TN.3">#REF!</definedName>
    <definedName name="TN.5">#REF!</definedName>
    <definedName name="TN.CE">#REF!</definedName>
    <definedName name="TN.CEP">#REF!</definedName>
    <definedName name="TOT.CNC.CE">#REF!</definedName>
    <definedName name="UIF.CE">#REF!</definedName>
    <definedName name="UUC.CE">#REF!</definedName>
    <definedName name="v">'[14]Input Schedule'!$D$39</definedName>
    <definedName name="VA.1">#REF!</definedName>
    <definedName name="VA.3">#REF!</definedName>
    <definedName name="VA.5">#REF!</definedName>
    <definedName name="VA.CE">#REF!</definedName>
    <definedName name="VA.CEP">#REF!</definedName>
    <definedName name="VAL.CE">#REF!</definedName>
    <definedName name="Vehicles_rate">[9]Input!$B$21</definedName>
    <definedName name="WADPRIM">'[1]A-15'!#REF!</definedName>
    <definedName name="water_customer">'[3]Input Schedule'!$C$13</definedName>
    <definedName name="Water_customers">[8]Input!$B$10</definedName>
    <definedName name="Water_distributions_of_costs_to_plant">[9]Input!$B$13</definedName>
    <definedName name="Water_Rates">#REF!</definedName>
    <definedName name="WD.CE">#REF!</definedName>
    <definedName name="WH.CE">#REF!</definedName>
    <definedName name="WPPRIM">'[1]A-15'!#REF!</definedName>
    <definedName name="WRB">'[1]A-15'!#REF!</definedName>
    <definedName name="WSC_factor">'[3]Input Schedule'!$D$18</definedName>
    <definedName name="WSCBSAllocation">[4]Data!$BE$13:$BF$131</definedName>
    <definedName name="wtr_comp_dep">'[3]Input Schedule'!$C$30</definedName>
    <definedName name="wtr_cust_per">'[3]Input Schedule'!$D$13</definedName>
    <definedName name="wtr_plt_dep">'[3]Input Schedule'!$C$29</definedName>
    <definedName name="wtr_vhle_dep">'[3]Input Schedule'!$C$31</definedName>
    <definedName name="WUW.CE">#REF!</definedName>
    <definedName name="WV.CE">#REF!</definedName>
    <definedName name="Year_End_Results_for_1997__1996____1995">#REF!</definedName>
  </definedNames>
  <calcPr calcId="125725"/>
</workbook>
</file>

<file path=xl/calcChain.xml><?xml version="1.0" encoding="utf-8"?>
<calcChain xmlns="http://schemas.openxmlformats.org/spreadsheetml/2006/main">
  <c r="F366" i="2"/>
  <c r="B366"/>
  <c r="R365"/>
  <c r="T365" s="1"/>
  <c r="T366" s="1"/>
  <c r="D365"/>
  <c r="D366" s="1"/>
  <c r="F362"/>
  <c r="D362"/>
  <c r="B362"/>
  <c r="T361"/>
  <c r="T362" s="1"/>
  <c r="T364" s="1"/>
  <c r="R361"/>
  <c r="N361"/>
  <c r="N362" s="1"/>
  <c r="J361"/>
  <c r="J362" s="1"/>
  <c r="D361"/>
  <c r="H355"/>
  <c r="R355" s="1"/>
  <c r="T355" s="1"/>
  <c r="F355"/>
  <c r="P355" s="1"/>
  <c r="H354"/>
  <c r="R354" s="1"/>
  <c r="T354" s="1"/>
  <c r="F354"/>
  <c r="P354" s="1"/>
  <c r="H353"/>
  <c r="R353" s="1"/>
  <c r="T353" s="1"/>
  <c r="F353"/>
  <c r="P353" s="1"/>
  <c r="H352"/>
  <c r="R352" s="1"/>
  <c r="T352" s="1"/>
  <c r="F352"/>
  <c r="F356" s="1"/>
  <c r="H351"/>
  <c r="R351" s="1"/>
  <c r="T351" s="1"/>
  <c r="T356" s="1"/>
  <c r="D351"/>
  <c r="D356" s="1"/>
  <c r="B350"/>
  <c r="B356" s="1"/>
  <c r="H346"/>
  <c r="R346" s="1"/>
  <c r="T346" s="1"/>
  <c r="F346"/>
  <c r="P346" s="1"/>
  <c r="H345"/>
  <c r="R345" s="1"/>
  <c r="T345" s="1"/>
  <c r="F345"/>
  <c r="P345" s="1"/>
  <c r="H344"/>
  <c r="R344" s="1"/>
  <c r="T344" s="1"/>
  <c r="F344"/>
  <c r="P344" s="1"/>
  <c r="H343"/>
  <c r="R343" s="1"/>
  <c r="T343" s="1"/>
  <c r="F343"/>
  <c r="F347" s="1"/>
  <c r="H342"/>
  <c r="R342" s="1"/>
  <c r="T342" s="1"/>
  <c r="T347" s="1"/>
  <c r="T349" s="1"/>
  <c r="D342"/>
  <c r="D347" s="1"/>
  <c r="B341"/>
  <c r="B347" s="1"/>
  <c r="P337"/>
  <c r="J337"/>
  <c r="L337" s="1"/>
  <c r="H337"/>
  <c r="R337" s="1"/>
  <c r="T337" s="1"/>
  <c r="P336"/>
  <c r="J336"/>
  <c r="L336" s="1"/>
  <c r="H336"/>
  <c r="R336" s="1"/>
  <c r="T336" s="1"/>
  <c r="H335"/>
  <c r="R335" s="1"/>
  <c r="T335" s="1"/>
  <c r="F335"/>
  <c r="P335" s="1"/>
  <c r="H334"/>
  <c r="R334" s="1"/>
  <c r="T334" s="1"/>
  <c r="F334"/>
  <c r="F338" s="1"/>
  <c r="H333"/>
  <c r="R333" s="1"/>
  <c r="T333" s="1"/>
  <c r="D333"/>
  <c r="D338" s="1"/>
  <c r="B332"/>
  <c r="B338" s="1"/>
  <c r="H328"/>
  <c r="R328" s="1"/>
  <c r="T328" s="1"/>
  <c r="F328"/>
  <c r="P328" s="1"/>
  <c r="H327"/>
  <c r="R327" s="1"/>
  <c r="T327" s="1"/>
  <c r="F327"/>
  <c r="P327" s="1"/>
  <c r="H326"/>
  <c r="R326" s="1"/>
  <c r="T326" s="1"/>
  <c r="F326"/>
  <c r="P326" s="1"/>
  <c r="H325"/>
  <c r="R325" s="1"/>
  <c r="T325" s="1"/>
  <c r="F325"/>
  <c r="F329" s="1"/>
  <c r="H324"/>
  <c r="R324" s="1"/>
  <c r="T324" s="1"/>
  <c r="T329" s="1"/>
  <c r="T331" s="1"/>
  <c r="D324"/>
  <c r="D329" s="1"/>
  <c r="B323"/>
  <c r="B329" s="1"/>
  <c r="P319"/>
  <c r="J319"/>
  <c r="L319" s="1"/>
  <c r="H319"/>
  <c r="R319" s="1"/>
  <c r="T319" s="1"/>
  <c r="H318"/>
  <c r="R318" s="1"/>
  <c r="T318" s="1"/>
  <c r="F318"/>
  <c r="P318" s="1"/>
  <c r="H317"/>
  <c r="R317" s="1"/>
  <c r="T317" s="1"/>
  <c r="F317"/>
  <c r="P317" s="1"/>
  <c r="H316"/>
  <c r="R316" s="1"/>
  <c r="T316" s="1"/>
  <c r="F316"/>
  <c r="P316" s="1"/>
  <c r="P320" s="1"/>
  <c r="H315"/>
  <c r="R315" s="1"/>
  <c r="T315" s="1"/>
  <c r="D315"/>
  <c r="D320" s="1"/>
  <c r="B314"/>
  <c r="B320" s="1"/>
  <c r="P310"/>
  <c r="H310"/>
  <c r="R310" s="1"/>
  <c r="T310" s="1"/>
  <c r="P309"/>
  <c r="H309"/>
  <c r="R309" s="1"/>
  <c r="T309" s="1"/>
  <c r="P308"/>
  <c r="H308"/>
  <c r="R308" s="1"/>
  <c r="T308" s="1"/>
  <c r="H307"/>
  <c r="R307" s="1"/>
  <c r="T307" s="1"/>
  <c r="F307"/>
  <c r="P307" s="1"/>
  <c r="H306"/>
  <c r="R306" s="1"/>
  <c r="T306" s="1"/>
  <c r="F306"/>
  <c r="F311" s="1"/>
  <c r="H305"/>
  <c r="R305" s="1"/>
  <c r="T305" s="1"/>
  <c r="D305"/>
  <c r="D311" s="1"/>
  <c r="B304"/>
  <c r="B311" s="1"/>
  <c r="P300"/>
  <c r="H300"/>
  <c r="R300" s="1"/>
  <c r="T300" s="1"/>
  <c r="H299"/>
  <c r="R299" s="1"/>
  <c r="T299" s="1"/>
  <c r="F299"/>
  <c r="P299" s="1"/>
  <c r="H298"/>
  <c r="R298" s="1"/>
  <c r="T298" s="1"/>
  <c r="F298"/>
  <c r="P298" s="1"/>
  <c r="H297"/>
  <c r="R297" s="1"/>
  <c r="T297" s="1"/>
  <c r="F297"/>
  <c r="P297" s="1"/>
  <c r="H296"/>
  <c r="R296" s="1"/>
  <c r="T296" s="1"/>
  <c r="F296"/>
  <c r="F301" s="1"/>
  <c r="H295"/>
  <c r="R295" s="1"/>
  <c r="T295" s="1"/>
  <c r="T301" s="1"/>
  <c r="T303" s="1"/>
  <c r="D295"/>
  <c r="D301" s="1"/>
  <c r="B294"/>
  <c r="B301" s="1"/>
  <c r="P290"/>
  <c r="H290"/>
  <c r="R290" s="1"/>
  <c r="T290" s="1"/>
  <c r="H289"/>
  <c r="R289" s="1"/>
  <c r="T289" s="1"/>
  <c r="F289"/>
  <c r="P289" s="1"/>
  <c r="H288"/>
  <c r="R288" s="1"/>
  <c r="T288" s="1"/>
  <c r="F288"/>
  <c r="P288" s="1"/>
  <c r="H287"/>
  <c r="R287" s="1"/>
  <c r="T287" s="1"/>
  <c r="F287"/>
  <c r="P287" s="1"/>
  <c r="H286"/>
  <c r="R286" s="1"/>
  <c r="T286" s="1"/>
  <c r="F286"/>
  <c r="F291" s="1"/>
  <c r="H285"/>
  <c r="R285" s="1"/>
  <c r="T285" s="1"/>
  <c r="D285"/>
  <c r="D291" s="1"/>
  <c r="B284"/>
  <c r="B291" s="1"/>
  <c r="P280"/>
  <c r="H280"/>
  <c r="R280" s="1"/>
  <c r="T280" s="1"/>
  <c r="P279"/>
  <c r="H279"/>
  <c r="R279" s="1"/>
  <c r="T279" s="1"/>
  <c r="P278"/>
  <c r="H278"/>
  <c r="R278" s="1"/>
  <c r="T278" s="1"/>
  <c r="H277"/>
  <c r="R277" s="1"/>
  <c r="T277" s="1"/>
  <c r="F277"/>
  <c r="P277" s="1"/>
  <c r="H276"/>
  <c r="R276" s="1"/>
  <c r="T276" s="1"/>
  <c r="F276"/>
  <c r="F281" s="1"/>
  <c r="H275"/>
  <c r="R275" s="1"/>
  <c r="T275" s="1"/>
  <c r="T281" s="1"/>
  <c r="T283" s="1"/>
  <c r="D275"/>
  <c r="D281" s="1"/>
  <c r="B274"/>
  <c r="B281" s="1"/>
  <c r="P270"/>
  <c r="H270"/>
  <c r="R270" s="1"/>
  <c r="T270" s="1"/>
  <c r="P269"/>
  <c r="H269"/>
  <c r="R269" s="1"/>
  <c r="T269" s="1"/>
  <c r="H268"/>
  <c r="R268" s="1"/>
  <c r="T268" s="1"/>
  <c r="F268"/>
  <c r="P268" s="1"/>
  <c r="H267"/>
  <c r="R267" s="1"/>
  <c r="T267" s="1"/>
  <c r="F267"/>
  <c r="P267" s="1"/>
  <c r="H266"/>
  <c r="R266" s="1"/>
  <c r="T266" s="1"/>
  <c r="F266"/>
  <c r="F271" s="1"/>
  <c r="H265"/>
  <c r="R265" s="1"/>
  <c r="T265" s="1"/>
  <c r="D265"/>
  <c r="N265" s="1"/>
  <c r="N271" s="1"/>
  <c r="B264"/>
  <c r="B271" s="1"/>
  <c r="H260"/>
  <c r="J260" s="1"/>
  <c r="L260" s="1"/>
  <c r="F260"/>
  <c r="P260" s="1"/>
  <c r="H259"/>
  <c r="R259" s="1"/>
  <c r="T259" s="1"/>
  <c r="F259"/>
  <c r="P259" s="1"/>
  <c r="H258"/>
  <c r="J258" s="1"/>
  <c r="L258" s="1"/>
  <c r="F258"/>
  <c r="P258" s="1"/>
  <c r="H257"/>
  <c r="R257" s="1"/>
  <c r="T257" s="1"/>
  <c r="F257"/>
  <c r="P257" s="1"/>
  <c r="H256"/>
  <c r="J256" s="1"/>
  <c r="L256" s="1"/>
  <c r="F256"/>
  <c r="P256" s="1"/>
  <c r="P261" s="1"/>
  <c r="H255"/>
  <c r="R255" s="1"/>
  <c r="T255" s="1"/>
  <c r="D255"/>
  <c r="D261" s="1"/>
  <c r="B254"/>
  <c r="B261" s="1"/>
  <c r="P250"/>
  <c r="H250"/>
  <c r="R250" s="1"/>
  <c r="T250" s="1"/>
  <c r="P249"/>
  <c r="H249"/>
  <c r="R249" s="1"/>
  <c r="T249" s="1"/>
  <c r="P248"/>
  <c r="H248"/>
  <c r="R248" s="1"/>
  <c r="T248" s="1"/>
  <c r="P247"/>
  <c r="H247"/>
  <c r="R247" s="1"/>
  <c r="T247" s="1"/>
  <c r="H246"/>
  <c r="R246" s="1"/>
  <c r="T246" s="1"/>
  <c r="F246"/>
  <c r="F251" s="1"/>
  <c r="H245"/>
  <c r="R245" s="1"/>
  <c r="T245" s="1"/>
  <c r="T251" s="1"/>
  <c r="T253" s="1"/>
  <c r="D245"/>
  <c r="D251" s="1"/>
  <c r="B244"/>
  <c r="B251" s="1"/>
  <c r="P240"/>
  <c r="H240"/>
  <c r="R240" s="1"/>
  <c r="T240" s="1"/>
  <c r="P239"/>
  <c r="H239"/>
  <c r="R239" s="1"/>
  <c r="T239" s="1"/>
  <c r="P238"/>
  <c r="H238"/>
  <c r="R238" s="1"/>
  <c r="T238" s="1"/>
  <c r="H237"/>
  <c r="R237" s="1"/>
  <c r="T237" s="1"/>
  <c r="F237"/>
  <c r="P237" s="1"/>
  <c r="H236"/>
  <c r="R236" s="1"/>
  <c r="T236" s="1"/>
  <c r="F236"/>
  <c r="F241" s="1"/>
  <c r="H235"/>
  <c r="R235" s="1"/>
  <c r="T235" s="1"/>
  <c r="T241" s="1"/>
  <c r="T243" s="1"/>
  <c r="D235"/>
  <c r="D241" s="1"/>
  <c r="B234"/>
  <c r="B241" s="1"/>
  <c r="B231"/>
  <c r="P230"/>
  <c r="H230"/>
  <c r="R230" s="1"/>
  <c r="T230" s="1"/>
  <c r="P229"/>
  <c r="H229"/>
  <c r="R229" s="1"/>
  <c r="T229" s="1"/>
  <c r="H228"/>
  <c r="R228" s="1"/>
  <c r="T228" s="1"/>
  <c r="F228"/>
  <c r="P228" s="1"/>
  <c r="H227"/>
  <c r="R227" s="1"/>
  <c r="T227" s="1"/>
  <c r="F227"/>
  <c r="F231" s="1"/>
  <c r="H226"/>
  <c r="R226" s="1"/>
  <c r="T226" s="1"/>
  <c r="F226"/>
  <c r="P226" s="1"/>
  <c r="H225"/>
  <c r="R225" s="1"/>
  <c r="T225" s="1"/>
  <c r="T231" s="1"/>
  <c r="D225"/>
  <c r="N225" s="1"/>
  <c r="N231" s="1"/>
  <c r="B224"/>
  <c r="F217"/>
  <c r="B217"/>
  <c r="R216"/>
  <c r="T216" s="1"/>
  <c r="T217" s="1"/>
  <c r="D216"/>
  <c r="D217" s="1"/>
  <c r="F212"/>
  <c r="D212"/>
  <c r="B212"/>
  <c r="T211"/>
  <c r="T212" s="1"/>
  <c r="T214" s="1"/>
  <c r="R211"/>
  <c r="N211"/>
  <c r="N212" s="1"/>
  <c r="J211"/>
  <c r="J212" s="1"/>
  <c r="D211"/>
  <c r="D207"/>
  <c r="H206"/>
  <c r="R206" s="1"/>
  <c r="T206" s="1"/>
  <c r="F206"/>
  <c r="P206" s="1"/>
  <c r="P207" s="1"/>
  <c r="H205"/>
  <c r="R205" s="1"/>
  <c r="T205" s="1"/>
  <c r="T207" s="1"/>
  <c r="T209" s="1"/>
  <c r="D205"/>
  <c r="N205" s="1"/>
  <c r="N207" s="1"/>
  <c r="B204"/>
  <c r="B207" s="1"/>
  <c r="P201"/>
  <c r="F201"/>
  <c r="P200"/>
  <c r="H200"/>
  <c r="R200" s="1"/>
  <c r="T200" s="1"/>
  <c r="H199"/>
  <c r="R199" s="1"/>
  <c r="T199" s="1"/>
  <c r="T201" s="1"/>
  <c r="T203" s="1"/>
  <c r="D199"/>
  <c r="D201" s="1"/>
  <c r="B198"/>
  <c r="B201" s="1"/>
  <c r="F195"/>
  <c r="B195"/>
  <c r="H194"/>
  <c r="R194" s="1"/>
  <c r="T194" s="1"/>
  <c r="F194"/>
  <c r="P194" s="1"/>
  <c r="P195" s="1"/>
  <c r="H193"/>
  <c r="R193" s="1"/>
  <c r="T193" s="1"/>
  <c r="T195" s="1"/>
  <c r="D193"/>
  <c r="N193" s="1"/>
  <c r="N195" s="1"/>
  <c r="B192"/>
  <c r="F189"/>
  <c r="P188"/>
  <c r="P189" s="1"/>
  <c r="J188"/>
  <c r="L188" s="1"/>
  <c r="H188"/>
  <c r="R188" s="1"/>
  <c r="T188" s="1"/>
  <c r="H187"/>
  <c r="R187" s="1"/>
  <c r="T187" s="1"/>
  <c r="T189" s="1"/>
  <c r="T191" s="1"/>
  <c r="D187"/>
  <c r="D189" s="1"/>
  <c r="B186"/>
  <c r="B189" s="1"/>
  <c r="D183"/>
  <c r="H182"/>
  <c r="R182" s="1"/>
  <c r="T182" s="1"/>
  <c r="F182"/>
  <c r="P182" s="1"/>
  <c r="P183" s="1"/>
  <c r="H181"/>
  <c r="R181" s="1"/>
  <c r="T181" s="1"/>
  <c r="T183" s="1"/>
  <c r="T185" s="1"/>
  <c r="D181"/>
  <c r="N181" s="1"/>
  <c r="N183" s="1"/>
  <c r="B180"/>
  <c r="B183" s="1"/>
  <c r="H176"/>
  <c r="R176" s="1"/>
  <c r="T176" s="1"/>
  <c r="F176"/>
  <c r="P176" s="1"/>
  <c r="H175"/>
  <c r="R175" s="1"/>
  <c r="T175" s="1"/>
  <c r="F175"/>
  <c r="F177" s="1"/>
  <c r="H174"/>
  <c r="R174" s="1"/>
  <c r="T174" s="1"/>
  <c r="T177" s="1"/>
  <c r="D174"/>
  <c r="D177" s="1"/>
  <c r="B173"/>
  <c r="B177" s="1"/>
  <c r="H169"/>
  <c r="R169" s="1"/>
  <c r="T169" s="1"/>
  <c r="F169"/>
  <c r="P169" s="1"/>
  <c r="H168"/>
  <c r="R168" s="1"/>
  <c r="T168" s="1"/>
  <c r="F168"/>
  <c r="F170" s="1"/>
  <c r="H167"/>
  <c r="R167" s="1"/>
  <c r="T167" s="1"/>
  <c r="T170" s="1"/>
  <c r="T172" s="1"/>
  <c r="D167"/>
  <c r="D170" s="1"/>
  <c r="B166"/>
  <c r="B170" s="1"/>
  <c r="H162"/>
  <c r="R162" s="1"/>
  <c r="T162" s="1"/>
  <c r="F162"/>
  <c r="P162" s="1"/>
  <c r="H161"/>
  <c r="R161" s="1"/>
  <c r="T161" s="1"/>
  <c r="F161"/>
  <c r="F163" s="1"/>
  <c r="H160"/>
  <c r="R160" s="1"/>
  <c r="T160" s="1"/>
  <c r="T163" s="1"/>
  <c r="D160"/>
  <c r="D163" s="1"/>
  <c r="B159"/>
  <c r="B163" s="1"/>
  <c r="R155"/>
  <c r="H154"/>
  <c r="R154" s="1"/>
  <c r="T154" s="1"/>
  <c r="F154"/>
  <c r="P154" s="1"/>
  <c r="H153"/>
  <c r="R153" s="1"/>
  <c r="T153" s="1"/>
  <c r="F153"/>
  <c r="P153" s="1"/>
  <c r="H152"/>
  <c r="R152" s="1"/>
  <c r="T152" s="1"/>
  <c r="F152"/>
  <c r="P152" s="1"/>
  <c r="H151"/>
  <c r="R151" s="1"/>
  <c r="T151" s="1"/>
  <c r="F151"/>
  <c r="F155" s="1"/>
  <c r="H150"/>
  <c r="R150" s="1"/>
  <c r="T150" s="1"/>
  <c r="T155" s="1"/>
  <c r="D150"/>
  <c r="D155" s="1"/>
  <c r="B149"/>
  <c r="B155" s="1"/>
  <c r="R146"/>
  <c r="H145"/>
  <c r="R145" s="1"/>
  <c r="T145" s="1"/>
  <c r="F145"/>
  <c r="P145" s="1"/>
  <c r="H144"/>
  <c r="R144" s="1"/>
  <c r="T144" s="1"/>
  <c r="F144"/>
  <c r="P144" s="1"/>
  <c r="H143"/>
  <c r="R143" s="1"/>
  <c r="T143" s="1"/>
  <c r="F143"/>
  <c r="P143" s="1"/>
  <c r="H142"/>
  <c r="R142" s="1"/>
  <c r="T142" s="1"/>
  <c r="F142"/>
  <c r="F146" s="1"/>
  <c r="H141"/>
  <c r="R141" s="1"/>
  <c r="T141" s="1"/>
  <c r="T146" s="1"/>
  <c r="D141"/>
  <c r="D146" s="1"/>
  <c r="B140"/>
  <c r="B146" s="1"/>
  <c r="R137"/>
  <c r="H136"/>
  <c r="R136" s="1"/>
  <c r="T136" s="1"/>
  <c r="F136"/>
  <c r="P136" s="1"/>
  <c r="H135"/>
  <c r="R135" s="1"/>
  <c r="T135" s="1"/>
  <c r="F135"/>
  <c r="P135" s="1"/>
  <c r="H134"/>
  <c r="R134" s="1"/>
  <c r="T134" s="1"/>
  <c r="F134"/>
  <c r="P134" s="1"/>
  <c r="H133"/>
  <c r="R133" s="1"/>
  <c r="T133" s="1"/>
  <c r="F133"/>
  <c r="F137" s="1"/>
  <c r="H132"/>
  <c r="R132" s="1"/>
  <c r="T132" s="1"/>
  <c r="T137" s="1"/>
  <c r="T139" s="1"/>
  <c r="D132"/>
  <c r="D137" s="1"/>
  <c r="B131"/>
  <c r="B137" s="1"/>
  <c r="R128"/>
  <c r="H127"/>
  <c r="R127" s="1"/>
  <c r="T127" s="1"/>
  <c r="F127"/>
  <c r="P127" s="1"/>
  <c r="H126"/>
  <c r="R126" s="1"/>
  <c r="T126" s="1"/>
  <c r="F126"/>
  <c r="P126" s="1"/>
  <c r="H125"/>
  <c r="R125" s="1"/>
  <c r="T125" s="1"/>
  <c r="F125"/>
  <c r="P125" s="1"/>
  <c r="H124"/>
  <c r="R124" s="1"/>
  <c r="T124" s="1"/>
  <c r="F124"/>
  <c r="F128" s="1"/>
  <c r="H123"/>
  <c r="R123" s="1"/>
  <c r="T123" s="1"/>
  <c r="T128" s="1"/>
  <c r="T130" s="1"/>
  <c r="D123"/>
  <c r="D128" s="1"/>
  <c r="B122"/>
  <c r="B128" s="1"/>
  <c r="R119"/>
  <c r="H118"/>
  <c r="R118" s="1"/>
  <c r="T118" s="1"/>
  <c r="F118"/>
  <c r="P118" s="1"/>
  <c r="H117"/>
  <c r="R117" s="1"/>
  <c r="T117" s="1"/>
  <c r="F117"/>
  <c r="P117" s="1"/>
  <c r="H116"/>
  <c r="R116" s="1"/>
  <c r="T116" s="1"/>
  <c r="F116"/>
  <c r="P116" s="1"/>
  <c r="H115"/>
  <c r="R115" s="1"/>
  <c r="T115" s="1"/>
  <c r="F115"/>
  <c r="F119" s="1"/>
  <c r="H114"/>
  <c r="R114" s="1"/>
  <c r="T114" s="1"/>
  <c r="T119" s="1"/>
  <c r="T121" s="1"/>
  <c r="D114"/>
  <c r="D119" s="1"/>
  <c r="B113"/>
  <c r="B119" s="1"/>
  <c r="R110"/>
  <c r="H109"/>
  <c r="R109" s="1"/>
  <c r="T109" s="1"/>
  <c r="F109"/>
  <c r="P109" s="1"/>
  <c r="H108"/>
  <c r="J108" s="1"/>
  <c r="L108" s="1"/>
  <c r="F108"/>
  <c r="P108" s="1"/>
  <c r="H107"/>
  <c r="R107" s="1"/>
  <c r="T107" s="1"/>
  <c r="F107"/>
  <c r="P107" s="1"/>
  <c r="P106"/>
  <c r="P110" s="1"/>
  <c r="H106"/>
  <c r="R106" s="1"/>
  <c r="T106" s="1"/>
  <c r="F106"/>
  <c r="F110" s="1"/>
  <c r="H105"/>
  <c r="R105" s="1"/>
  <c r="T105" s="1"/>
  <c r="D105"/>
  <c r="D110" s="1"/>
  <c r="B104"/>
  <c r="B110" s="1"/>
  <c r="H99"/>
  <c r="R99" s="1"/>
  <c r="T99" s="1"/>
  <c r="F99"/>
  <c r="P99" s="1"/>
  <c r="H98"/>
  <c r="J98" s="1"/>
  <c r="L98" s="1"/>
  <c r="F98"/>
  <c r="P98" s="1"/>
  <c r="H97"/>
  <c r="R97" s="1"/>
  <c r="T97" s="1"/>
  <c r="F97"/>
  <c r="P97" s="1"/>
  <c r="H96"/>
  <c r="J96" s="1"/>
  <c r="L96" s="1"/>
  <c r="F96"/>
  <c r="P96" s="1"/>
  <c r="H95"/>
  <c r="R95" s="1"/>
  <c r="T95" s="1"/>
  <c r="F95"/>
  <c r="F100" s="1"/>
  <c r="H94"/>
  <c r="J94" s="1"/>
  <c r="D94"/>
  <c r="N94" s="1"/>
  <c r="N100" s="1"/>
  <c r="B93"/>
  <c r="B100" s="1"/>
  <c r="H89"/>
  <c r="J89" s="1"/>
  <c r="L89" s="1"/>
  <c r="F89"/>
  <c r="P89" s="1"/>
  <c r="H88"/>
  <c r="R88" s="1"/>
  <c r="T88" s="1"/>
  <c r="F88"/>
  <c r="P88" s="1"/>
  <c r="H87"/>
  <c r="J87" s="1"/>
  <c r="L87" s="1"/>
  <c r="F87"/>
  <c r="P87" s="1"/>
  <c r="H86"/>
  <c r="R86" s="1"/>
  <c r="T86" s="1"/>
  <c r="F86"/>
  <c r="P86" s="1"/>
  <c r="H85"/>
  <c r="J85" s="1"/>
  <c r="L85" s="1"/>
  <c r="F85"/>
  <c r="P85" s="1"/>
  <c r="P90" s="1"/>
  <c r="H84"/>
  <c r="R84" s="1"/>
  <c r="T84" s="1"/>
  <c r="D84"/>
  <c r="D90" s="1"/>
  <c r="B83"/>
  <c r="B90" s="1"/>
  <c r="H79"/>
  <c r="R79" s="1"/>
  <c r="T79" s="1"/>
  <c r="F79"/>
  <c r="P79" s="1"/>
  <c r="H78"/>
  <c r="J78" s="1"/>
  <c r="L78" s="1"/>
  <c r="F78"/>
  <c r="P78" s="1"/>
  <c r="H77"/>
  <c r="R77" s="1"/>
  <c r="T77" s="1"/>
  <c r="F77"/>
  <c r="P77" s="1"/>
  <c r="H76"/>
  <c r="R76" s="1"/>
  <c r="T76" s="1"/>
  <c r="F76"/>
  <c r="P76" s="1"/>
  <c r="H75"/>
  <c r="R75" s="1"/>
  <c r="T75" s="1"/>
  <c r="F75"/>
  <c r="F80" s="1"/>
  <c r="H74"/>
  <c r="R74" s="1"/>
  <c r="T74" s="1"/>
  <c r="D74"/>
  <c r="N74" s="1"/>
  <c r="N80" s="1"/>
  <c r="B73"/>
  <c r="B80" s="1"/>
  <c r="H69"/>
  <c r="J69" s="1"/>
  <c r="L69" s="1"/>
  <c r="F69"/>
  <c r="P69" s="1"/>
  <c r="H68"/>
  <c r="R68" s="1"/>
  <c r="T68" s="1"/>
  <c r="F68"/>
  <c r="P68" s="1"/>
  <c r="H67"/>
  <c r="R67" s="1"/>
  <c r="T67" s="1"/>
  <c r="F67"/>
  <c r="P67" s="1"/>
  <c r="H66"/>
  <c r="R66" s="1"/>
  <c r="T66" s="1"/>
  <c r="F66"/>
  <c r="P66" s="1"/>
  <c r="H65"/>
  <c r="R65" s="1"/>
  <c r="T65" s="1"/>
  <c r="F65"/>
  <c r="P65" s="1"/>
  <c r="P70" s="1"/>
  <c r="H64"/>
  <c r="R64" s="1"/>
  <c r="T64" s="1"/>
  <c r="D64"/>
  <c r="D70" s="1"/>
  <c r="B63"/>
  <c r="B70" s="1"/>
  <c r="H59"/>
  <c r="J59" s="1"/>
  <c r="L59" s="1"/>
  <c r="F59"/>
  <c r="P59" s="1"/>
  <c r="H58"/>
  <c r="R58" s="1"/>
  <c r="T58" s="1"/>
  <c r="F58"/>
  <c r="P58" s="1"/>
  <c r="H57"/>
  <c r="R57" s="1"/>
  <c r="T57" s="1"/>
  <c r="F57"/>
  <c r="P57" s="1"/>
  <c r="H56"/>
  <c r="R56" s="1"/>
  <c r="T56" s="1"/>
  <c r="F56"/>
  <c r="P56" s="1"/>
  <c r="H55"/>
  <c r="R55" s="1"/>
  <c r="T55" s="1"/>
  <c r="F55"/>
  <c r="P55" s="1"/>
  <c r="P60" s="1"/>
  <c r="H54"/>
  <c r="R54" s="1"/>
  <c r="T54" s="1"/>
  <c r="D54"/>
  <c r="D60" s="1"/>
  <c r="B53"/>
  <c r="B60" s="1"/>
  <c r="H49"/>
  <c r="J49" s="1"/>
  <c r="L49" s="1"/>
  <c r="F49"/>
  <c r="P49" s="1"/>
  <c r="H48"/>
  <c r="R48" s="1"/>
  <c r="T48" s="1"/>
  <c r="F48"/>
  <c r="P48" s="1"/>
  <c r="H47"/>
  <c r="R47" s="1"/>
  <c r="T47" s="1"/>
  <c r="F47"/>
  <c r="P47" s="1"/>
  <c r="H46"/>
  <c r="R46" s="1"/>
  <c r="T46" s="1"/>
  <c r="F46"/>
  <c r="P46" s="1"/>
  <c r="H45"/>
  <c r="R45" s="1"/>
  <c r="T45" s="1"/>
  <c r="F45"/>
  <c r="P45" s="1"/>
  <c r="P50" s="1"/>
  <c r="H44"/>
  <c r="R44" s="1"/>
  <c r="T44" s="1"/>
  <c r="D44"/>
  <c r="D50" s="1"/>
  <c r="B43"/>
  <c r="B50" s="1"/>
  <c r="H39"/>
  <c r="J39" s="1"/>
  <c r="L39" s="1"/>
  <c r="F39"/>
  <c r="P39" s="1"/>
  <c r="H38"/>
  <c r="R38" s="1"/>
  <c r="T38" s="1"/>
  <c r="F38"/>
  <c r="P38" s="1"/>
  <c r="H37"/>
  <c r="J37" s="1"/>
  <c r="L37" s="1"/>
  <c r="F37"/>
  <c r="P37" s="1"/>
  <c r="H36"/>
  <c r="R36" s="1"/>
  <c r="T36" s="1"/>
  <c r="F36"/>
  <c r="P36" s="1"/>
  <c r="H35"/>
  <c r="R35" s="1"/>
  <c r="T35" s="1"/>
  <c r="F35"/>
  <c r="P35" s="1"/>
  <c r="P40" s="1"/>
  <c r="H34"/>
  <c r="R34" s="1"/>
  <c r="T34" s="1"/>
  <c r="D34"/>
  <c r="D40" s="1"/>
  <c r="B33"/>
  <c r="B40" s="1"/>
  <c r="H29"/>
  <c r="J29" s="1"/>
  <c r="L29" s="1"/>
  <c r="F29"/>
  <c r="P29" s="1"/>
  <c r="H28"/>
  <c r="R28" s="1"/>
  <c r="T28" s="1"/>
  <c r="F28"/>
  <c r="P28" s="1"/>
  <c r="H27"/>
  <c r="J27" s="1"/>
  <c r="L27" s="1"/>
  <c r="F27"/>
  <c r="P27" s="1"/>
  <c r="H26"/>
  <c r="R26" s="1"/>
  <c r="T26" s="1"/>
  <c r="F26"/>
  <c r="P26" s="1"/>
  <c r="H25"/>
  <c r="R25" s="1"/>
  <c r="T25" s="1"/>
  <c r="F25"/>
  <c r="P25" s="1"/>
  <c r="P30" s="1"/>
  <c r="H24"/>
  <c r="R24" s="1"/>
  <c r="T24" s="1"/>
  <c r="D24"/>
  <c r="D30" s="1"/>
  <c r="B23"/>
  <c r="B30" s="1"/>
  <c r="H19"/>
  <c r="J19" s="1"/>
  <c r="L19" s="1"/>
  <c r="F19"/>
  <c r="P19" s="1"/>
  <c r="H18"/>
  <c r="R18" s="1"/>
  <c r="T18" s="1"/>
  <c r="F18"/>
  <c r="P18" s="1"/>
  <c r="H17"/>
  <c r="J17" s="1"/>
  <c r="L17" s="1"/>
  <c r="F17"/>
  <c r="P17" s="1"/>
  <c r="H16"/>
  <c r="R16" s="1"/>
  <c r="T16" s="1"/>
  <c r="F16"/>
  <c r="P16" s="1"/>
  <c r="H15"/>
  <c r="J15" s="1"/>
  <c r="L15" s="1"/>
  <c r="F15"/>
  <c r="F20" s="1"/>
  <c r="H14"/>
  <c r="R14" s="1"/>
  <c r="T14" s="1"/>
  <c r="D14"/>
  <c r="D20" s="1"/>
  <c r="B13"/>
  <c r="B20" s="1"/>
  <c r="W7"/>
  <c r="L94" l="1"/>
  <c r="J14"/>
  <c r="N14"/>
  <c r="N20" s="1"/>
  <c r="R15"/>
  <c r="T15" s="1"/>
  <c r="T20" s="1"/>
  <c r="J16"/>
  <c r="L16" s="1"/>
  <c r="R17"/>
  <c r="T17" s="1"/>
  <c r="J18"/>
  <c r="L18" s="1"/>
  <c r="R19"/>
  <c r="T19" s="1"/>
  <c r="J24"/>
  <c r="N24"/>
  <c r="N30" s="1"/>
  <c r="J26"/>
  <c r="L26" s="1"/>
  <c r="R27"/>
  <c r="T27" s="1"/>
  <c r="J28"/>
  <c r="L28" s="1"/>
  <c r="R29"/>
  <c r="T29" s="1"/>
  <c r="T30" s="1"/>
  <c r="T32" s="1"/>
  <c r="F30"/>
  <c r="J34"/>
  <c r="N34"/>
  <c r="N40" s="1"/>
  <c r="J36"/>
  <c r="L36" s="1"/>
  <c r="R37"/>
  <c r="T37" s="1"/>
  <c r="T40" s="1"/>
  <c r="T42" s="1"/>
  <c r="J38"/>
  <c r="L38" s="1"/>
  <c r="R39"/>
  <c r="T39" s="1"/>
  <c r="F40"/>
  <c r="J44"/>
  <c r="N44"/>
  <c r="N50" s="1"/>
  <c r="J46"/>
  <c r="L46" s="1"/>
  <c r="J48"/>
  <c r="L48" s="1"/>
  <c r="R49"/>
  <c r="T49" s="1"/>
  <c r="T50" s="1"/>
  <c r="T52" s="1"/>
  <c r="F50"/>
  <c r="J54"/>
  <c r="N54"/>
  <c r="N60" s="1"/>
  <c r="J56"/>
  <c r="L56" s="1"/>
  <c r="J58"/>
  <c r="L58" s="1"/>
  <c r="R59"/>
  <c r="T59" s="1"/>
  <c r="T60" s="1"/>
  <c r="T62" s="1"/>
  <c r="F60"/>
  <c r="J64"/>
  <c r="N64"/>
  <c r="N70" s="1"/>
  <c r="J66"/>
  <c r="L66" s="1"/>
  <c r="J68"/>
  <c r="L68" s="1"/>
  <c r="R69"/>
  <c r="T69" s="1"/>
  <c r="T70" s="1"/>
  <c r="T72" s="1"/>
  <c r="F70"/>
  <c r="J75"/>
  <c r="L75" s="1"/>
  <c r="P75"/>
  <c r="P80" s="1"/>
  <c r="J77"/>
  <c r="L77" s="1"/>
  <c r="R78"/>
  <c r="T78" s="1"/>
  <c r="T80" s="1"/>
  <c r="J79"/>
  <c r="L79" s="1"/>
  <c r="D80"/>
  <c r="J84"/>
  <c r="N84"/>
  <c r="N90" s="1"/>
  <c r="R85"/>
  <c r="T85" s="1"/>
  <c r="T90" s="1"/>
  <c r="J86"/>
  <c r="L86" s="1"/>
  <c r="R87"/>
  <c r="T87" s="1"/>
  <c r="J88"/>
  <c r="L88" s="1"/>
  <c r="R89"/>
  <c r="T89" s="1"/>
  <c r="F90"/>
  <c r="R94"/>
  <c r="T94" s="1"/>
  <c r="T100" s="1"/>
  <c r="T102" s="1"/>
  <c r="J95"/>
  <c r="L95" s="1"/>
  <c r="P95"/>
  <c r="P100" s="1"/>
  <c r="R96"/>
  <c r="T96" s="1"/>
  <c r="J97"/>
  <c r="L97" s="1"/>
  <c r="R98"/>
  <c r="T98" s="1"/>
  <c r="J99"/>
  <c r="L99" s="1"/>
  <c r="D100"/>
  <c r="J105"/>
  <c r="N105"/>
  <c r="N110" s="1"/>
  <c r="T148"/>
  <c r="T157"/>
  <c r="T165"/>
  <c r="T179"/>
  <c r="B221"/>
  <c r="T219"/>
  <c r="P15"/>
  <c r="P20" s="1"/>
  <c r="J25"/>
  <c r="L25" s="1"/>
  <c r="J35"/>
  <c r="L35" s="1"/>
  <c r="J45"/>
  <c r="L45" s="1"/>
  <c r="J47"/>
  <c r="L47" s="1"/>
  <c r="J55"/>
  <c r="L55" s="1"/>
  <c r="J57"/>
  <c r="L57" s="1"/>
  <c r="J65"/>
  <c r="L65" s="1"/>
  <c r="J67"/>
  <c r="L67" s="1"/>
  <c r="J74"/>
  <c r="J76"/>
  <c r="L76" s="1"/>
  <c r="J106"/>
  <c r="L106" s="1"/>
  <c r="T368"/>
  <c r="J107"/>
  <c r="L107" s="1"/>
  <c r="R108"/>
  <c r="T108" s="1"/>
  <c r="T110" s="1"/>
  <c r="J109"/>
  <c r="L109" s="1"/>
  <c r="J115"/>
  <c r="L115" s="1"/>
  <c r="P115"/>
  <c r="P119" s="1"/>
  <c r="J117"/>
  <c r="L117" s="1"/>
  <c r="J123"/>
  <c r="N123"/>
  <c r="N128" s="1"/>
  <c r="J125"/>
  <c r="L125" s="1"/>
  <c r="J127"/>
  <c r="L127" s="1"/>
  <c r="J133"/>
  <c r="L133" s="1"/>
  <c r="P133"/>
  <c r="P137" s="1"/>
  <c r="J135"/>
  <c r="L135" s="1"/>
  <c r="J141"/>
  <c r="N141"/>
  <c r="N146" s="1"/>
  <c r="J143"/>
  <c r="L143" s="1"/>
  <c r="J145"/>
  <c r="L145" s="1"/>
  <c r="J151"/>
  <c r="L151" s="1"/>
  <c r="P151"/>
  <c r="P155" s="1"/>
  <c r="J153"/>
  <c r="L153" s="1"/>
  <c r="J160"/>
  <c r="N160"/>
  <c r="N163" s="1"/>
  <c r="J162"/>
  <c r="L162" s="1"/>
  <c r="J167"/>
  <c r="N167"/>
  <c r="N170" s="1"/>
  <c r="J169"/>
  <c r="L169" s="1"/>
  <c r="J174"/>
  <c r="N174"/>
  <c r="N177" s="1"/>
  <c r="J176"/>
  <c r="L176" s="1"/>
  <c r="J181"/>
  <c r="F183"/>
  <c r="J194"/>
  <c r="L194" s="1"/>
  <c r="D195"/>
  <c r="D221" s="1"/>
  <c r="J199"/>
  <c r="N199"/>
  <c r="N201" s="1"/>
  <c r="J200"/>
  <c r="L200" s="1"/>
  <c r="J205"/>
  <c r="F207"/>
  <c r="F221" s="1"/>
  <c r="L211"/>
  <c r="L212" s="1"/>
  <c r="L214" s="1"/>
  <c r="J216"/>
  <c r="N216"/>
  <c r="N217" s="1"/>
  <c r="J226"/>
  <c r="L226" s="1"/>
  <c r="J228"/>
  <c r="L228" s="1"/>
  <c r="J229"/>
  <c r="L229" s="1"/>
  <c r="J230"/>
  <c r="L230" s="1"/>
  <c r="D231"/>
  <c r="T233" s="1"/>
  <c r="J235"/>
  <c r="N235"/>
  <c r="N241" s="1"/>
  <c r="J237"/>
  <c r="L237" s="1"/>
  <c r="J238"/>
  <c r="L238" s="1"/>
  <c r="J239"/>
  <c r="L239" s="1"/>
  <c r="J240"/>
  <c r="L240" s="1"/>
  <c r="J245"/>
  <c r="N245"/>
  <c r="N251" s="1"/>
  <c r="T271"/>
  <c r="T291"/>
  <c r="T293" s="1"/>
  <c r="T311"/>
  <c r="T313" s="1"/>
  <c r="T338"/>
  <c r="T340" s="1"/>
  <c r="T358"/>
  <c r="J114"/>
  <c r="N114"/>
  <c r="N119" s="1"/>
  <c r="J116"/>
  <c r="L116" s="1"/>
  <c r="J118"/>
  <c r="L118" s="1"/>
  <c r="J124"/>
  <c r="L124" s="1"/>
  <c r="P124"/>
  <c r="P128" s="1"/>
  <c r="J126"/>
  <c r="L126" s="1"/>
  <c r="J132"/>
  <c r="N132"/>
  <c r="N137" s="1"/>
  <c r="J134"/>
  <c r="L134" s="1"/>
  <c r="J136"/>
  <c r="L136" s="1"/>
  <c r="J142"/>
  <c r="L142" s="1"/>
  <c r="P142"/>
  <c r="P146" s="1"/>
  <c r="J144"/>
  <c r="L144" s="1"/>
  <c r="J150"/>
  <c r="N150"/>
  <c r="N155" s="1"/>
  <c r="J152"/>
  <c r="L152" s="1"/>
  <c r="J154"/>
  <c r="L154" s="1"/>
  <c r="J161"/>
  <c r="L161" s="1"/>
  <c r="P161"/>
  <c r="P163" s="1"/>
  <c r="J168"/>
  <c r="L168" s="1"/>
  <c r="P168"/>
  <c r="P170" s="1"/>
  <c r="J175"/>
  <c r="L175" s="1"/>
  <c r="P175"/>
  <c r="P177" s="1"/>
  <c r="P221" s="1"/>
  <c r="J182"/>
  <c r="L182" s="1"/>
  <c r="J187"/>
  <c r="N187"/>
  <c r="N189" s="1"/>
  <c r="J193"/>
  <c r="J206"/>
  <c r="L206" s="1"/>
  <c r="J225"/>
  <c r="J227"/>
  <c r="L227" s="1"/>
  <c r="P227"/>
  <c r="P231" s="1"/>
  <c r="J236"/>
  <c r="L236" s="1"/>
  <c r="P236"/>
  <c r="P241" s="1"/>
  <c r="B370"/>
  <c r="B373" s="1"/>
  <c r="J246"/>
  <c r="L246" s="1"/>
  <c r="P246"/>
  <c r="P251" s="1"/>
  <c r="J247"/>
  <c r="L247" s="1"/>
  <c r="J248"/>
  <c r="L248" s="1"/>
  <c r="J249"/>
  <c r="L249" s="1"/>
  <c r="J250"/>
  <c r="L250" s="1"/>
  <c r="J255"/>
  <c r="N255"/>
  <c r="N261" s="1"/>
  <c r="R256"/>
  <c r="T256" s="1"/>
  <c r="T261" s="1"/>
  <c r="T263" s="1"/>
  <c r="J257"/>
  <c r="L257" s="1"/>
  <c r="R258"/>
  <c r="T258" s="1"/>
  <c r="J259"/>
  <c r="L259" s="1"/>
  <c r="R260"/>
  <c r="T260" s="1"/>
  <c r="F261"/>
  <c r="J266"/>
  <c r="L266" s="1"/>
  <c r="P266"/>
  <c r="P271" s="1"/>
  <c r="J268"/>
  <c r="L268" s="1"/>
  <c r="J269"/>
  <c r="L269" s="1"/>
  <c r="J270"/>
  <c r="L270" s="1"/>
  <c r="D271"/>
  <c r="D370" s="1"/>
  <c r="D373" s="1"/>
  <c r="J275"/>
  <c r="N275"/>
  <c r="N281" s="1"/>
  <c r="J277"/>
  <c r="L277" s="1"/>
  <c r="J278"/>
  <c r="L278" s="1"/>
  <c r="J279"/>
  <c r="L279" s="1"/>
  <c r="J280"/>
  <c r="L280" s="1"/>
  <c r="J285"/>
  <c r="N285"/>
  <c r="N291" s="1"/>
  <c r="J287"/>
  <c r="L287" s="1"/>
  <c r="J289"/>
  <c r="L289" s="1"/>
  <c r="J290"/>
  <c r="L290" s="1"/>
  <c r="J295"/>
  <c r="N295"/>
  <c r="N301" s="1"/>
  <c r="J297"/>
  <c r="L297" s="1"/>
  <c r="J299"/>
  <c r="L299" s="1"/>
  <c r="J300"/>
  <c r="L300" s="1"/>
  <c r="J305"/>
  <c r="N305"/>
  <c r="N311" s="1"/>
  <c r="J307"/>
  <c r="L307" s="1"/>
  <c r="J308"/>
  <c r="L308" s="1"/>
  <c r="J309"/>
  <c r="L309" s="1"/>
  <c r="J310"/>
  <c r="L310" s="1"/>
  <c r="J315"/>
  <c r="N315"/>
  <c r="N320" s="1"/>
  <c r="J317"/>
  <c r="L317" s="1"/>
  <c r="F320"/>
  <c r="T320" s="1"/>
  <c r="T322" s="1"/>
  <c r="J325"/>
  <c r="L325" s="1"/>
  <c r="P325"/>
  <c r="P329" s="1"/>
  <c r="J327"/>
  <c r="L327" s="1"/>
  <c r="J334"/>
  <c r="L334" s="1"/>
  <c r="P334"/>
  <c r="P338" s="1"/>
  <c r="J343"/>
  <c r="L343" s="1"/>
  <c r="P343"/>
  <c r="P347" s="1"/>
  <c r="J345"/>
  <c r="L345" s="1"/>
  <c r="J352"/>
  <c r="L352" s="1"/>
  <c r="P352"/>
  <c r="P356" s="1"/>
  <c r="J354"/>
  <c r="L354" s="1"/>
  <c r="L361"/>
  <c r="L362" s="1"/>
  <c r="L364" s="1"/>
  <c r="J365"/>
  <c r="N365"/>
  <c r="N366" s="1"/>
  <c r="J265"/>
  <c r="J267"/>
  <c r="L267" s="1"/>
  <c r="J276"/>
  <c r="L276" s="1"/>
  <c r="P276"/>
  <c r="P281" s="1"/>
  <c r="J286"/>
  <c r="L286" s="1"/>
  <c r="P286"/>
  <c r="P291" s="1"/>
  <c r="J288"/>
  <c r="L288" s="1"/>
  <c r="J296"/>
  <c r="L296" s="1"/>
  <c r="P296"/>
  <c r="P301" s="1"/>
  <c r="J298"/>
  <c r="L298" s="1"/>
  <c r="J306"/>
  <c r="L306" s="1"/>
  <c r="P306"/>
  <c r="P311" s="1"/>
  <c r="J316"/>
  <c r="L316" s="1"/>
  <c r="J318"/>
  <c r="L318" s="1"/>
  <c r="J324"/>
  <c r="N324"/>
  <c r="N329" s="1"/>
  <c r="J326"/>
  <c r="L326" s="1"/>
  <c r="J328"/>
  <c r="L328" s="1"/>
  <c r="J333"/>
  <c r="N333"/>
  <c r="N338" s="1"/>
  <c r="J335"/>
  <c r="L335" s="1"/>
  <c r="J342"/>
  <c r="N342"/>
  <c r="N347" s="1"/>
  <c r="J344"/>
  <c r="L344" s="1"/>
  <c r="J346"/>
  <c r="L346" s="1"/>
  <c r="J351"/>
  <c r="N351"/>
  <c r="N356" s="1"/>
  <c r="J353"/>
  <c r="L353" s="1"/>
  <c r="J355"/>
  <c r="L355" s="1"/>
  <c r="T112" l="1"/>
  <c r="T221"/>
  <c r="T92"/>
  <c r="T82"/>
  <c r="T22"/>
  <c r="J356"/>
  <c r="L351"/>
  <c r="L356" s="1"/>
  <c r="J347"/>
  <c r="L342"/>
  <c r="L347" s="1"/>
  <c r="L349" s="1"/>
  <c r="L295"/>
  <c r="L301" s="1"/>
  <c r="L303" s="1"/>
  <c r="J301"/>
  <c r="J231"/>
  <c r="L225"/>
  <c r="L231" s="1"/>
  <c r="L233" s="1"/>
  <c r="J195"/>
  <c r="L193"/>
  <c r="L195" s="1"/>
  <c r="L197" s="1"/>
  <c r="J189"/>
  <c r="L187"/>
  <c r="L189" s="1"/>
  <c r="L191" s="1"/>
  <c r="J137"/>
  <c r="L132"/>
  <c r="L137" s="1"/>
  <c r="L139" s="1"/>
  <c r="L216"/>
  <c r="L217" s="1"/>
  <c r="J217"/>
  <c r="L199"/>
  <c r="L201" s="1"/>
  <c r="L203" s="1"/>
  <c r="J201"/>
  <c r="J183"/>
  <c r="L181"/>
  <c r="L183" s="1"/>
  <c r="L185" s="1"/>
  <c r="L167"/>
  <c r="L170" s="1"/>
  <c r="L172" s="1"/>
  <c r="J170"/>
  <c r="L141"/>
  <c r="L146" s="1"/>
  <c r="L148" s="1"/>
  <c r="J146"/>
  <c r="J80"/>
  <c r="L74"/>
  <c r="L80" s="1"/>
  <c r="L82" s="1"/>
  <c r="J40"/>
  <c r="L34"/>
  <c r="L40" s="1"/>
  <c r="L42" s="1"/>
  <c r="L14"/>
  <c r="L20" s="1"/>
  <c r="L22" s="1"/>
  <c r="J20"/>
  <c r="N370"/>
  <c r="P370"/>
  <c r="P373" s="1"/>
  <c r="F370"/>
  <c r="F373" s="1"/>
  <c r="T370"/>
  <c r="T373" s="1"/>
  <c r="T197"/>
  <c r="J100"/>
  <c r="J338"/>
  <c r="L333"/>
  <c r="L338" s="1"/>
  <c r="L340" s="1"/>
  <c r="J329"/>
  <c r="L324"/>
  <c r="L329" s="1"/>
  <c r="L331" s="1"/>
  <c r="J271"/>
  <c r="L265"/>
  <c r="L271" s="1"/>
  <c r="L273" s="1"/>
  <c r="L365"/>
  <c r="L366" s="1"/>
  <c r="J366"/>
  <c r="J320"/>
  <c r="L315"/>
  <c r="L320" s="1"/>
  <c r="L322" s="1"/>
  <c r="L305"/>
  <c r="L311" s="1"/>
  <c r="L313" s="1"/>
  <c r="J311"/>
  <c r="L285"/>
  <c r="L291" s="1"/>
  <c r="L293" s="1"/>
  <c r="J291"/>
  <c r="L275"/>
  <c r="L281" s="1"/>
  <c r="L283" s="1"/>
  <c r="J281"/>
  <c r="J261"/>
  <c r="L255"/>
  <c r="L261" s="1"/>
  <c r="L263" s="1"/>
  <c r="J155"/>
  <c r="L150"/>
  <c r="L155" s="1"/>
  <c r="L157" s="1"/>
  <c r="J119"/>
  <c r="L114"/>
  <c r="L119" s="1"/>
  <c r="L121" s="1"/>
  <c r="J251"/>
  <c r="L245"/>
  <c r="L251" s="1"/>
  <c r="L253" s="1"/>
  <c r="L235"/>
  <c r="L241" s="1"/>
  <c r="L243" s="1"/>
  <c r="J241"/>
  <c r="J207"/>
  <c r="L205"/>
  <c r="L207" s="1"/>
  <c r="L174"/>
  <c r="L177" s="1"/>
  <c r="L179" s="1"/>
  <c r="J177"/>
  <c r="L160"/>
  <c r="L163" s="1"/>
  <c r="L165" s="1"/>
  <c r="J163"/>
  <c r="L123"/>
  <c r="L128" s="1"/>
  <c r="L130" s="1"/>
  <c r="J128"/>
  <c r="J110"/>
  <c r="L105"/>
  <c r="L110" s="1"/>
  <c r="L112" s="1"/>
  <c r="J90"/>
  <c r="L84"/>
  <c r="L90" s="1"/>
  <c r="L92" s="1"/>
  <c r="J70"/>
  <c r="L64"/>
  <c r="L70" s="1"/>
  <c r="L72" s="1"/>
  <c r="J60"/>
  <c r="L54"/>
  <c r="L60" s="1"/>
  <c r="L62" s="1"/>
  <c r="J50"/>
  <c r="L44"/>
  <c r="L50" s="1"/>
  <c r="L52" s="1"/>
  <c r="J30"/>
  <c r="L24"/>
  <c r="L30" s="1"/>
  <c r="L32" s="1"/>
  <c r="T273"/>
  <c r="N221"/>
  <c r="L100"/>
  <c r="L102" s="1"/>
  <c r="L209" l="1"/>
  <c r="L370"/>
  <c r="L368"/>
  <c r="L358"/>
  <c r="J221"/>
  <c r="L221"/>
  <c r="L219"/>
  <c r="J370"/>
  <c r="N373"/>
  <c r="J373" l="1"/>
  <c r="L373"/>
  <c r="N375" s="1"/>
  <c r="N376" s="1"/>
  <c r="L375" i="1" l="1"/>
  <c r="X369"/>
  <c r="X376" s="1"/>
  <c r="P366"/>
  <c r="N366"/>
  <c r="L366"/>
  <c r="J366"/>
  <c r="F366"/>
  <c r="F370" s="1"/>
  <c r="D366"/>
  <c r="D370" s="1"/>
  <c r="B366"/>
  <c r="B370" s="1"/>
  <c r="R365"/>
  <c r="T365" s="1"/>
  <c r="T366" s="1"/>
  <c r="P362"/>
  <c r="N362"/>
  <c r="L362"/>
  <c r="L364" s="1"/>
  <c r="J362"/>
  <c r="F362"/>
  <c r="D362"/>
  <c r="B362"/>
  <c r="T361"/>
  <c r="T362" s="1"/>
  <c r="T364" s="1"/>
  <c r="U364" s="1"/>
  <c r="R361"/>
  <c r="F356"/>
  <c r="D356"/>
  <c r="B356"/>
  <c r="R355"/>
  <c r="P355"/>
  <c r="T355" s="1"/>
  <c r="L355"/>
  <c r="J355"/>
  <c r="R354"/>
  <c r="P354"/>
  <c r="T354" s="1"/>
  <c r="J354"/>
  <c r="L354" s="1"/>
  <c r="R353"/>
  <c r="P353"/>
  <c r="T353" s="1"/>
  <c r="L353"/>
  <c r="J353"/>
  <c r="R352"/>
  <c r="P352"/>
  <c r="P356" s="1"/>
  <c r="J352"/>
  <c r="L352" s="1"/>
  <c r="R351"/>
  <c r="N351"/>
  <c r="N356" s="1"/>
  <c r="L351"/>
  <c r="J351"/>
  <c r="J356" s="1"/>
  <c r="F347"/>
  <c r="D347"/>
  <c r="B347"/>
  <c r="R346"/>
  <c r="P346"/>
  <c r="T346" s="1"/>
  <c r="L346"/>
  <c r="J346"/>
  <c r="R345"/>
  <c r="P345"/>
  <c r="T345" s="1"/>
  <c r="J345"/>
  <c r="L345" s="1"/>
  <c r="R344"/>
  <c r="P344"/>
  <c r="T344" s="1"/>
  <c r="L344"/>
  <c r="J344"/>
  <c r="R343"/>
  <c r="P343"/>
  <c r="P347" s="1"/>
  <c r="J343"/>
  <c r="L343" s="1"/>
  <c r="R342"/>
  <c r="N342"/>
  <c r="N347" s="1"/>
  <c r="L342"/>
  <c r="L347" s="1"/>
  <c r="L349" s="1"/>
  <c r="J342"/>
  <c r="J347" s="1"/>
  <c r="F338"/>
  <c r="D338"/>
  <c r="B338"/>
  <c r="R337"/>
  <c r="P337"/>
  <c r="T337" s="1"/>
  <c r="L337"/>
  <c r="J337"/>
  <c r="R336"/>
  <c r="P336"/>
  <c r="T336" s="1"/>
  <c r="J336"/>
  <c r="L336" s="1"/>
  <c r="R335"/>
  <c r="P335"/>
  <c r="T335" s="1"/>
  <c r="L335"/>
  <c r="J335"/>
  <c r="R334"/>
  <c r="P334"/>
  <c r="P338" s="1"/>
  <c r="J334"/>
  <c r="L334" s="1"/>
  <c r="R333"/>
  <c r="N333"/>
  <c r="N338" s="1"/>
  <c r="L333"/>
  <c r="J333"/>
  <c r="J338" s="1"/>
  <c r="F329"/>
  <c r="D329"/>
  <c r="B329"/>
  <c r="R328"/>
  <c r="P328"/>
  <c r="T328" s="1"/>
  <c r="L328"/>
  <c r="J328"/>
  <c r="R327"/>
  <c r="P327"/>
  <c r="T327" s="1"/>
  <c r="J327"/>
  <c r="L327" s="1"/>
  <c r="R326"/>
  <c r="P326"/>
  <c r="T326" s="1"/>
  <c r="L326"/>
  <c r="J326"/>
  <c r="R325"/>
  <c r="P325"/>
  <c r="P329" s="1"/>
  <c r="J325"/>
  <c r="L325" s="1"/>
  <c r="R324"/>
  <c r="N324"/>
  <c r="N329" s="1"/>
  <c r="L324"/>
  <c r="L329" s="1"/>
  <c r="L331" s="1"/>
  <c r="J324"/>
  <c r="J329" s="1"/>
  <c r="F320"/>
  <c r="D320"/>
  <c r="B320"/>
  <c r="R319"/>
  <c r="P319"/>
  <c r="T319" s="1"/>
  <c r="L319"/>
  <c r="J319"/>
  <c r="R318"/>
  <c r="P318"/>
  <c r="T318" s="1"/>
  <c r="J318"/>
  <c r="L318" s="1"/>
  <c r="R317"/>
  <c r="P317"/>
  <c r="T317" s="1"/>
  <c r="L317"/>
  <c r="J317"/>
  <c r="R316"/>
  <c r="P316"/>
  <c r="P320" s="1"/>
  <c r="J316"/>
  <c r="L316" s="1"/>
  <c r="R315"/>
  <c r="N315"/>
  <c r="N320" s="1"/>
  <c r="L315"/>
  <c r="J315"/>
  <c r="J320" s="1"/>
  <c r="N311"/>
  <c r="F311"/>
  <c r="D311"/>
  <c r="B311"/>
  <c r="R310"/>
  <c r="P310"/>
  <c r="T310" s="1"/>
  <c r="J310"/>
  <c r="L310" s="1"/>
  <c r="R309"/>
  <c r="P309"/>
  <c r="T309" s="1"/>
  <c r="L309"/>
  <c r="J309"/>
  <c r="R308"/>
  <c r="P308"/>
  <c r="T308" s="1"/>
  <c r="J308"/>
  <c r="L308" s="1"/>
  <c r="R307"/>
  <c r="P307"/>
  <c r="T307" s="1"/>
  <c r="L307"/>
  <c r="J307"/>
  <c r="R306"/>
  <c r="P306"/>
  <c r="T306" s="1"/>
  <c r="J306"/>
  <c r="J311" s="1"/>
  <c r="R305"/>
  <c r="N305"/>
  <c r="T305" s="1"/>
  <c r="L305"/>
  <c r="J305"/>
  <c r="N301"/>
  <c r="F301"/>
  <c r="D301"/>
  <c r="B301"/>
  <c r="R300"/>
  <c r="P300"/>
  <c r="T300" s="1"/>
  <c r="J300"/>
  <c r="L300" s="1"/>
  <c r="R299"/>
  <c r="P299"/>
  <c r="T299" s="1"/>
  <c r="L299"/>
  <c r="J299"/>
  <c r="R298"/>
  <c r="P298"/>
  <c r="T298" s="1"/>
  <c r="J298"/>
  <c r="L298" s="1"/>
  <c r="R297"/>
  <c r="P297"/>
  <c r="T297" s="1"/>
  <c r="L297"/>
  <c r="J297"/>
  <c r="R296"/>
  <c r="P296"/>
  <c r="T296" s="1"/>
  <c r="J296"/>
  <c r="J301" s="1"/>
  <c r="R295"/>
  <c r="N295"/>
  <c r="T295" s="1"/>
  <c r="T301" s="1"/>
  <c r="T303" s="1"/>
  <c r="L295"/>
  <c r="J295"/>
  <c r="N291"/>
  <c r="F291"/>
  <c r="D291"/>
  <c r="B291"/>
  <c r="R290"/>
  <c r="P290"/>
  <c r="T290" s="1"/>
  <c r="J290"/>
  <c r="L290" s="1"/>
  <c r="R289"/>
  <c r="P289"/>
  <c r="T289" s="1"/>
  <c r="L289"/>
  <c r="J289"/>
  <c r="R288"/>
  <c r="P288"/>
  <c r="T288" s="1"/>
  <c r="J288"/>
  <c r="L288" s="1"/>
  <c r="R287"/>
  <c r="P287"/>
  <c r="T287" s="1"/>
  <c r="L287"/>
  <c r="J287"/>
  <c r="R286"/>
  <c r="P286"/>
  <c r="T286" s="1"/>
  <c r="J286"/>
  <c r="J291" s="1"/>
  <c r="R285"/>
  <c r="N285"/>
  <c r="T285" s="1"/>
  <c r="L285"/>
  <c r="J285"/>
  <c r="F281"/>
  <c r="D281"/>
  <c r="B281"/>
  <c r="R280"/>
  <c r="P280"/>
  <c r="T280" s="1"/>
  <c r="L280"/>
  <c r="J280"/>
  <c r="R279"/>
  <c r="P279"/>
  <c r="T279" s="1"/>
  <c r="J279"/>
  <c r="L279" s="1"/>
  <c r="R278"/>
  <c r="P278"/>
  <c r="T278" s="1"/>
  <c r="L278"/>
  <c r="J278"/>
  <c r="R277"/>
  <c r="P277"/>
  <c r="P281" s="1"/>
  <c r="J277"/>
  <c r="L277" s="1"/>
  <c r="R276"/>
  <c r="P276"/>
  <c r="T276" s="1"/>
  <c r="L276"/>
  <c r="J276"/>
  <c r="R275"/>
  <c r="N275"/>
  <c r="T275" s="1"/>
  <c r="J275"/>
  <c r="J281" s="1"/>
  <c r="N271"/>
  <c r="F271"/>
  <c r="D271"/>
  <c r="B271"/>
  <c r="R270"/>
  <c r="P270"/>
  <c r="T270" s="1"/>
  <c r="J270"/>
  <c r="L270" s="1"/>
  <c r="R269"/>
  <c r="P269"/>
  <c r="T269" s="1"/>
  <c r="L269"/>
  <c r="J269"/>
  <c r="R268"/>
  <c r="P268"/>
  <c r="T268" s="1"/>
  <c r="J268"/>
  <c r="L268" s="1"/>
  <c r="R267"/>
  <c r="P267"/>
  <c r="T267" s="1"/>
  <c r="L267"/>
  <c r="J267"/>
  <c r="R266"/>
  <c r="P266"/>
  <c r="T266" s="1"/>
  <c r="J266"/>
  <c r="J271" s="1"/>
  <c r="R265"/>
  <c r="N265"/>
  <c r="T265" s="1"/>
  <c r="T271" s="1"/>
  <c r="T273" s="1"/>
  <c r="L265"/>
  <c r="J265"/>
  <c r="F261"/>
  <c r="D261"/>
  <c r="B261"/>
  <c r="R260"/>
  <c r="P260"/>
  <c r="T260" s="1"/>
  <c r="L260"/>
  <c r="J260"/>
  <c r="R259"/>
  <c r="P259"/>
  <c r="T259" s="1"/>
  <c r="J259"/>
  <c r="L259" s="1"/>
  <c r="R258"/>
  <c r="P258"/>
  <c r="T258" s="1"/>
  <c r="L258"/>
  <c r="J258"/>
  <c r="R257"/>
  <c r="P257"/>
  <c r="P261" s="1"/>
  <c r="J257"/>
  <c r="L257" s="1"/>
  <c r="R256"/>
  <c r="P256"/>
  <c r="T256" s="1"/>
  <c r="L256"/>
  <c r="J256"/>
  <c r="R255"/>
  <c r="N255"/>
  <c r="T255" s="1"/>
  <c r="J255"/>
  <c r="J261" s="1"/>
  <c r="N251"/>
  <c r="F251"/>
  <c r="D251"/>
  <c r="B251"/>
  <c r="R250"/>
  <c r="P250"/>
  <c r="T250" s="1"/>
  <c r="J250"/>
  <c r="L250" s="1"/>
  <c r="R249"/>
  <c r="P249"/>
  <c r="T249" s="1"/>
  <c r="L249"/>
  <c r="J249"/>
  <c r="R248"/>
  <c r="P248"/>
  <c r="T248" s="1"/>
  <c r="J248"/>
  <c r="L248" s="1"/>
  <c r="R247"/>
  <c r="P247"/>
  <c r="T247" s="1"/>
  <c r="L247"/>
  <c r="J247"/>
  <c r="R246"/>
  <c r="P246"/>
  <c r="T246" s="1"/>
  <c r="J246"/>
  <c r="J251" s="1"/>
  <c r="R245"/>
  <c r="N245"/>
  <c r="T245" s="1"/>
  <c r="L245"/>
  <c r="J245"/>
  <c r="F241"/>
  <c r="D241"/>
  <c r="B241"/>
  <c r="R240"/>
  <c r="P240"/>
  <c r="T240" s="1"/>
  <c r="L240"/>
  <c r="J240"/>
  <c r="R239"/>
  <c r="P239"/>
  <c r="T239" s="1"/>
  <c r="J239"/>
  <c r="L239" s="1"/>
  <c r="R238"/>
  <c r="P238"/>
  <c r="T238" s="1"/>
  <c r="L238"/>
  <c r="J238"/>
  <c r="R237"/>
  <c r="P237"/>
  <c r="P241" s="1"/>
  <c r="J237"/>
  <c r="L237" s="1"/>
  <c r="R236"/>
  <c r="P236"/>
  <c r="T236" s="1"/>
  <c r="L236"/>
  <c r="J236"/>
  <c r="R235"/>
  <c r="N235"/>
  <c r="T235" s="1"/>
  <c r="J235"/>
  <c r="J241" s="1"/>
  <c r="N231"/>
  <c r="F231"/>
  <c r="D231"/>
  <c r="B231"/>
  <c r="R230"/>
  <c r="P230"/>
  <c r="T230" s="1"/>
  <c r="J230"/>
  <c r="L230" s="1"/>
  <c r="R229"/>
  <c r="P229"/>
  <c r="T229" s="1"/>
  <c r="L229"/>
  <c r="J229"/>
  <c r="R228"/>
  <c r="P228"/>
  <c r="T228" s="1"/>
  <c r="J228"/>
  <c r="L228" s="1"/>
  <c r="R227"/>
  <c r="P227"/>
  <c r="T227" s="1"/>
  <c r="L227"/>
  <c r="J227"/>
  <c r="R226"/>
  <c r="P226"/>
  <c r="T226" s="1"/>
  <c r="J226"/>
  <c r="J231" s="1"/>
  <c r="R225"/>
  <c r="N225"/>
  <c r="T225" s="1"/>
  <c r="T231" s="1"/>
  <c r="T233" s="1"/>
  <c r="L225"/>
  <c r="J225"/>
  <c r="X219"/>
  <c r="P217"/>
  <c r="N217"/>
  <c r="L217"/>
  <c r="J217"/>
  <c r="F217"/>
  <c r="D217"/>
  <c r="B217"/>
  <c r="R216"/>
  <c r="T216" s="1"/>
  <c r="T217" s="1"/>
  <c r="P212"/>
  <c r="N212"/>
  <c r="L212"/>
  <c r="J212"/>
  <c r="F212"/>
  <c r="D212"/>
  <c r="B212"/>
  <c r="T211"/>
  <c r="T212" s="1"/>
  <c r="T214" s="1"/>
  <c r="R211"/>
  <c r="P207"/>
  <c r="F207"/>
  <c r="D207"/>
  <c r="B207"/>
  <c r="R206"/>
  <c r="P206"/>
  <c r="T206" s="1"/>
  <c r="L206"/>
  <c r="J206"/>
  <c r="R205"/>
  <c r="N205"/>
  <c r="N207" s="1"/>
  <c r="J205"/>
  <c r="P201"/>
  <c r="F201"/>
  <c r="D201"/>
  <c r="B201"/>
  <c r="R200"/>
  <c r="P200"/>
  <c r="L200"/>
  <c r="J200"/>
  <c r="R199"/>
  <c r="N199"/>
  <c r="N201" s="1"/>
  <c r="J199"/>
  <c r="P195"/>
  <c r="F195"/>
  <c r="D195"/>
  <c r="B195"/>
  <c r="R194"/>
  <c r="P194"/>
  <c r="T194" s="1"/>
  <c r="L194"/>
  <c r="J194"/>
  <c r="R193"/>
  <c r="N193"/>
  <c r="N195" s="1"/>
  <c r="J193"/>
  <c r="P189"/>
  <c r="F189"/>
  <c r="D189"/>
  <c r="B189"/>
  <c r="R188"/>
  <c r="P188"/>
  <c r="L188"/>
  <c r="J188"/>
  <c r="R187"/>
  <c r="N187"/>
  <c r="N189" s="1"/>
  <c r="J187"/>
  <c r="P183"/>
  <c r="F183"/>
  <c r="D183"/>
  <c r="B183"/>
  <c r="R182"/>
  <c r="P182"/>
  <c r="T182" s="1"/>
  <c r="L182"/>
  <c r="J182"/>
  <c r="R181"/>
  <c r="N181"/>
  <c r="N183" s="1"/>
  <c r="J181"/>
  <c r="F177"/>
  <c r="D177"/>
  <c r="B177"/>
  <c r="R176"/>
  <c r="P176"/>
  <c r="L176"/>
  <c r="J176"/>
  <c r="R175"/>
  <c r="P175"/>
  <c r="T175" s="1"/>
  <c r="J175"/>
  <c r="L175" s="1"/>
  <c r="R174"/>
  <c r="N174"/>
  <c r="N177" s="1"/>
  <c r="L174"/>
  <c r="L177" s="1"/>
  <c r="L179" s="1"/>
  <c r="J174"/>
  <c r="J177" s="1"/>
  <c r="J170"/>
  <c r="F170"/>
  <c r="D170"/>
  <c r="B170"/>
  <c r="R169"/>
  <c r="P169"/>
  <c r="T169" s="1"/>
  <c r="J169"/>
  <c r="L169" s="1"/>
  <c r="R168"/>
  <c r="P168"/>
  <c r="L168"/>
  <c r="J168"/>
  <c r="R167"/>
  <c r="N167"/>
  <c r="T167" s="1"/>
  <c r="J167"/>
  <c r="L167" s="1"/>
  <c r="P163"/>
  <c r="F163"/>
  <c r="D163"/>
  <c r="B163"/>
  <c r="R162"/>
  <c r="P162"/>
  <c r="T162" s="1"/>
  <c r="L162"/>
  <c r="J162"/>
  <c r="R161"/>
  <c r="P161"/>
  <c r="T161" s="1"/>
  <c r="J161"/>
  <c r="L161" s="1"/>
  <c r="R160"/>
  <c r="N160"/>
  <c r="N163" s="1"/>
  <c r="L160"/>
  <c r="L163" s="1"/>
  <c r="L165" s="1"/>
  <c r="J160"/>
  <c r="J163" s="1"/>
  <c r="N155"/>
  <c r="F155"/>
  <c r="D155"/>
  <c r="B155"/>
  <c r="R154"/>
  <c r="P154"/>
  <c r="T154" s="1"/>
  <c r="J154"/>
  <c r="L154" s="1"/>
  <c r="R153"/>
  <c r="P153"/>
  <c r="T153" s="1"/>
  <c r="L153"/>
  <c r="J153"/>
  <c r="R152"/>
  <c r="P152"/>
  <c r="T152" s="1"/>
  <c r="J152"/>
  <c r="L152" s="1"/>
  <c r="R151"/>
  <c r="P151"/>
  <c r="P155" s="1"/>
  <c r="L151"/>
  <c r="J151"/>
  <c r="R150"/>
  <c r="N150"/>
  <c r="T150" s="1"/>
  <c r="J150"/>
  <c r="L150" s="1"/>
  <c r="L155" s="1"/>
  <c r="L157" s="1"/>
  <c r="F146"/>
  <c r="D146"/>
  <c r="B146"/>
  <c r="R145"/>
  <c r="P145"/>
  <c r="L145"/>
  <c r="J145"/>
  <c r="R144"/>
  <c r="P144"/>
  <c r="T144" s="1"/>
  <c r="J144"/>
  <c r="L144" s="1"/>
  <c r="R143"/>
  <c r="P143"/>
  <c r="L143"/>
  <c r="J143"/>
  <c r="R142"/>
  <c r="P142"/>
  <c r="T142" s="1"/>
  <c r="J142"/>
  <c r="L142" s="1"/>
  <c r="R141"/>
  <c r="N141"/>
  <c r="N146" s="1"/>
  <c r="L141"/>
  <c r="L146" s="1"/>
  <c r="L148" s="1"/>
  <c r="J141"/>
  <c r="J146" s="1"/>
  <c r="J137"/>
  <c r="F137"/>
  <c r="D137"/>
  <c r="B137"/>
  <c r="R136"/>
  <c r="P136"/>
  <c r="T136" s="1"/>
  <c r="J136"/>
  <c r="L136" s="1"/>
  <c r="R135"/>
  <c r="P135"/>
  <c r="L135"/>
  <c r="J135"/>
  <c r="R134"/>
  <c r="P134"/>
  <c r="T134" s="1"/>
  <c r="J134"/>
  <c r="L134" s="1"/>
  <c r="R133"/>
  <c r="P133"/>
  <c r="L133"/>
  <c r="J133"/>
  <c r="R132"/>
  <c r="N132"/>
  <c r="T132" s="1"/>
  <c r="J132"/>
  <c r="L132" s="1"/>
  <c r="F128"/>
  <c r="D128"/>
  <c r="B128"/>
  <c r="R127"/>
  <c r="P127"/>
  <c r="T127" s="1"/>
  <c r="L127"/>
  <c r="J127"/>
  <c r="R126"/>
  <c r="P126"/>
  <c r="T126" s="1"/>
  <c r="J126"/>
  <c r="L126" s="1"/>
  <c r="R125"/>
  <c r="P125"/>
  <c r="T125" s="1"/>
  <c r="L125"/>
  <c r="J125"/>
  <c r="R124"/>
  <c r="P124"/>
  <c r="P128" s="1"/>
  <c r="J124"/>
  <c r="L124" s="1"/>
  <c r="R123"/>
  <c r="N123"/>
  <c r="N128" s="1"/>
  <c r="L123"/>
  <c r="J123"/>
  <c r="F119"/>
  <c r="D119"/>
  <c r="B119"/>
  <c r="R118"/>
  <c r="P118"/>
  <c r="T118" s="1"/>
  <c r="J118"/>
  <c r="L118" s="1"/>
  <c r="R117"/>
  <c r="P117"/>
  <c r="T117" s="1"/>
  <c r="L117"/>
  <c r="J117"/>
  <c r="R116"/>
  <c r="P116"/>
  <c r="T116" s="1"/>
  <c r="J116"/>
  <c r="L116" s="1"/>
  <c r="R115"/>
  <c r="P115"/>
  <c r="P119" s="1"/>
  <c r="L115"/>
  <c r="J115"/>
  <c r="R114"/>
  <c r="N114"/>
  <c r="N119" s="1"/>
  <c r="J114"/>
  <c r="J119" s="1"/>
  <c r="F110"/>
  <c r="D110"/>
  <c r="B110"/>
  <c r="R109"/>
  <c r="P109"/>
  <c r="T109" s="1"/>
  <c r="L109"/>
  <c r="J109"/>
  <c r="R108"/>
  <c r="P108"/>
  <c r="T108" s="1"/>
  <c r="J108"/>
  <c r="L108" s="1"/>
  <c r="R107"/>
  <c r="P107"/>
  <c r="T107" s="1"/>
  <c r="L107"/>
  <c r="J107"/>
  <c r="R106"/>
  <c r="P106"/>
  <c r="P110" s="1"/>
  <c r="J106"/>
  <c r="L106" s="1"/>
  <c r="R105"/>
  <c r="N105"/>
  <c r="N110" s="1"/>
  <c r="L105"/>
  <c r="L110" s="1"/>
  <c r="L112" s="1"/>
  <c r="J105"/>
  <c r="J110" s="1"/>
  <c r="N100"/>
  <c r="F100"/>
  <c r="D100"/>
  <c r="B100"/>
  <c r="R99"/>
  <c r="P99"/>
  <c r="T99" s="1"/>
  <c r="J99"/>
  <c r="L99" s="1"/>
  <c r="R98"/>
  <c r="P98"/>
  <c r="T98" s="1"/>
  <c r="L98"/>
  <c r="J98"/>
  <c r="R97"/>
  <c r="P97"/>
  <c r="T97" s="1"/>
  <c r="J97"/>
  <c r="L97" s="1"/>
  <c r="R96"/>
  <c r="P96"/>
  <c r="T96" s="1"/>
  <c r="L96"/>
  <c r="J96"/>
  <c r="R95"/>
  <c r="P95"/>
  <c r="T95" s="1"/>
  <c r="J95"/>
  <c r="J100" s="1"/>
  <c r="R94"/>
  <c r="N94"/>
  <c r="T94" s="1"/>
  <c r="T100" s="1"/>
  <c r="T102" s="1"/>
  <c r="L94"/>
  <c r="J94"/>
  <c r="N90"/>
  <c r="F90"/>
  <c r="D90"/>
  <c r="B90"/>
  <c r="R89"/>
  <c r="P89"/>
  <c r="T89" s="1"/>
  <c r="J89"/>
  <c r="L89" s="1"/>
  <c r="R88"/>
  <c r="P88"/>
  <c r="T88" s="1"/>
  <c r="L88"/>
  <c r="J88"/>
  <c r="R87"/>
  <c r="P87"/>
  <c r="T87" s="1"/>
  <c r="J87"/>
  <c r="L87" s="1"/>
  <c r="R86"/>
  <c r="P86"/>
  <c r="T86" s="1"/>
  <c r="L86"/>
  <c r="J86"/>
  <c r="R85"/>
  <c r="P85"/>
  <c r="T85" s="1"/>
  <c r="J85"/>
  <c r="J90" s="1"/>
  <c r="R84"/>
  <c r="N84"/>
  <c r="T84" s="1"/>
  <c r="L84"/>
  <c r="J84"/>
  <c r="N80"/>
  <c r="F80"/>
  <c r="D80"/>
  <c r="B80"/>
  <c r="R79"/>
  <c r="P79"/>
  <c r="T79" s="1"/>
  <c r="J79"/>
  <c r="L79" s="1"/>
  <c r="R78"/>
  <c r="P78"/>
  <c r="T78" s="1"/>
  <c r="L78"/>
  <c r="J78"/>
  <c r="R77"/>
  <c r="P77"/>
  <c r="T77" s="1"/>
  <c r="J77"/>
  <c r="L77" s="1"/>
  <c r="R76"/>
  <c r="P76"/>
  <c r="T76" s="1"/>
  <c r="L76"/>
  <c r="J76"/>
  <c r="R75"/>
  <c r="P75"/>
  <c r="T75" s="1"/>
  <c r="J75"/>
  <c r="J80" s="1"/>
  <c r="R74"/>
  <c r="N74"/>
  <c r="T74" s="1"/>
  <c r="T80" s="1"/>
  <c r="T82" s="1"/>
  <c r="L74"/>
  <c r="J74"/>
  <c r="N70"/>
  <c r="F70"/>
  <c r="D70"/>
  <c r="B70"/>
  <c r="R69"/>
  <c r="P69"/>
  <c r="T69" s="1"/>
  <c r="J69"/>
  <c r="L69" s="1"/>
  <c r="R68"/>
  <c r="P68"/>
  <c r="T68" s="1"/>
  <c r="L68"/>
  <c r="J68"/>
  <c r="R67"/>
  <c r="P67"/>
  <c r="T67" s="1"/>
  <c r="J67"/>
  <c r="L67" s="1"/>
  <c r="R66"/>
  <c r="P66"/>
  <c r="T66" s="1"/>
  <c r="L66"/>
  <c r="J66"/>
  <c r="R65"/>
  <c r="P65"/>
  <c r="T65" s="1"/>
  <c r="J65"/>
  <c r="J70" s="1"/>
  <c r="R64"/>
  <c r="N64"/>
  <c r="T64" s="1"/>
  <c r="L64"/>
  <c r="J64"/>
  <c r="N60"/>
  <c r="F60"/>
  <c r="D60"/>
  <c r="B60"/>
  <c r="R59"/>
  <c r="P59"/>
  <c r="T59" s="1"/>
  <c r="J59"/>
  <c r="L59" s="1"/>
  <c r="R58"/>
  <c r="P58"/>
  <c r="T58" s="1"/>
  <c r="L58"/>
  <c r="J58"/>
  <c r="R57"/>
  <c r="P57"/>
  <c r="T57" s="1"/>
  <c r="J57"/>
  <c r="L57" s="1"/>
  <c r="R56"/>
  <c r="P56"/>
  <c r="T56" s="1"/>
  <c r="L56"/>
  <c r="J56"/>
  <c r="R55"/>
  <c r="P55"/>
  <c r="T55" s="1"/>
  <c r="J55"/>
  <c r="J60" s="1"/>
  <c r="R54"/>
  <c r="N54"/>
  <c r="T54" s="1"/>
  <c r="T60" s="1"/>
  <c r="T62" s="1"/>
  <c r="L54"/>
  <c r="J54"/>
  <c r="N50"/>
  <c r="F50"/>
  <c r="D50"/>
  <c r="B50"/>
  <c r="R49"/>
  <c r="P49"/>
  <c r="T49" s="1"/>
  <c r="J49"/>
  <c r="L49" s="1"/>
  <c r="R48"/>
  <c r="P48"/>
  <c r="T48" s="1"/>
  <c r="L48"/>
  <c r="J48"/>
  <c r="R47"/>
  <c r="P47"/>
  <c r="T47" s="1"/>
  <c r="J47"/>
  <c r="L47" s="1"/>
  <c r="R46"/>
  <c r="P46"/>
  <c r="T46" s="1"/>
  <c r="L46"/>
  <c r="J46"/>
  <c r="R45"/>
  <c r="P45"/>
  <c r="T45" s="1"/>
  <c r="J45"/>
  <c r="J50" s="1"/>
  <c r="R44"/>
  <c r="N44"/>
  <c r="T44" s="1"/>
  <c r="L44"/>
  <c r="J44"/>
  <c r="N40"/>
  <c r="F40"/>
  <c r="D40"/>
  <c r="B40"/>
  <c r="R39"/>
  <c r="P39"/>
  <c r="T39" s="1"/>
  <c r="J39"/>
  <c r="L39" s="1"/>
  <c r="R38"/>
  <c r="P38"/>
  <c r="T38" s="1"/>
  <c r="L38"/>
  <c r="J38"/>
  <c r="R37"/>
  <c r="P37"/>
  <c r="T37" s="1"/>
  <c r="J37"/>
  <c r="L37" s="1"/>
  <c r="R36"/>
  <c r="P36"/>
  <c r="T36" s="1"/>
  <c r="L36"/>
  <c r="J36"/>
  <c r="R35"/>
  <c r="P35"/>
  <c r="T35" s="1"/>
  <c r="J35"/>
  <c r="J40" s="1"/>
  <c r="R34"/>
  <c r="N34"/>
  <c r="T34" s="1"/>
  <c r="T40" s="1"/>
  <c r="T42" s="1"/>
  <c r="L34"/>
  <c r="J34"/>
  <c r="N30"/>
  <c r="F30"/>
  <c r="D30"/>
  <c r="B30"/>
  <c r="R29"/>
  <c r="P29"/>
  <c r="T29" s="1"/>
  <c r="J29"/>
  <c r="L29" s="1"/>
  <c r="R28"/>
  <c r="P28"/>
  <c r="T28" s="1"/>
  <c r="L28"/>
  <c r="J28"/>
  <c r="R27"/>
  <c r="P27"/>
  <c r="T27" s="1"/>
  <c r="J27"/>
  <c r="L27" s="1"/>
  <c r="R26"/>
  <c r="P26"/>
  <c r="T26" s="1"/>
  <c r="L26"/>
  <c r="J26"/>
  <c r="R25"/>
  <c r="P25"/>
  <c r="T25" s="1"/>
  <c r="J25"/>
  <c r="J30" s="1"/>
  <c r="R24"/>
  <c r="N24"/>
  <c r="T24" s="1"/>
  <c r="L24"/>
  <c r="J24"/>
  <c r="W20"/>
  <c r="F20"/>
  <c r="D20"/>
  <c r="B20"/>
  <c r="R19"/>
  <c r="P19"/>
  <c r="T19" s="1"/>
  <c r="J19"/>
  <c r="L19" s="1"/>
  <c r="R18"/>
  <c r="P18"/>
  <c r="T18" s="1"/>
  <c r="L18"/>
  <c r="J18"/>
  <c r="R17"/>
  <c r="P17"/>
  <c r="T17" s="1"/>
  <c r="J17"/>
  <c r="L17" s="1"/>
  <c r="R16"/>
  <c r="P16"/>
  <c r="T16" s="1"/>
  <c r="L16"/>
  <c r="J16"/>
  <c r="R15"/>
  <c r="P15"/>
  <c r="P20" s="1"/>
  <c r="J15"/>
  <c r="L15" s="1"/>
  <c r="R14"/>
  <c r="N14"/>
  <c r="N20" s="1"/>
  <c r="W19" s="1"/>
  <c r="L14"/>
  <c r="J14"/>
  <c r="J20" s="1"/>
  <c r="X6"/>
  <c r="A2"/>
  <c r="L20" l="1"/>
  <c r="L22" s="1"/>
  <c r="T30"/>
  <c r="T32" s="1"/>
  <c r="T50"/>
  <c r="T52" s="1"/>
  <c r="T70"/>
  <c r="T72" s="1"/>
  <c r="T90"/>
  <c r="T92" s="1"/>
  <c r="L128"/>
  <c r="L130" s="1"/>
  <c r="W23"/>
  <c r="J189"/>
  <c r="L187"/>
  <c r="L189" s="1"/>
  <c r="L191" s="1"/>
  <c r="J201"/>
  <c r="L199"/>
  <c r="L201" s="1"/>
  <c r="L203" s="1"/>
  <c r="T219"/>
  <c r="T14"/>
  <c r="L25"/>
  <c r="L30" s="1"/>
  <c r="L32" s="1"/>
  <c r="P30"/>
  <c r="L35"/>
  <c r="L40" s="1"/>
  <c r="L42" s="1"/>
  <c r="U42" s="1"/>
  <c r="V42" s="1"/>
  <c r="P40"/>
  <c r="L45"/>
  <c r="L50" s="1"/>
  <c r="L52" s="1"/>
  <c r="P50"/>
  <c r="L55"/>
  <c r="L60" s="1"/>
  <c r="L62" s="1"/>
  <c r="U62" s="1"/>
  <c r="V62" s="1"/>
  <c r="P60"/>
  <c r="L65"/>
  <c r="L70" s="1"/>
  <c r="L72" s="1"/>
  <c r="P70"/>
  <c r="L75"/>
  <c r="L80" s="1"/>
  <c r="L82" s="1"/>
  <c r="U82" s="1"/>
  <c r="V82" s="1"/>
  <c r="P80"/>
  <c r="L85"/>
  <c r="L90" s="1"/>
  <c r="L92" s="1"/>
  <c r="P90"/>
  <c r="L95"/>
  <c r="L100" s="1"/>
  <c r="P100"/>
  <c r="T105"/>
  <c r="L114"/>
  <c r="L119" s="1"/>
  <c r="L121" s="1"/>
  <c r="T115"/>
  <c r="J128"/>
  <c r="T123"/>
  <c r="L137"/>
  <c r="L139" s="1"/>
  <c r="P137"/>
  <c r="T135"/>
  <c r="N137"/>
  <c r="T143"/>
  <c r="T145"/>
  <c r="P146"/>
  <c r="J155"/>
  <c r="L170"/>
  <c r="L172" s="1"/>
  <c r="P170"/>
  <c r="N170"/>
  <c r="N221" s="1"/>
  <c r="T176"/>
  <c r="P177"/>
  <c r="P221" s="1"/>
  <c r="T181"/>
  <c r="T183" s="1"/>
  <c r="T185" s="1"/>
  <c r="T188"/>
  <c r="T193"/>
  <c r="T195" s="1"/>
  <c r="T197" s="1"/>
  <c r="T200"/>
  <c r="T205"/>
  <c r="T207" s="1"/>
  <c r="T209" s="1"/>
  <c r="L214"/>
  <c r="U214" s="1"/>
  <c r="D221"/>
  <c r="T251"/>
  <c r="T253" s="1"/>
  <c r="L271"/>
  <c r="L273" s="1"/>
  <c r="U273" s="1"/>
  <c r="T291"/>
  <c r="T293" s="1"/>
  <c r="L301"/>
  <c r="L303" s="1"/>
  <c r="T311"/>
  <c r="T313" s="1"/>
  <c r="L338"/>
  <c r="L340" s="1"/>
  <c r="L356"/>
  <c r="J183"/>
  <c r="L181"/>
  <c r="L183" s="1"/>
  <c r="L185" s="1"/>
  <c r="J195"/>
  <c r="L193"/>
  <c r="L195" s="1"/>
  <c r="L197" s="1"/>
  <c r="J207"/>
  <c r="J221" s="1"/>
  <c r="L205"/>
  <c r="L207" s="1"/>
  <c r="T368"/>
  <c r="T15"/>
  <c r="T106"/>
  <c r="T114"/>
  <c r="T119" s="1"/>
  <c r="T121" s="1"/>
  <c r="U121" s="1"/>
  <c r="V121" s="1"/>
  <c r="T124"/>
  <c r="T187"/>
  <c r="T189" s="1"/>
  <c r="T191" s="1"/>
  <c r="U191" s="1"/>
  <c r="V191" s="1"/>
  <c r="T199"/>
  <c r="B221"/>
  <c r="B373" s="1"/>
  <c r="F221"/>
  <c r="F373" s="1"/>
  <c r="L251"/>
  <c r="L253" s="1"/>
  <c r="T281"/>
  <c r="T283" s="1"/>
  <c r="U283" s="1"/>
  <c r="U303"/>
  <c r="V303" s="1"/>
  <c r="D373"/>
  <c r="J370"/>
  <c r="T133"/>
  <c r="T137" s="1"/>
  <c r="T139" s="1"/>
  <c r="U139" s="1"/>
  <c r="V139" s="1"/>
  <c r="T141"/>
  <c r="T146" s="1"/>
  <c r="T148" s="1"/>
  <c r="U148" s="1"/>
  <c r="V148" s="1"/>
  <c r="T151"/>
  <c r="T155" s="1"/>
  <c r="T157" s="1"/>
  <c r="U157" s="1"/>
  <c r="V157" s="1"/>
  <c r="T160"/>
  <c r="T163" s="1"/>
  <c r="T165" s="1"/>
  <c r="U165" s="1"/>
  <c r="V165" s="1"/>
  <c r="T168"/>
  <c r="T170" s="1"/>
  <c r="T172" s="1"/>
  <c r="U172" s="1"/>
  <c r="V172" s="1"/>
  <c r="T174"/>
  <c r="T177" s="1"/>
  <c r="T179" s="1"/>
  <c r="U179" s="1"/>
  <c r="V179" s="1"/>
  <c r="L226"/>
  <c r="L231" s="1"/>
  <c r="L233" s="1"/>
  <c r="U233" s="1"/>
  <c r="P231"/>
  <c r="L235"/>
  <c r="L241" s="1"/>
  <c r="L243" s="1"/>
  <c r="N241"/>
  <c r="L246"/>
  <c r="P251"/>
  <c r="L255"/>
  <c r="L261" s="1"/>
  <c r="L263" s="1"/>
  <c r="N261"/>
  <c r="L266"/>
  <c r="P271"/>
  <c r="L275"/>
  <c r="L281" s="1"/>
  <c r="L283" s="1"/>
  <c r="N281"/>
  <c r="N370" s="1"/>
  <c r="N373" s="1"/>
  <c r="L286"/>
  <c r="L291" s="1"/>
  <c r="L293" s="1"/>
  <c r="P291"/>
  <c r="L296"/>
  <c r="P301"/>
  <c r="L306"/>
  <c r="L311" s="1"/>
  <c r="L313" s="1"/>
  <c r="L320" s="1"/>
  <c r="P311"/>
  <c r="P370" s="1"/>
  <c r="P373" s="1"/>
  <c r="T315"/>
  <c r="T324"/>
  <c r="T329" s="1"/>
  <c r="T331" s="1"/>
  <c r="U331" s="1"/>
  <c r="T333"/>
  <c r="T342"/>
  <c r="T347" s="1"/>
  <c r="T349" s="1"/>
  <c r="U349" s="1"/>
  <c r="T351"/>
  <c r="L219"/>
  <c r="T237"/>
  <c r="T241" s="1"/>
  <c r="T243" s="1"/>
  <c r="U243" s="1"/>
  <c r="T257"/>
  <c r="T261" s="1"/>
  <c r="T263" s="1"/>
  <c r="U263" s="1"/>
  <c r="T277"/>
  <c r="T316"/>
  <c r="T325"/>
  <c r="T334"/>
  <c r="T343"/>
  <c r="T352"/>
  <c r="L368"/>
  <c r="L322" l="1"/>
  <c r="L370"/>
  <c r="L102"/>
  <c r="U102" s="1"/>
  <c r="V102" s="1"/>
  <c r="L221"/>
  <c r="W221" s="1"/>
  <c r="W219"/>
  <c r="Y219" s="1"/>
  <c r="L209"/>
  <c r="U209" s="1"/>
  <c r="L358"/>
  <c r="W369"/>
  <c r="T320"/>
  <c r="T322" s="1"/>
  <c r="U322" s="1"/>
  <c r="U313"/>
  <c r="V313" s="1"/>
  <c r="T356"/>
  <c r="T338"/>
  <c r="T340" s="1"/>
  <c r="U340" s="1"/>
  <c r="J373"/>
  <c r="T201"/>
  <c r="U368"/>
  <c r="U293"/>
  <c r="V293" s="1"/>
  <c r="U197"/>
  <c r="V197" s="1"/>
  <c r="U185"/>
  <c r="V185" s="1"/>
  <c r="T128"/>
  <c r="T130" s="1"/>
  <c r="U130" s="1"/>
  <c r="V130" s="1"/>
  <c r="T110"/>
  <c r="T112" s="1"/>
  <c r="U112" s="1"/>
  <c r="V112" s="1"/>
  <c r="U219"/>
  <c r="U253"/>
  <c r="T20"/>
  <c r="U92"/>
  <c r="V92" s="1"/>
  <c r="U72"/>
  <c r="V72" s="1"/>
  <c r="U52"/>
  <c r="V52" s="1"/>
  <c r="U32"/>
  <c r="V32" s="1"/>
  <c r="T22" l="1"/>
  <c r="U22" s="1"/>
  <c r="V22" s="1"/>
  <c r="W21"/>
  <c r="W22" s="1"/>
  <c r="X23" s="1"/>
  <c r="T203"/>
  <c r="U203" s="1"/>
  <c r="V203" s="1"/>
  <c r="T221"/>
  <c r="W372"/>
  <c r="W376"/>
  <c r="Y369"/>
  <c r="T358"/>
  <c r="U358" s="1"/>
  <c r="T370"/>
  <c r="L373"/>
  <c r="L376" s="1"/>
  <c r="L377" s="1"/>
  <c r="W379" l="1"/>
  <c r="Y376"/>
  <c r="T373"/>
  <c r="W7" l="1"/>
</calcChain>
</file>

<file path=xl/sharedStrings.xml><?xml version="1.0" encoding="utf-8"?>
<sst xmlns="http://schemas.openxmlformats.org/spreadsheetml/2006/main" count="713" uniqueCount="153">
  <si>
    <t>WATER SERVICE CORPORATION OF KENTUCKY</t>
  </si>
  <si>
    <t>Schedule D</t>
  </si>
  <si>
    <t>Test Year/ Annualized/ Proposed Revenues</t>
  </si>
  <si>
    <t>% Increase</t>
  </si>
  <si>
    <t>Test Year Ended December 31, 2012</t>
  </si>
  <si>
    <t>in Rates</t>
  </si>
  <si>
    <t>Actual Gallons Consumed (000's)</t>
  </si>
  <si>
    <t xml:space="preserve"># of Bills </t>
  </si>
  <si>
    <t xml:space="preserve">Billable Gallons (000's) </t>
  </si>
  <si>
    <t>Rates per 1,000 gal.</t>
  </si>
  <si>
    <t xml:space="preserve">Revenue </t>
  </si>
  <si>
    <t>Test Year Revenue</t>
  </si>
  <si>
    <t>Total # of Bills</t>
  </si>
  <si>
    <t>Total Billable Gallons  (000's)</t>
  </si>
  <si>
    <t>Proposed Rates</t>
  </si>
  <si>
    <t>Proposed Revenues</t>
  </si>
  <si>
    <t>MIDDLESBORO</t>
  </si>
  <si>
    <t xml:space="preserve">Residential 5/8" Meter </t>
  </si>
  <si>
    <t>First 1,000</t>
  </si>
  <si>
    <t>Next 9,000</t>
  </si>
  <si>
    <t>Next 15,000</t>
  </si>
  <si>
    <t>Next 25,000</t>
  </si>
  <si>
    <t>Next 50,000</t>
  </si>
  <si>
    <t>Over 100,000</t>
  </si>
  <si>
    <t xml:space="preserve">Total Residential 5/8" Meter </t>
  </si>
  <si>
    <t xml:space="preserve">Average # of </t>
  </si>
  <si>
    <t>Average Residential 5/8" Bill</t>
  </si>
  <si>
    <t xml:space="preserve">Commercial 5/8" Meter </t>
  </si>
  <si>
    <t xml:space="preserve">Total Commercial 5/8" Meter </t>
  </si>
  <si>
    <t>Average Commercial 5/8" Bill</t>
  </si>
  <si>
    <t xml:space="preserve">Governmental 5/8" Meter </t>
  </si>
  <si>
    <t xml:space="preserve">Total Governmental 5/8" Meter </t>
  </si>
  <si>
    <t>Average Governmental 5/8" Bill</t>
  </si>
  <si>
    <t xml:space="preserve">Industrial 5/8" Meter </t>
  </si>
  <si>
    <t xml:space="preserve">Total Industrial 5/8" Meter </t>
  </si>
  <si>
    <t>Average Industrial 5/8" Bill</t>
  </si>
  <si>
    <t xml:space="preserve">Commercial 3/4" Meter </t>
  </si>
  <si>
    <t xml:space="preserve">Total Commercial 3/4" Meter </t>
  </si>
  <si>
    <t>Average Commercial 3/4" Bill</t>
  </si>
  <si>
    <t xml:space="preserve">Commercial 1" Meter </t>
  </si>
  <si>
    <t>First 6,000</t>
  </si>
  <si>
    <t>Next 4,000</t>
  </si>
  <si>
    <t xml:space="preserve">Total Commercial 1" Meter </t>
  </si>
  <si>
    <t>Average Commercial 1" Bill</t>
  </si>
  <si>
    <t xml:space="preserve">Residential 1" Meter </t>
  </si>
  <si>
    <t xml:space="preserve">Total Residential 1" Meter </t>
  </si>
  <si>
    <t>Average Residential 1" Bill</t>
  </si>
  <si>
    <t xml:space="preserve">Governmental 1" Meter </t>
  </si>
  <si>
    <t xml:space="preserve">Total Governmental 1" Meter </t>
  </si>
  <si>
    <t>Average Governmental 1" Bill</t>
  </si>
  <si>
    <t xml:space="preserve">Industrial 1" Meter </t>
  </si>
  <si>
    <t xml:space="preserve">Total Industrial 1" Meter </t>
  </si>
  <si>
    <t>Average Industrial 1" Bill</t>
  </si>
  <si>
    <t xml:space="preserve">Commercial 1.5" Meter </t>
  </si>
  <si>
    <t>First 11,200</t>
  </si>
  <si>
    <t>Next 13,800</t>
  </si>
  <si>
    <t xml:space="preserve">Total Commercial 1.5" Meter </t>
  </si>
  <si>
    <t>Average Commercial 1.5" Bill</t>
  </si>
  <si>
    <t xml:space="preserve">Governmental 1.5" Meter </t>
  </si>
  <si>
    <t xml:space="preserve">Total Governmental 1.5" Meter </t>
  </si>
  <si>
    <t>Average Governmental 1.5" Bill</t>
  </si>
  <si>
    <t xml:space="preserve">Industrial 1.5" Meter </t>
  </si>
  <si>
    <t xml:space="preserve">Total Industrial 1.5" Meter </t>
  </si>
  <si>
    <t>Average Industrial 1.5" Bill</t>
  </si>
  <si>
    <t xml:space="preserve">Commercial 2" Meter </t>
  </si>
  <si>
    <t>First 17,600</t>
  </si>
  <si>
    <t>Next 7,400</t>
  </si>
  <si>
    <t xml:space="preserve">Total Commercial 2" Meter </t>
  </si>
  <si>
    <t>Average Commercial 2" Bill</t>
  </si>
  <si>
    <t xml:space="preserve">Industrial 2" Meter </t>
  </si>
  <si>
    <t xml:space="preserve">Total Industrial 2" Meter </t>
  </si>
  <si>
    <t>Average Industrial 2" Bill</t>
  </si>
  <si>
    <t xml:space="preserve">Governmental 2" Meter </t>
  </si>
  <si>
    <t xml:space="preserve">Total Governmental 2" Meter </t>
  </si>
  <si>
    <t>Average Governmental 2" Bill</t>
  </si>
  <si>
    <t xml:space="preserve">Commercial 3" Meter </t>
  </si>
  <si>
    <t>First 68,400</t>
  </si>
  <si>
    <t>Next 31,600</t>
  </si>
  <si>
    <t xml:space="preserve">Total Commercial 3" Meter </t>
  </si>
  <si>
    <t>Average Commercial 3" Bill</t>
  </si>
  <si>
    <t xml:space="preserve">Governmental 3" Meter </t>
  </si>
  <si>
    <t xml:space="preserve">Total Governmental 3" Meter </t>
  </si>
  <si>
    <t>Average Governmental 3" Bill</t>
  </si>
  <si>
    <t xml:space="preserve">Industrial 3" Meter </t>
  </si>
  <si>
    <t xml:space="preserve">Total Industrial 3" Meter </t>
  </si>
  <si>
    <t>Average Industrial 3" Bill</t>
  </si>
  <si>
    <t xml:space="preserve">Commercial 4" Meter </t>
  </si>
  <si>
    <t>First 127,500</t>
  </si>
  <si>
    <t>Over 127,500</t>
  </si>
  <si>
    <t xml:space="preserve">Total Commercial 4" Meter </t>
  </si>
  <si>
    <t>Average Commercial 4" Bill</t>
  </si>
  <si>
    <t xml:space="preserve">Governmental 4" Meter </t>
  </si>
  <si>
    <t xml:space="preserve">Total Governmental 4" Meter </t>
  </si>
  <si>
    <t>Average Governmental 4" Bill</t>
  </si>
  <si>
    <t xml:space="preserve">Industrial 4" Meter </t>
  </si>
  <si>
    <t xml:space="preserve">Total Industrial 4" Meter </t>
  </si>
  <si>
    <t>Average Industrial 4" Bill</t>
  </si>
  <si>
    <t xml:space="preserve">Commercial 6" Meter </t>
  </si>
  <si>
    <t>First 281,500</t>
  </si>
  <si>
    <t>Over 281,500</t>
  </si>
  <si>
    <t xml:space="preserve">Total Commercial 6" Meter </t>
  </si>
  <si>
    <t>Average Commercial 6" Bill</t>
  </si>
  <si>
    <t xml:space="preserve">Industrial 6" Meter </t>
  </si>
  <si>
    <t xml:space="preserve">Total Industrial 6" Meter </t>
  </si>
  <si>
    <t>Average Industrial 6" Bill</t>
  </si>
  <si>
    <t>Middlesboro Municipal Fire Protection</t>
  </si>
  <si>
    <t xml:space="preserve">Total Middlesboro Municiple Fire </t>
  </si>
  <si>
    <t xml:space="preserve">Average Middlesboro Municiple Fire </t>
  </si>
  <si>
    <t>Middlesboro Private Fire Protection</t>
  </si>
  <si>
    <t xml:space="preserve">Total Middlesboro  Private Fire </t>
  </si>
  <si>
    <t>Midd</t>
  </si>
  <si>
    <t>Total Calculated Midd</t>
  </si>
  <si>
    <t>From Brian's Summery page</t>
  </si>
  <si>
    <t>Difference</t>
  </si>
  <si>
    <t xml:space="preserve">Average Middlesboro  Private Fire </t>
  </si>
  <si>
    <t>TOTAL MIDDLESBORO</t>
  </si>
  <si>
    <t>Check</t>
  </si>
  <si>
    <t>CLINTON</t>
  </si>
  <si>
    <t xml:space="preserve">Governmental  5/8" Meter </t>
  </si>
  <si>
    <t xml:space="preserve">Total Governmental  5/8" Meter </t>
  </si>
  <si>
    <t>Average Governmental  5/8" Bill</t>
  </si>
  <si>
    <t xml:space="preserve">Residential 3/4" Meter </t>
  </si>
  <si>
    <t xml:space="preserve">Total Residential 3/4" Meter </t>
  </si>
  <si>
    <t>Average Residential 3/4" Bill</t>
  </si>
  <si>
    <t xml:space="preserve">Governmental  3/4" Meter </t>
  </si>
  <si>
    <t>Average Consumption</t>
  </si>
  <si>
    <t xml:space="preserve">Total Governmental 3/4" Meter </t>
  </si>
  <si>
    <t>Average Governmental 3/4" Bill</t>
  </si>
  <si>
    <t>First 5,300</t>
  </si>
  <si>
    <t>Next 3,700</t>
  </si>
  <si>
    <t xml:space="preserve">Total Commersial 1" Meter </t>
  </si>
  <si>
    <t xml:space="preserve">Average Commercial 1" Bill </t>
  </si>
  <si>
    <t xml:space="preserve">Residential 2" Meter </t>
  </si>
  <si>
    <t xml:space="preserve">Total Residential 2" Meter </t>
  </si>
  <si>
    <t>Average Residential 2" Bill</t>
  </si>
  <si>
    <t xml:space="preserve">Governmental  2" Meter </t>
  </si>
  <si>
    <t xml:space="preserve">Total Governmental  2" Meter </t>
  </si>
  <si>
    <t>Average Governmental  2" Bill</t>
  </si>
  <si>
    <t>Clinton Municipal Fire Protection</t>
  </si>
  <si>
    <t xml:space="preserve">Total Clinton Municiple Fire </t>
  </si>
  <si>
    <t xml:space="preserve">Average Clinton Municiple Fire </t>
  </si>
  <si>
    <t>Clinton Private Fire Protection</t>
  </si>
  <si>
    <t xml:space="preserve">Total Clinton  Private Fire </t>
  </si>
  <si>
    <t>Clinton</t>
  </si>
  <si>
    <t xml:space="preserve">Average Clinton  Private Fire </t>
  </si>
  <si>
    <t>Total Calculated Clinton</t>
  </si>
  <si>
    <t>TOTAL CLINTON</t>
  </si>
  <si>
    <t>Total WSC KY</t>
  </si>
  <si>
    <t>Total</t>
  </si>
  <si>
    <t>Case No. 2010 - 00476</t>
  </si>
  <si>
    <t>Test Year Ended September 30, 2010</t>
  </si>
  <si>
    <t># of Bills</t>
  </si>
  <si>
    <t>Billable Gallons (000's)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</si>
</sst>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mmmm\ d\,\ yyyy"/>
    <numFmt numFmtId="169" formatCode="0.000%"/>
    <numFmt numFmtId="170" formatCode="_(* #,##0.000_);_(* \(#,##0.000\);_(* &quot;-&quot;??_);_(@_)"/>
    <numFmt numFmtId="171" formatCode="#########"/>
    <numFmt numFmtId="172" formatCode="##"/>
    <numFmt numFmtId="173" formatCode="mm/dd/yy"/>
    <numFmt numFmtId="174" formatCode="mm/yy"/>
    <numFmt numFmtId="175" formatCode="_([$€-2]* #,##0.00_);_([$€-2]* \(#,##0.00\);_([$€-2]* &quot;-&quot;??_)"/>
    <numFmt numFmtId="176" formatCode="[$-409]mmm\-yy;@"/>
    <numFmt numFmtId="177" formatCode="_(* #,##0.0000_);_(* \(#,##0.0000\);_(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9"/>
      <name val="Times New Roman"/>
      <family val="1"/>
    </font>
    <font>
      <sz val="11"/>
      <color theme="1"/>
      <name val="Georgi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name val="Geneva"/>
    </font>
    <font>
      <b/>
      <sz val="9"/>
      <color theme="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sz val="12"/>
      <name val="Arial"/>
      <family val="2"/>
    </font>
    <font>
      <sz val="12"/>
      <color theme="1"/>
      <name val="Arial"/>
      <family val="2"/>
    </font>
    <font>
      <sz val="10"/>
      <name val="Geneva"/>
      <family val="2"/>
    </font>
    <font>
      <sz val="10"/>
      <name val="Bookman"/>
      <family val="1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35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8" fillId="0" borderId="0"/>
    <xf numFmtId="43" fontId="20" fillId="0" borderId="0" applyFont="0" applyFill="0" applyBorder="0" applyAlignment="0" applyProtection="0"/>
    <xf numFmtId="164" fontId="20" fillId="0" borderId="0"/>
    <xf numFmtId="44" fontId="18" fillId="0" borderId="0" applyFont="0" applyFill="0" applyBorder="0" applyAlignment="0" applyProtection="0"/>
    <xf numFmtId="164" fontId="23" fillId="0" borderId="0"/>
    <xf numFmtId="43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5" fillId="0" borderId="0"/>
    <xf numFmtId="0" fontId="26" fillId="0" borderId="0">
      <alignment vertical="top"/>
    </xf>
    <xf numFmtId="171" fontId="27" fillId="0" borderId="0"/>
    <xf numFmtId="171" fontId="27" fillId="0" borderId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39" borderId="0" applyNumberFormat="0" applyBorder="0" applyAlignment="0" applyProtection="0"/>
    <xf numFmtId="0" fontId="1" fillId="11" borderId="0" applyNumberFormat="0" applyBorder="0" applyAlignment="0" applyProtection="0"/>
    <xf numFmtId="0" fontId="2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41" borderId="0" applyNumberFormat="0" applyBorder="0" applyAlignment="0" applyProtection="0"/>
    <xf numFmtId="0" fontId="1" fillId="19" borderId="0" applyNumberFormat="0" applyBorder="0" applyAlignment="0" applyProtection="0"/>
    <xf numFmtId="0" fontId="2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36" borderId="0" applyNumberFormat="0" applyBorder="0" applyAlignment="0" applyProtection="0"/>
    <xf numFmtId="0" fontId="1" fillId="23" borderId="0" applyNumberFormat="0" applyBorder="0" applyAlignment="0" applyProtection="0"/>
    <xf numFmtId="0" fontId="2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39" borderId="0" applyNumberFormat="0" applyBorder="0" applyAlignment="0" applyProtection="0"/>
    <xf numFmtId="0" fontId="1" fillId="27" borderId="0" applyNumberFormat="0" applyBorder="0" applyAlignment="0" applyProtection="0"/>
    <xf numFmtId="0" fontId="2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42" borderId="0" applyNumberFormat="0" applyBorder="0" applyAlignment="0" applyProtection="0"/>
    <xf numFmtId="0" fontId="1" fillId="31" borderId="0" applyNumberFormat="0" applyBorder="0" applyAlignment="0" applyProtection="0"/>
    <xf numFmtId="0" fontId="28" fillId="42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43" borderId="0" applyNumberFormat="0" applyBorder="0" applyAlignment="0" applyProtection="0"/>
    <xf numFmtId="0" fontId="17" fillId="12" borderId="0" applyNumberFormat="0" applyBorder="0" applyAlignment="0" applyProtection="0"/>
    <xf numFmtId="0" fontId="29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9" fillId="45" borderId="0" applyNumberFormat="0" applyBorder="0" applyAlignment="0" applyProtection="0"/>
    <xf numFmtId="0" fontId="17" fillId="28" borderId="0" applyNumberFormat="0" applyBorder="0" applyAlignment="0" applyProtection="0"/>
    <xf numFmtId="0" fontId="29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46" borderId="0" applyNumberFormat="0" applyBorder="0" applyAlignment="0" applyProtection="0"/>
    <xf numFmtId="0" fontId="17" fillId="32" borderId="0" applyNumberFormat="0" applyBorder="0" applyAlignment="0" applyProtection="0"/>
    <xf numFmtId="0" fontId="29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9" fillId="47" borderId="0" applyNumberFormat="0" applyBorder="0" applyAlignment="0" applyProtection="0"/>
    <xf numFmtId="0" fontId="17" fillId="9" borderId="0" applyNumberFormat="0" applyBorder="0" applyAlignment="0" applyProtection="0"/>
    <xf numFmtId="0" fontId="29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9" fillId="48" borderId="0" applyNumberFormat="0" applyBorder="0" applyAlignment="0" applyProtection="0"/>
    <xf numFmtId="0" fontId="17" fillId="13" borderId="0" applyNumberFormat="0" applyBorder="0" applyAlignment="0" applyProtection="0"/>
    <xf numFmtId="0" fontId="29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9" fillId="49" borderId="0" applyNumberFormat="0" applyBorder="0" applyAlignment="0" applyProtection="0"/>
    <xf numFmtId="0" fontId="17" fillId="17" borderId="0" applyNumberFormat="0" applyBorder="0" applyAlignment="0" applyProtection="0"/>
    <xf numFmtId="0" fontId="29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9" fillId="44" borderId="0" applyNumberFormat="0" applyBorder="0" applyAlignment="0" applyProtection="0"/>
    <xf numFmtId="0" fontId="17" fillId="21" borderId="0" applyNumberFormat="0" applyBorder="0" applyAlignment="0" applyProtection="0"/>
    <xf numFmtId="0" fontId="29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9" fillId="45" borderId="0" applyNumberFormat="0" applyBorder="0" applyAlignment="0" applyProtection="0"/>
    <xf numFmtId="0" fontId="17" fillId="25" borderId="0" applyNumberFormat="0" applyBorder="0" applyAlignment="0" applyProtection="0"/>
    <xf numFmtId="0" fontId="29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34" borderId="0" applyNumberFormat="0" applyBorder="0" applyAlignment="0" applyProtection="0"/>
    <xf numFmtId="0" fontId="7" fillId="3" borderId="0" applyNumberFormat="0" applyBorder="0" applyAlignment="0" applyProtection="0"/>
    <xf numFmtId="0" fontId="30" fillId="34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31" fillId="51" borderId="16" applyNumberFormat="0" applyAlignment="0" applyProtection="0"/>
    <xf numFmtId="0" fontId="11" fillId="6" borderId="4" applyNumberFormat="0" applyAlignment="0" applyProtection="0"/>
    <xf numFmtId="0" fontId="31" fillId="51" borderId="16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32" fillId="52" borderId="17" applyNumberFormat="0" applyAlignment="0" applyProtection="0"/>
    <xf numFmtId="0" fontId="13" fillId="7" borderId="7" applyNumberFormat="0" applyAlignment="0" applyProtection="0"/>
    <xf numFmtId="0" fontId="32" fillId="52" borderId="17" applyNumberFormat="0" applyAlignment="0" applyProtection="0"/>
    <xf numFmtId="0" fontId="13" fillId="7" borderId="7" applyNumberFormat="0" applyAlignment="0" applyProtection="0"/>
    <xf numFmtId="172" fontId="33" fillId="0" borderId="0" applyFont="0"/>
    <xf numFmtId="37" fontId="34" fillId="0" borderId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73" fontId="3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3" fillId="0" borderId="0"/>
    <xf numFmtId="174" fontId="27" fillId="0" borderId="0" applyFont="0" applyAlignment="0"/>
    <xf numFmtId="175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 horizontal="right"/>
    </xf>
    <xf numFmtId="0" fontId="6" fillId="2" borderId="0" applyNumberFormat="0" applyBorder="0" applyAlignment="0" applyProtection="0"/>
    <xf numFmtId="0" fontId="40" fillId="35" borderId="0" applyNumberFormat="0" applyBorder="0" applyAlignment="0" applyProtection="0"/>
    <xf numFmtId="0" fontId="6" fillId="2" borderId="0" applyNumberFormat="0" applyBorder="0" applyAlignment="0" applyProtection="0"/>
    <xf numFmtId="0" fontId="40" fillId="35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1" fillId="0" borderId="18" applyNumberFormat="0" applyFill="0" applyAlignment="0" applyProtection="0"/>
    <xf numFmtId="0" fontId="3" fillId="0" borderId="1" applyNumberFormat="0" applyFill="0" applyAlignment="0" applyProtection="0"/>
    <xf numFmtId="0" fontId="41" fillId="0" borderId="1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2" fillId="0" borderId="19" applyNumberFormat="0" applyFill="0" applyAlignment="0" applyProtection="0"/>
    <xf numFmtId="0" fontId="4" fillId="0" borderId="2" applyNumberFormat="0" applyFill="0" applyAlignment="0" applyProtection="0"/>
    <xf numFmtId="0" fontId="42" fillId="0" borderId="19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3" fillId="0" borderId="20" applyNumberFormat="0" applyFill="0" applyAlignment="0" applyProtection="0"/>
    <xf numFmtId="0" fontId="5" fillId="0" borderId="3" applyNumberFormat="0" applyFill="0" applyAlignment="0" applyProtection="0"/>
    <xf numFmtId="0" fontId="43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44" fillId="38" borderId="16" applyNumberFormat="0" applyAlignment="0" applyProtection="0"/>
    <xf numFmtId="0" fontId="9" fillId="5" borderId="4" applyNumberFormat="0" applyAlignment="0" applyProtection="0"/>
    <xf numFmtId="0" fontId="44" fillId="38" borderId="16" applyNumberFormat="0" applyAlignment="0" applyProtection="0"/>
    <xf numFmtId="0" fontId="9" fillId="5" borderId="4" applyNumberFormat="0" applyAlignment="0" applyProtection="0"/>
    <xf numFmtId="49" fontId="34" fillId="0" borderId="0">
      <alignment horizontal="center"/>
    </xf>
    <xf numFmtId="0" fontId="12" fillId="0" borderId="6" applyNumberFormat="0" applyFill="0" applyAlignment="0" applyProtection="0"/>
    <xf numFmtId="0" fontId="45" fillId="0" borderId="21" applyNumberFormat="0" applyFill="0" applyAlignment="0" applyProtection="0"/>
    <xf numFmtId="0" fontId="12" fillId="0" borderId="6" applyNumberFormat="0" applyFill="0" applyAlignment="0" applyProtection="0"/>
    <xf numFmtId="0" fontId="45" fillId="0" borderId="21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46" fillId="53" borderId="0" applyNumberFormat="0" applyBorder="0" applyAlignment="0" applyProtection="0"/>
    <xf numFmtId="0" fontId="8" fillId="4" borderId="0" applyNumberFormat="0" applyBorder="0" applyAlignment="0" applyProtection="0"/>
    <xf numFmtId="0" fontId="46" fillId="53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>
      <alignment vertical="top"/>
    </xf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47" fillId="0" borderId="0"/>
    <xf numFmtId="164" fontId="47" fillId="0" borderId="0"/>
    <xf numFmtId="0" fontId="18" fillId="0" borderId="0"/>
    <xf numFmtId="0" fontId="25" fillId="0" borderId="0"/>
    <xf numFmtId="164" fontId="25" fillId="0" borderId="0"/>
    <xf numFmtId="0" fontId="38" fillId="0" borderId="0"/>
    <xf numFmtId="0" fontId="18" fillId="0" borderId="0"/>
    <xf numFmtId="0" fontId="26" fillId="0" borderId="0">
      <alignment vertical="top"/>
    </xf>
    <xf numFmtId="164" fontId="18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1" fillId="0" borderId="0"/>
    <xf numFmtId="175" fontId="28" fillId="0" borderId="0"/>
    <xf numFmtId="175" fontId="1" fillId="0" borderId="0"/>
    <xf numFmtId="0" fontId="1" fillId="0" borderId="0"/>
    <xf numFmtId="164" fontId="34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164" fontId="18" fillId="0" borderId="0"/>
    <xf numFmtId="0" fontId="1" fillId="0" borderId="0"/>
    <xf numFmtId="164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164" fontId="1" fillId="0" borderId="0"/>
    <xf numFmtId="164" fontId="1" fillId="0" borderId="0"/>
    <xf numFmtId="0" fontId="26" fillId="0" borderId="0">
      <alignment vertical="top"/>
    </xf>
    <xf numFmtId="0" fontId="18" fillId="0" borderId="0"/>
    <xf numFmtId="164" fontId="18" fillId="0" borderId="0"/>
    <xf numFmtId="0" fontId="26" fillId="0" borderId="0">
      <alignment vertical="top"/>
    </xf>
    <xf numFmtId="164" fontId="18" fillId="0" borderId="0"/>
    <xf numFmtId="164" fontId="18" fillId="0" borderId="0"/>
    <xf numFmtId="0" fontId="1" fillId="8" borderId="8" applyNumberFormat="0" applyFont="0" applyAlignment="0" applyProtection="0"/>
    <xf numFmtId="0" fontId="28" fillId="54" borderId="22" applyNumberFormat="0" applyFont="0" applyAlignment="0" applyProtection="0"/>
    <xf numFmtId="0" fontId="1" fillId="8" borderId="8" applyNumberFormat="0" applyFont="0" applyAlignment="0" applyProtection="0"/>
    <xf numFmtId="0" fontId="28" fillId="54" borderId="22" applyNumberFormat="0" applyFont="0" applyAlignment="0" applyProtection="0"/>
    <xf numFmtId="0" fontId="1" fillId="8" borderId="8" applyNumberFormat="0" applyFont="0" applyAlignment="0" applyProtection="0"/>
    <xf numFmtId="0" fontId="28" fillId="54" borderId="22" applyNumberFormat="0" applyFont="0" applyAlignment="0" applyProtection="0"/>
    <xf numFmtId="0" fontId="28" fillId="54" borderId="22" applyNumberFormat="0" applyFont="0" applyAlignment="0" applyProtection="0"/>
    <xf numFmtId="0" fontId="28" fillId="54" borderId="22" applyNumberFormat="0" applyFont="0" applyAlignment="0" applyProtection="0"/>
    <xf numFmtId="0" fontId="28" fillId="54" borderId="22" applyNumberFormat="0" applyFont="0" applyAlignment="0" applyProtection="0"/>
    <xf numFmtId="0" fontId="28" fillId="54" borderId="22" applyNumberFormat="0" applyFont="0" applyAlignment="0" applyProtection="0"/>
    <xf numFmtId="0" fontId="10" fillId="6" borderId="5" applyNumberFormat="0" applyAlignment="0" applyProtection="0"/>
    <xf numFmtId="0" fontId="48" fillId="51" borderId="23" applyNumberFormat="0" applyAlignment="0" applyProtection="0"/>
    <xf numFmtId="0" fontId="10" fillId="6" borderId="5" applyNumberFormat="0" applyAlignment="0" applyProtection="0"/>
    <xf numFmtId="0" fontId="48" fillId="51" borderId="23" applyNumberFormat="0" applyAlignment="0" applyProtection="0"/>
    <xf numFmtId="0" fontId="10" fillId="6" borderId="5" applyNumberFormat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0" fillId="0" borderId="24" applyNumberFormat="0" applyFill="0" applyAlignment="0" applyProtection="0"/>
    <xf numFmtId="0" fontId="16" fillId="0" borderId="9" applyNumberFormat="0" applyFill="0" applyAlignment="0" applyProtection="0"/>
    <xf numFmtId="0" fontId="50" fillId="0" borderId="24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0">
    <xf numFmtId="0" fontId="0" fillId="0" borderId="0" xfId="0"/>
    <xf numFmtId="37" fontId="19" fillId="0" borderId="0" xfId="3" applyNumberFormat="1" applyFont="1" applyFill="1"/>
    <xf numFmtId="165" fontId="21" fillId="0" borderId="0" xfId="4" applyNumberFormat="1" applyFont="1" applyFill="1"/>
    <xf numFmtId="164" fontId="21" fillId="0" borderId="0" xfId="3" applyFont="1" applyFill="1"/>
    <xf numFmtId="166" fontId="21" fillId="0" borderId="0" xfId="4" applyNumberFormat="1" applyFont="1" applyFill="1"/>
    <xf numFmtId="167" fontId="21" fillId="0" borderId="0" xfId="4" applyNumberFormat="1" applyFont="1" applyFill="1"/>
    <xf numFmtId="164" fontId="22" fillId="0" borderId="0" xfId="5" applyFont="1" applyFill="1"/>
    <xf numFmtId="165" fontId="21" fillId="0" borderId="0" xfId="1" applyNumberFormat="1" applyFont="1" applyFill="1"/>
    <xf numFmtId="165" fontId="21" fillId="0" borderId="0" xfId="4" applyNumberFormat="1" applyFont="1" applyFill="1" applyBorder="1"/>
    <xf numFmtId="165" fontId="22" fillId="0" borderId="0" xfId="1" applyNumberFormat="1" applyFont="1" applyFill="1"/>
    <xf numFmtId="42" fontId="19" fillId="0" borderId="0" xfId="3" applyNumberFormat="1" applyFont="1" applyFill="1" applyAlignment="1">
      <alignment horizontal="right"/>
    </xf>
    <xf numFmtId="166" fontId="19" fillId="0" borderId="0" xfId="3" applyNumberFormat="1" applyFont="1" applyFill="1" applyBorder="1" applyAlignment="1">
      <alignment horizontal="right"/>
    </xf>
    <xf numFmtId="167" fontId="19" fillId="0" borderId="0" xfId="3" applyNumberFormat="1" applyFont="1" applyFill="1" applyAlignment="1">
      <alignment horizontal="right"/>
    </xf>
    <xf numFmtId="164" fontId="21" fillId="0" borderId="0" xfId="3" applyFont="1" applyFill="1" applyAlignment="1">
      <alignment horizontal="center"/>
    </xf>
    <xf numFmtId="164" fontId="19" fillId="0" borderId="0" xfId="3" applyFont="1" applyFill="1"/>
    <xf numFmtId="166" fontId="21" fillId="0" borderId="0" xfId="4" applyNumberFormat="1" applyFont="1" applyFill="1" applyBorder="1"/>
    <xf numFmtId="167" fontId="21" fillId="0" borderId="0" xfId="3" applyNumberFormat="1" applyFont="1" applyFill="1"/>
    <xf numFmtId="164" fontId="19" fillId="0" borderId="0" xfId="3" applyFont="1" applyFill="1" applyAlignment="1">
      <alignment horizontal="center"/>
    </xf>
    <xf numFmtId="167" fontId="21" fillId="0" borderId="0" xfId="6" applyNumberFormat="1" applyFont="1" applyFill="1" applyBorder="1" applyAlignment="1"/>
    <xf numFmtId="39" fontId="21" fillId="0" borderId="0" xfId="7" applyNumberFormat="1" applyFont="1" applyFill="1" applyBorder="1" applyAlignment="1"/>
    <xf numFmtId="168" fontId="19" fillId="0" borderId="0" xfId="3" applyNumberFormat="1" applyFont="1" applyFill="1" applyAlignment="1">
      <alignment horizontal="left"/>
    </xf>
    <xf numFmtId="43" fontId="21" fillId="0" borderId="0" xfId="8" applyFont="1" applyFill="1"/>
    <xf numFmtId="164" fontId="21" fillId="0" borderId="0" xfId="3" applyFont="1" applyFill="1" applyAlignment="1">
      <alignment horizontal="left"/>
    </xf>
    <xf numFmtId="169" fontId="19" fillId="0" borderId="10" xfId="9" applyNumberFormat="1" applyFont="1" applyFill="1" applyBorder="1" applyAlignment="1">
      <alignment horizontal="center"/>
    </xf>
    <xf numFmtId="44" fontId="21" fillId="0" borderId="0" xfId="6" applyFont="1" applyFill="1" applyAlignment="1">
      <alignment horizontal="center"/>
    </xf>
    <xf numFmtId="37" fontId="21" fillId="0" borderId="0" xfId="7" applyNumberFormat="1" applyFont="1" applyFill="1"/>
    <xf numFmtId="165" fontId="21" fillId="0" borderId="0" xfId="4" applyNumberFormat="1" applyFont="1" applyFill="1" applyAlignment="1"/>
    <xf numFmtId="37" fontId="21" fillId="0" borderId="0" xfId="7" applyNumberFormat="1" applyFont="1" applyFill="1" applyAlignment="1"/>
    <xf numFmtId="166" fontId="21" fillId="0" borderId="0" xfId="4" applyNumberFormat="1" applyFont="1" applyFill="1" applyAlignment="1"/>
    <xf numFmtId="167" fontId="21" fillId="0" borderId="0" xfId="4" applyNumberFormat="1" applyFont="1" applyFill="1" applyAlignment="1"/>
    <xf numFmtId="165" fontId="21" fillId="0" borderId="0" xfId="1" applyNumberFormat="1" applyFont="1" applyFill="1" applyAlignment="1"/>
    <xf numFmtId="165" fontId="21" fillId="0" borderId="0" xfId="4" applyNumberFormat="1" applyFont="1" applyFill="1" applyBorder="1" applyAlignment="1"/>
    <xf numFmtId="166" fontId="21" fillId="0" borderId="0" xfId="4" applyNumberFormat="1" applyFont="1" applyFill="1" applyBorder="1" applyAlignment="1"/>
    <xf numFmtId="167" fontId="21" fillId="0" borderId="0" xfId="7" applyNumberFormat="1" applyFont="1" applyFill="1" applyAlignment="1"/>
    <xf numFmtId="43" fontId="21" fillId="0" borderId="0" xfId="1" applyFont="1" applyFill="1" applyAlignment="1">
      <alignment horizontal="center"/>
    </xf>
    <xf numFmtId="37" fontId="21" fillId="0" borderId="0" xfId="7" applyNumberFormat="1" applyFont="1" applyFill="1" applyAlignment="1">
      <alignment horizontal="center"/>
    </xf>
    <xf numFmtId="165" fontId="21" fillId="0" borderId="0" xfId="4" applyNumberFormat="1" applyFont="1" applyFill="1" applyBorder="1" applyAlignment="1">
      <alignment horizontal="center"/>
    </xf>
    <xf numFmtId="37" fontId="21" fillId="0" borderId="0" xfId="7" applyNumberFormat="1" applyFont="1" applyFill="1" applyBorder="1" applyAlignment="1">
      <alignment horizontal="center"/>
    </xf>
    <xf numFmtId="166" fontId="21" fillId="0" borderId="0" xfId="4" applyNumberFormat="1" applyFont="1" applyFill="1" applyBorder="1" applyAlignment="1">
      <alignment horizontal="center"/>
    </xf>
    <xf numFmtId="167" fontId="21" fillId="0" borderId="0" xfId="4" applyNumberFormat="1" applyFont="1" applyFill="1" applyBorder="1" applyAlignment="1">
      <alignment horizontal="center"/>
    </xf>
    <xf numFmtId="167" fontId="21" fillId="0" borderId="0" xfId="4" applyNumberFormat="1" applyFont="1" applyFill="1" applyAlignment="1">
      <alignment horizontal="center"/>
    </xf>
    <xf numFmtId="165" fontId="21" fillId="0" borderId="0" xfId="1" applyNumberFormat="1" applyFont="1" applyFill="1" applyAlignment="1">
      <alignment horizontal="center"/>
    </xf>
    <xf numFmtId="165" fontId="21" fillId="0" borderId="0" xfId="4" applyNumberFormat="1" applyFont="1" applyFill="1" applyAlignment="1">
      <alignment horizontal="center"/>
    </xf>
    <xf numFmtId="167" fontId="21" fillId="0" borderId="0" xfId="7" applyNumberFormat="1" applyFont="1" applyFill="1" applyAlignment="1">
      <alignment horizontal="center"/>
    </xf>
    <xf numFmtId="5" fontId="21" fillId="0" borderId="0" xfId="1" applyNumberFormat="1" applyFont="1" applyFill="1" applyBorder="1" applyAlignment="1">
      <alignment horizontal="center"/>
    </xf>
    <xf numFmtId="42" fontId="21" fillId="0" borderId="0" xfId="3" applyNumberFormat="1" applyFont="1" applyFill="1" applyBorder="1" applyAlignment="1">
      <alignment horizontal="center"/>
    </xf>
    <xf numFmtId="164" fontId="21" fillId="0" borderId="0" xfId="3" applyFont="1" applyFill="1" applyBorder="1"/>
    <xf numFmtId="164" fontId="21" fillId="0" borderId="0" xfId="3" applyFont="1" applyFill="1" applyBorder="1" applyAlignment="1">
      <alignment horizontal="center"/>
    </xf>
    <xf numFmtId="165" fontId="21" fillId="0" borderId="0" xfId="8" applyNumberFormat="1" applyFont="1" applyFill="1" applyBorder="1" applyAlignment="1"/>
    <xf numFmtId="165" fontId="21" fillId="0" borderId="11" xfId="4" applyNumberFormat="1" applyFont="1" applyFill="1" applyBorder="1" applyAlignment="1">
      <alignment horizontal="center" wrapText="1"/>
    </xf>
    <xf numFmtId="37" fontId="21" fillId="0" borderId="0" xfId="7" applyNumberFormat="1" applyFont="1" applyFill="1" applyBorder="1" applyAlignment="1">
      <alignment horizontal="center" wrapText="1"/>
    </xf>
    <xf numFmtId="165" fontId="21" fillId="0" borderId="0" xfId="4" applyNumberFormat="1" applyFont="1" applyFill="1" applyBorder="1" applyAlignment="1">
      <alignment horizontal="center" wrapText="1"/>
    </xf>
    <xf numFmtId="166" fontId="21" fillId="0" borderId="11" xfId="4" applyNumberFormat="1" applyFont="1" applyFill="1" applyBorder="1" applyAlignment="1">
      <alignment horizontal="center" wrapText="1"/>
    </xf>
    <xf numFmtId="167" fontId="21" fillId="0" borderId="11" xfId="4" applyNumberFormat="1" applyFont="1" applyFill="1" applyBorder="1" applyAlignment="1">
      <alignment horizontal="center" wrapText="1"/>
    </xf>
    <xf numFmtId="165" fontId="21" fillId="0" borderId="11" xfId="1" applyNumberFormat="1" applyFont="1" applyFill="1" applyBorder="1" applyAlignment="1">
      <alignment horizontal="center" wrapText="1"/>
    </xf>
    <xf numFmtId="167" fontId="21" fillId="0" borderId="11" xfId="7" applyNumberFormat="1" applyFont="1" applyFill="1" applyBorder="1" applyAlignment="1">
      <alignment horizontal="center" wrapText="1"/>
    </xf>
    <xf numFmtId="43" fontId="21" fillId="0" borderId="0" xfId="1" applyFont="1" applyFill="1" applyBorder="1" applyAlignment="1">
      <alignment horizontal="center"/>
    </xf>
    <xf numFmtId="166" fontId="21" fillId="0" borderId="0" xfId="4" applyNumberFormat="1" applyFont="1" applyFill="1" applyBorder="1" applyAlignment="1">
      <alignment horizontal="center" wrapText="1"/>
    </xf>
    <xf numFmtId="167" fontId="21" fillId="0" borderId="0" xfId="4" applyNumberFormat="1" applyFont="1" applyFill="1" applyBorder="1" applyAlignment="1">
      <alignment horizontal="center" wrapText="1"/>
    </xf>
    <xf numFmtId="165" fontId="21" fillId="0" borderId="0" xfId="1" applyNumberFormat="1" applyFont="1" applyFill="1" applyBorder="1" applyAlignment="1">
      <alignment horizontal="center" wrapText="1"/>
    </xf>
    <xf numFmtId="167" fontId="21" fillId="0" borderId="0" xfId="7" applyNumberFormat="1" applyFont="1" applyFill="1" applyBorder="1" applyAlignment="1">
      <alignment horizontal="center" wrapText="1"/>
    </xf>
    <xf numFmtId="39" fontId="19" fillId="0" borderId="0" xfId="7" applyNumberFormat="1" applyFont="1" applyFill="1" applyAlignment="1">
      <alignment horizontal="center"/>
    </xf>
    <xf numFmtId="165" fontId="19" fillId="0" borderId="0" xfId="4" applyNumberFormat="1" applyFont="1" applyFill="1" applyAlignment="1"/>
    <xf numFmtId="39" fontId="19" fillId="0" borderId="0" xfId="7" applyNumberFormat="1" applyFont="1" applyFill="1" applyAlignment="1"/>
    <xf numFmtId="166" fontId="19" fillId="0" borderId="0" xfId="4" applyNumberFormat="1" applyFont="1" applyFill="1" applyAlignment="1"/>
    <xf numFmtId="167" fontId="19" fillId="0" borderId="0" xfId="4" applyNumberFormat="1" applyFont="1" applyFill="1" applyAlignment="1"/>
    <xf numFmtId="165" fontId="19" fillId="0" borderId="0" xfId="10" applyNumberFormat="1" applyFont="1" applyFill="1" applyAlignment="1"/>
    <xf numFmtId="165" fontId="19" fillId="0" borderId="0" xfId="4" applyNumberFormat="1" applyFont="1" applyFill="1" applyBorder="1" applyAlignment="1"/>
    <xf numFmtId="166" fontId="19" fillId="0" borderId="0" xfId="4" applyNumberFormat="1" applyFont="1" applyFill="1" applyBorder="1" applyAlignment="1"/>
    <xf numFmtId="167" fontId="19" fillId="0" borderId="0" xfId="7" applyNumberFormat="1" applyFont="1" applyFill="1" applyAlignment="1"/>
    <xf numFmtId="39" fontId="19" fillId="0" borderId="0" xfId="7" applyNumberFormat="1" applyFont="1" applyFill="1"/>
    <xf numFmtId="165" fontId="19" fillId="0" borderId="0" xfId="4" quotePrefix="1" applyNumberFormat="1" applyFont="1" applyFill="1" applyAlignment="1"/>
    <xf numFmtId="44" fontId="19" fillId="0" borderId="0" xfId="11" quotePrefix="1" applyFont="1" applyFill="1" applyAlignment="1"/>
    <xf numFmtId="39" fontId="21" fillId="0" borderId="0" xfId="7" applyNumberFormat="1" applyFont="1" applyFill="1"/>
    <xf numFmtId="165" fontId="21" fillId="0" borderId="0" xfId="8" applyNumberFormat="1" applyFont="1" applyFill="1" applyAlignment="1"/>
    <xf numFmtId="39" fontId="21" fillId="0" borderId="0" xfId="7" applyNumberFormat="1" applyFont="1" applyFill="1" applyAlignment="1"/>
    <xf numFmtId="165" fontId="21" fillId="0" borderId="0" xfId="10" applyNumberFormat="1" applyFont="1" applyFill="1" applyAlignment="1"/>
    <xf numFmtId="167" fontId="21" fillId="0" borderId="0" xfId="8" applyNumberFormat="1" applyFont="1" applyFill="1" applyAlignment="1"/>
    <xf numFmtId="164" fontId="21" fillId="0" borderId="0" xfId="7" applyNumberFormat="1" applyFont="1" applyFill="1" applyAlignment="1">
      <alignment horizontal="left" indent="1"/>
    </xf>
    <xf numFmtId="165" fontId="21" fillId="0" borderId="0" xfId="4" quotePrefix="1" applyNumberFormat="1" applyFont="1" applyFill="1" applyAlignment="1"/>
    <xf numFmtId="165" fontId="21" fillId="0" borderId="0" xfId="8" quotePrefix="1" applyNumberFormat="1" applyFont="1" applyFill="1" applyAlignment="1"/>
    <xf numFmtId="8" fontId="21" fillId="0" borderId="0" xfId="11" applyNumberFormat="1" applyFont="1" applyFill="1" applyAlignment="1"/>
    <xf numFmtId="44" fontId="21" fillId="0" borderId="0" xfId="11" applyFont="1" applyFill="1" applyBorder="1" applyAlignment="1"/>
    <xf numFmtId="167" fontId="21" fillId="0" borderId="0" xfId="12" applyNumberFormat="1" applyFont="1" applyFill="1" applyAlignment="1"/>
    <xf numFmtId="8" fontId="21" fillId="0" borderId="0" xfId="10" applyNumberFormat="1" applyFont="1" applyFill="1" applyAlignment="1"/>
    <xf numFmtId="43" fontId="21" fillId="0" borderId="0" xfId="10" applyFont="1" applyFill="1" applyAlignment="1"/>
    <xf numFmtId="43" fontId="21" fillId="0" borderId="0" xfId="10" applyNumberFormat="1" applyFont="1" applyFill="1" applyAlignment="1"/>
    <xf numFmtId="43" fontId="19" fillId="0" borderId="0" xfId="1" applyFont="1" applyFill="1" applyBorder="1" applyAlignment="1">
      <alignment horizontal="center"/>
    </xf>
    <xf numFmtId="164" fontId="19" fillId="0" borderId="0" xfId="7" applyNumberFormat="1" applyFont="1" applyFill="1" applyAlignment="1">
      <alignment horizontal="left" indent="2"/>
    </xf>
    <xf numFmtId="37" fontId="19" fillId="0" borderId="12" xfId="4" applyNumberFormat="1" applyFont="1" applyFill="1" applyBorder="1" applyAlignment="1"/>
    <xf numFmtId="165" fontId="19" fillId="0" borderId="0" xfId="8" applyNumberFormat="1" applyFont="1" applyFill="1" applyAlignment="1"/>
    <xf numFmtId="167" fontId="19" fillId="0" borderId="12" xfId="4" applyNumberFormat="1" applyFont="1" applyFill="1" applyBorder="1" applyAlignment="1"/>
    <xf numFmtId="43" fontId="24" fillId="0" borderId="0" xfId="1" applyFont="1" applyFill="1"/>
    <xf numFmtId="42" fontId="19" fillId="0" borderId="0" xfId="3" applyNumberFormat="1" applyFont="1" applyFill="1" applyBorder="1" applyAlignment="1">
      <alignment horizontal="center"/>
    </xf>
    <xf numFmtId="164" fontId="19" fillId="0" borderId="0" xfId="3" applyFont="1" applyFill="1" applyBorder="1"/>
    <xf numFmtId="167" fontId="19" fillId="0" borderId="0" xfId="6" applyNumberFormat="1" applyFont="1" applyFill="1" applyAlignment="1"/>
    <xf numFmtId="165" fontId="19" fillId="0" borderId="0" xfId="8" applyNumberFormat="1" applyFont="1" applyFill="1" applyBorder="1" applyAlignment="1"/>
    <xf numFmtId="164" fontId="24" fillId="0" borderId="0" xfId="5" applyFont="1" applyFill="1"/>
    <xf numFmtId="164" fontId="19" fillId="0" borderId="0" xfId="7" applyNumberFormat="1" applyFont="1" applyFill="1" applyAlignment="1">
      <alignment horizontal="left" indent="3"/>
    </xf>
    <xf numFmtId="44" fontId="19" fillId="0" borderId="12" xfId="12" applyNumberFormat="1" applyFont="1" applyFill="1" applyBorder="1" applyAlignment="1"/>
    <xf numFmtId="43" fontId="21" fillId="0" borderId="0" xfId="2" applyNumberFormat="1" applyFont="1" applyFill="1" applyBorder="1" applyAlignment="1">
      <alignment horizontal="center"/>
    </xf>
    <xf numFmtId="170" fontId="21" fillId="0" borderId="0" xfId="4" applyNumberFormat="1" applyFont="1" applyFill="1" applyAlignment="1"/>
    <xf numFmtId="9" fontId="19" fillId="0" borderId="0" xfId="2" applyFont="1" applyFill="1" applyAlignment="1"/>
    <xf numFmtId="165" fontId="19" fillId="0" borderId="12" xfId="4" applyNumberFormat="1" applyFont="1" applyFill="1" applyBorder="1" applyAlignment="1"/>
    <xf numFmtId="42" fontId="19" fillId="0" borderId="12" xfId="4" applyNumberFormat="1" applyFont="1" applyFill="1" applyBorder="1" applyAlignment="1"/>
    <xf numFmtId="166" fontId="22" fillId="0" borderId="0" xfId="5" applyNumberFormat="1" applyFont="1" applyFill="1"/>
    <xf numFmtId="167" fontId="19" fillId="0" borderId="0" xfId="12" applyNumberFormat="1" applyFont="1" applyFill="1" applyBorder="1" applyAlignment="1"/>
    <xf numFmtId="165" fontId="21" fillId="0" borderId="12" xfId="10" applyNumberFormat="1" applyFont="1" applyFill="1" applyBorder="1" applyAlignment="1"/>
    <xf numFmtId="165" fontId="19" fillId="0" borderId="12" xfId="10" applyNumberFormat="1" applyFont="1" applyFill="1" applyBorder="1" applyAlignment="1"/>
    <xf numFmtId="39" fontId="21" fillId="0" borderId="0" xfId="7" applyNumberFormat="1" applyFont="1" applyFill="1" applyAlignment="1">
      <alignment horizontal="left" indent="1"/>
    </xf>
    <xf numFmtId="43" fontId="22" fillId="0" borderId="0" xfId="1" applyFont="1" applyFill="1"/>
    <xf numFmtId="164" fontId="21" fillId="0" borderId="0" xfId="7" applyNumberFormat="1" applyFont="1" applyFill="1" applyBorder="1"/>
    <xf numFmtId="39" fontId="21" fillId="0" borderId="0" xfId="7" applyNumberFormat="1" applyFont="1" applyFill="1" applyBorder="1"/>
    <xf numFmtId="165" fontId="21" fillId="0" borderId="0" xfId="8" quotePrefix="1" applyNumberFormat="1" applyFont="1" applyFill="1" applyBorder="1" applyAlignment="1"/>
    <xf numFmtId="0" fontId="21" fillId="0" borderId="0" xfId="13" applyNumberFormat="1" applyFont="1" applyFill="1"/>
    <xf numFmtId="44" fontId="21" fillId="0" borderId="0" xfId="11" applyFont="1" applyFill="1" applyAlignment="1"/>
    <xf numFmtId="44" fontId="19" fillId="0" borderId="0" xfId="11" applyFont="1" applyFill="1" applyBorder="1" applyAlignment="1"/>
    <xf numFmtId="43" fontId="21" fillId="0" borderId="11" xfId="1" applyFont="1" applyFill="1" applyBorder="1" applyAlignment="1">
      <alignment horizontal="center"/>
    </xf>
    <xf numFmtId="164" fontId="21" fillId="0" borderId="11" xfId="3" applyFont="1" applyFill="1" applyBorder="1" applyAlignment="1">
      <alignment horizontal="center"/>
    </xf>
    <xf numFmtId="164" fontId="21" fillId="0" borderId="0" xfId="3" applyFont="1" applyFill="1" applyAlignment="1"/>
    <xf numFmtId="43" fontId="21" fillId="0" borderId="0" xfId="4" applyFont="1" applyFill="1" applyBorder="1"/>
    <xf numFmtId="165" fontId="19" fillId="0" borderId="12" xfId="4" quotePrefix="1" applyNumberFormat="1" applyFont="1" applyFill="1" applyBorder="1" applyAlignment="1"/>
    <xf numFmtId="42" fontId="19" fillId="0" borderId="12" xfId="4" quotePrefix="1" applyNumberFormat="1" applyFont="1" applyFill="1" applyBorder="1" applyAlignment="1"/>
    <xf numFmtId="42" fontId="19" fillId="0" borderId="0" xfId="4" applyNumberFormat="1" applyFont="1" applyFill="1" applyAlignment="1"/>
    <xf numFmtId="165" fontId="19" fillId="0" borderId="0" xfId="10" applyNumberFormat="1" applyFont="1" applyFill="1" applyBorder="1" applyAlignment="1"/>
    <xf numFmtId="43" fontId="19" fillId="0" borderId="13" xfId="1" applyFont="1" applyFill="1" applyBorder="1" applyAlignment="1">
      <alignment horizontal="center"/>
    </xf>
    <xf numFmtId="42" fontId="19" fillId="0" borderId="14" xfId="3" applyNumberFormat="1" applyFont="1" applyFill="1" applyBorder="1" applyAlignment="1">
      <alignment horizontal="center"/>
    </xf>
    <xf numFmtId="164" fontId="19" fillId="0" borderId="0" xfId="7" applyNumberFormat="1" applyFont="1" applyFill="1" applyBorder="1"/>
    <xf numFmtId="39" fontId="19" fillId="0" borderId="0" xfId="7" applyNumberFormat="1" applyFont="1" applyFill="1" applyBorder="1"/>
    <xf numFmtId="39" fontId="19" fillId="0" borderId="0" xfId="7" applyNumberFormat="1" applyFont="1" applyFill="1" applyBorder="1" applyAlignment="1"/>
    <xf numFmtId="165" fontId="19" fillId="0" borderId="0" xfId="8" quotePrefix="1" applyNumberFormat="1" applyFont="1" applyFill="1" applyBorder="1" applyAlignment="1"/>
    <xf numFmtId="167" fontId="19" fillId="0" borderId="0" xfId="6" applyNumberFormat="1" applyFont="1" applyFill="1" applyBorder="1" applyAlignment="1"/>
    <xf numFmtId="164" fontId="19" fillId="0" borderId="0" xfId="7" applyNumberFormat="1" applyFont="1" applyFill="1" applyBorder="1" applyAlignment="1">
      <alignment horizontal="center"/>
    </xf>
    <xf numFmtId="165" fontId="21" fillId="0" borderId="0" xfId="4" quotePrefix="1" applyNumberFormat="1" applyFont="1" applyFill="1" applyBorder="1" applyAlignment="1"/>
    <xf numFmtId="167" fontId="21" fillId="0" borderId="0" xfId="4" applyNumberFormat="1" applyFont="1" applyFill="1" applyBorder="1" applyAlignment="1"/>
    <xf numFmtId="165" fontId="21" fillId="0" borderId="0" xfId="10" applyNumberFormat="1" applyFont="1" applyFill="1" applyBorder="1" applyAlignment="1"/>
    <xf numFmtId="167" fontId="21" fillId="0" borderId="0" xfId="8" applyNumberFormat="1" applyFont="1" applyFill="1" applyBorder="1" applyAlignment="1"/>
    <xf numFmtId="164" fontId="21" fillId="0" borderId="0" xfId="7" applyNumberFormat="1" applyFont="1" applyFill="1" applyBorder="1" applyAlignment="1"/>
    <xf numFmtId="167" fontId="22" fillId="0" borderId="0" xfId="4" applyNumberFormat="1" applyFont="1" applyFill="1"/>
    <xf numFmtId="165" fontId="22" fillId="0" borderId="0" xfId="4" applyNumberFormat="1" applyFont="1" applyFill="1"/>
    <xf numFmtId="165" fontId="22" fillId="0" borderId="0" xfId="10" applyNumberFormat="1" applyFont="1" applyFill="1"/>
    <xf numFmtId="165" fontId="22" fillId="0" borderId="0" xfId="4" applyNumberFormat="1" applyFont="1" applyFill="1" applyBorder="1"/>
    <xf numFmtId="166" fontId="22" fillId="0" borderId="0" xfId="4" applyNumberFormat="1" applyFont="1" applyFill="1" applyBorder="1"/>
    <xf numFmtId="43" fontId="21" fillId="0" borderId="0" xfId="8" applyFont="1" applyFill="1" applyAlignment="1"/>
    <xf numFmtId="164" fontId="21" fillId="0" borderId="0" xfId="7" applyNumberFormat="1" applyFont="1" applyFill="1" applyBorder="1" applyAlignment="1">
      <alignment horizontal="left"/>
    </xf>
    <xf numFmtId="44" fontId="21" fillId="0" borderId="0" xfId="6" applyFont="1" applyFill="1" applyBorder="1" applyAlignment="1"/>
    <xf numFmtId="8" fontId="22" fillId="0" borderId="0" xfId="11" applyNumberFormat="1" applyFont="1" applyFill="1"/>
    <xf numFmtId="9" fontId="21" fillId="0" borderId="0" xfId="9" applyFont="1" applyFill="1" applyAlignment="1"/>
    <xf numFmtId="43" fontId="19" fillId="0" borderId="0" xfId="8" applyFont="1" applyFill="1" applyAlignment="1"/>
    <xf numFmtId="164" fontId="19" fillId="0" borderId="0" xfId="7" applyNumberFormat="1" applyFont="1" applyFill="1" applyBorder="1" applyAlignment="1">
      <alignment horizontal="left"/>
    </xf>
    <xf numFmtId="44" fontId="19" fillId="0" borderId="0" xfId="6" applyFont="1" applyFill="1" applyBorder="1" applyAlignment="1"/>
    <xf numFmtId="39" fontId="19" fillId="0" borderId="0" xfId="7" applyNumberFormat="1" applyFont="1" applyFill="1" applyAlignment="1">
      <alignment horizontal="left" indent="2"/>
    </xf>
    <xf numFmtId="39" fontId="19" fillId="0" borderId="0" xfId="7" applyNumberFormat="1" applyFont="1" applyFill="1" applyAlignment="1">
      <alignment horizontal="left" indent="3"/>
    </xf>
    <xf numFmtId="166" fontId="22" fillId="0" borderId="0" xfId="4" applyNumberFormat="1" applyFont="1" applyFill="1"/>
    <xf numFmtId="8" fontId="22" fillId="0" borderId="0" xfId="10" applyNumberFormat="1" applyFont="1" applyFill="1"/>
    <xf numFmtId="164" fontId="19" fillId="0" borderId="0" xfId="3" applyFont="1" applyFill="1" applyBorder="1" applyAlignment="1">
      <alignment horizontal="center"/>
    </xf>
    <xf numFmtId="39" fontId="19" fillId="0" borderId="0" xfId="7" applyNumberFormat="1" applyFont="1" applyFill="1" applyAlignment="1">
      <alignment horizontal="left" indent="4"/>
    </xf>
    <xf numFmtId="167" fontId="21" fillId="0" borderId="0" xfId="11" applyNumberFormat="1" applyFont="1" applyFill="1" applyAlignment="1"/>
    <xf numFmtId="167" fontId="21" fillId="0" borderId="0" xfId="6" applyNumberFormat="1" applyFont="1" applyFill="1" applyAlignment="1"/>
    <xf numFmtId="164" fontId="21" fillId="0" borderId="0" xfId="7" applyNumberFormat="1" applyFont="1" applyFill="1" applyBorder="1" applyAlignment="1">
      <alignment horizontal="left" indent="1"/>
    </xf>
    <xf numFmtId="37" fontId="21" fillId="0" borderId="0" xfId="7" applyNumberFormat="1" applyFont="1" applyFill="1" applyBorder="1"/>
    <xf numFmtId="37" fontId="21" fillId="0" borderId="0" xfId="7" applyNumberFormat="1" applyFont="1" applyFill="1" applyBorder="1" applyAlignment="1"/>
    <xf numFmtId="164" fontId="19" fillId="0" borderId="0" xfId="7" applyNumberFormat="1" applyFont="1" applyFill="1" applyBorder="1" applyAlignment="1">
      <alignment horizontal="left" indent="1"/>
    </xf>
    <xf numFmtId="37" fontId="19" fillId="0" borderId="0" xfId="7" applyNumberFormat="1" applyFont="1" applyFill="1" applyBorder="1"/>
    <xf numFmtId="37" fontId="19" fillId="0" borderId="0" xfId="7" applyNumberFormat="1" applyFont="1" applyFill="1" applyBorder="1" applyAlignment="1"/>
    <xf numFmtId="165" fontId="21" fillId="0" borderId="0" xfId="3" applyNumberFormat="1" applyFont="1" applyFill="1" applyAlignment="1">
      <alignment horizontal="center"/>
    </xf>
    <xf numFmtId="167" fontId="21" fillId="0" borderId="0" xfId="3" applyNumberFormat="1" applyFont="1" applyFill="1" applyAlignment="1">
      <alignment horizontal="center"/>
    </xf>
    <xf numFmtId="43" fontId="21" fillId="0" borderId="0" xfId="3" applyNumberFormat="1" applyFont="1" applyFill="1"/>
    <xf numFmtId="39" fontId="19" fillId="0" borderId="0" xfId="7" applyNumberFormat="1" applyFont="1" applyFill="1" applyBorder="1" applyAlignment="1">
      <alignment horizontal="left" indent="3"/>
    </xf>
    <xf numFmtId="165" fontId="21" fillId="0" borderId="0" xfId="3" applyNumberFormat="1" applyFont="1" applyFill="1" applyBorder="1" applyAlignment="1">
      <alignment horizontal="center"/>
    </xf>
    <xf numFmtId="167" fontId="21" fillId="0" borderId="0" xfId="3" applyNumberFormat="1" applyFont="1" applyFill="1" applyBorder="1" applyAlignment="1">
      <alignment horizontal="center"/>
    </xf>
    <xf numFmtId="43" fontId="21" fillId="0" borderId="0" xfId="3" applyNumberFormat="1" applyFont="1" applyFill="1" applyBorder="1"/>
    <xf numFmtId="164" fontId="22" fillId="0" borderId="0" xfId="5" applyFont="1" applyFill="1" applyBorder="1"/>
    <xf numFmtId="167" fontId="19" fillId="0" borderId="0" xfId="4" applyNumberFormat="1" applyFont="1" applyFill="1" applyBorder="1" applyAlignment="1"/>
    <xf numFmtId="167" fontId="21" fillId="0" borderId="0" xfId="11" applyNumberFormat="1" applyFont="1" applyFill="1" applyBorder="1" applyAlignment="1"/>
    <xf numFmtId="164" fontId="21" fillId="0" borderId="0" xfId="3" applyFont="1" applyFill="1" applyAlignment="1">
      <alignment horizontal="center" wrapText="1"/>
    </xf>
    <xf numFmtId="0" fontId="26" fillId="0" borderId="0" xfId="14" applyFill="1">
      <alignment vertical="top"/>
    </xf>
    <xf numFmtId="165" fontId="24" fillId="0" borderId="12" xfId="4" applyNumberFormat="1" applyFont="1" applyFill="1" applyBorder="1"/>
    <xf numFmtId="165" fontId="24" fillId="0" borderId="0" xfId="4" applyNumberFormat="1" applyFont="1" applyFill="1"/>
    <xf numFmtId="166" fontId="24" fillId="0" borderId="0" xfId="4" applyNumberFormat="1" applyFont="1" applyFill="1"/>
    <xf numFmtId="42" fontId="24" fillId="0" borderId="12" xfId="4" applyNumberFormat="1" applyFont="1" applyFill="1" applyBorder="1"/>
    <xf numFmtId="42" fontId="24" fillId="0" borderId="0" xfId="4" applyNumberFormat="1" applyFont="1" applyFill="1"/>
    <xf numFmtId="165" fontId="24" fillId="0" borderId="0" xfId="10" applyNumberFormat="1" applyFont="1" applyFill="1" applyBorder="1"/>
    <xf numFmtId="166" fontId="24" fillId="0" borderId="0" xfId="4" applyNumberFormat="1" applyFont="1" applyFill="1" applyBorder="1"/>
    <xf numFmtId="165" fontId="19" fillId="0" borderId="0" xfId="3" applyNumberFormat="1" applyFont="1" applyFill="1" applyAlignment="1">
      <alignment horizontal="center"/>
    </xf>
    <xf numFmtId="167" fontId="19" fillId="0" borderId="0" xfId="3" applyNumberFormat="1" applyFont="1" applyFill="1" applyAlignment="1">
      <alignment horizontal="center"/>
    </xf>
    <xf numFmtId="43" fontId="19" fillId="0" borderId="0" xfId="3" applyNumberFormat="1" applyFont="1" applyFill="1"/>
    <xf numFmtId="165" fontId="22" fillId="0" borderId="0" xfId="10" applyNumberFormat="1" applyFont="1" applyFill="1" applyBorder="1"/>
    <xf numFmtId="164" fontId="21" fillId="0" borderId="0" xfId="3" applyFont="1" applyFill="1" applyBorder="1" applyAlignment="1"/>
    <xf numFmtId="43" fontId="22" fillId="0" borderId="13" xfId="4" applyFont="1" applyFill="1" applyBorder="1" applyAlignment="1">
      <alignment horizontal="center"/>
    </xf>
    <xf numFmtId="165" fontId="21" fillId="0" borderId="14" xfId="3" applyNumberFormat="1" applyFont="1" applyFill="1" applyBorder="1" applyAlignment="1">
      <alignment horizontal="center"/>
    </xf>
    <xf numFmtId="167" fontId="22" fillId="0" borderId="0" xfId="5" applyNumberFormat="1" applyFont="1" applyFill="1"/>
    <xf numFmtId="164" fontId="22" fillId="0" borderId="0" xfId="5" applyFont="1" applyFill="1" applyAlignment="1">
      <alignment horizontal="center"/>
    </xf>
    <xf numFmtId="44" fontId="22" fillId="0" borderId="0" xfId="6" applyFont="1" applyFill="1"/>
    <xf numFmtId="43" fontId="24" fillId="0" borderId="0" xfId="4" applyFont="1" applyFill="1" applyAlignment="1">
      <alignment horizontal="center"/>
    </xf>
    <xf numFmtId="10" fontId="22" fillId="0" borderId="0" xfId="2" applyNumberFormat="1" applyFont="1" applyFill="1"/>
    <xf numFmtId="165" fontId="22" fillId="0" borderId="13" xfId="4" applyNumberFormat="1" applyFont="1" applyFill="1" applyBorder="1" applyAlignment="1">
      <alignment horizontal="center"/>
    </xf>
    <xf numFmtId="164" fontId="21" fillId="0" borderId="11" xfId="3" applyFont="1" applyFill="1" applyBorder="1" applyAlignment="1">
      <alignment horizontal="center"/>
    </xf>
    <xf numFmtId="164" fontId="21" fillId="0" borderId="15" xfId="3" applyFont="1" applyFill="1" applyBorder="1" applyAlignment="1">
      <alignment horizontal="center"/>
    </xf>
    <xf numFmtId="164" fontId="22" fillId="0" borderId="15" xfId="5" applyFont="1" applyFill="1" applyBorder="1" applyAlignment="1">
      <alignment horizontal="center"/>
    </xf>
    <xf numFmtId="165" fontId="21" fillId="0" borderId="0" xfId="10" applyNumberFormat="1" applyFont="1" applyFill="1"/>
    <xf numFmtId="43" fontId="21" fillId="0" borderId="0" xfId="10" applyFont="1" applyFill="1" applyAlignment="1">
      <alignment horizontal="center"/>
    </xf>
    <xf numFmtId="165" fontId="21" fillId="0" borderId="0" xfId="10" applyNumberFormat="1" applyFont="1" applyFill="1" applyAlignment="1">
      <alignment horizontal="center"/>
    </xf>
    <xf numFmtId="43" fontId="21" fillId="0" borderId="0" xfId="10" applyFont="1" applyFill="1" applyBorder="1" applyAlignment="1">
      <alignment horizontal="center"/>
    </xf>
    <xf numFmtId="165" fontId="21" fillId="0" borderId="11" xfId="10" applyNumberFormat="1" applyFont="1" applyFill="1" applyBorder="1" applyAlignment="1">
      <alignment horizontal="center" wrapText="1"/>
    </xf>
    <xf numFmtId="165" fontId="21" fillId="0" borderId="0" xfId="10" applyNumberFormat="1" applyFont="1" applyFill="1" applyBorder="1" applyAlignment="1">
      <alignment horizontal="center" wrapText="1"/>
    </xf>
    <xf numFmtId="43" fontId="19" fillId="0" borderId="0" xfId="10" applyFont="1" applyFill="1" applyBorder="1" applyAlignment="1">
      <alignment horizontal="center"/>
    </xf>
    <xf numFmtId="43" fontId="24" fillId="0" borderId="0" xfId="10" applyFont="1" applyFill="1"/>
    <xf numFmtId="167" fontId="19" fillId="0" borderId="0" xfId="11" applyNumberFormat="1" applyFont="1" applyFill="1" applyAlignment="1"/>
    <xf numFmtId="43" fontId="21" fillId="0" borderId="0" xfId="334" applyNumberFormat="1" applyFont="1" applyFill="1" applyBorder="1" applyAlignment="1">
      <alignment horizontal="center"/>
    </xf>
    <xf numFmtId="43" fontId="22" fillId="0" borderId="0" xfId="10" applyFont="1" applyFill="1"/>
    <xf numFmtId="167" fontId="19" fillId="0" borderId="12" xfId="4" quotePrefix="1" applyNumberFormat="1" applyFont="1" applyFill="1" applyBorder="1" applyAlignment="1"/>
    <xf numFmtId="165" fontId="19" fillId="0" borderId="12" xfId="10" quotePrefix="1" applyNumberFormat="1" applyFont="1" applyFill="1" applyBorder="1" applyAlignment="1"/>
    <xf numFmtId="167" fontId="19" fillId="0" borderId="0" xfId="11" applyNumberFormat="1" applyFont="1" applyFill="1" applyBorder="1" applyAlignment="1"/>
    <xf numFmtId="167" fontId="24" fillId="0" borderId="12" xfId="4" applyNumberFormat="1" applyFont="1" applyFill="1" applyBorder="1"/>
    <xf numFmtId="165" fontId="24" fillId="0" borderId="12" xfId="10" applyNumberFormat="1" applyFont="1" applyFill="1" applyBorder="1"/>
    <xf numFmtId="177" fontId="22" fillId="0" borderId="0" xfId="10" applyNumberFormat="1" applyFont="1" applyFill="1"/>
    <xf numFmtId="44" fontId="22" fillId="0" borderId="0" xfId="11" applyFont="1" applyFill="1"/>
    <xf numFmtId="10" fontId="22" fillId="0" borderId="0" xfId="334" applyNumberFormat="1" applyFont="1" applyFill="1"/>
    <xf numFmtId="167" fontId="19" fillId="0" borderId="25" xfId="12" applyNumberFormat="1" applyFont="1" applyFill="1" applyBorder="1" applyAlignment="1"/>
    <xf numFmtId="167" fontId="19" fillId="0" borderId="12" xfId="12" applyNumberFormat="1" applyFont="1" applyFill="1" applyBorder="1" applyAlignment="1"/>
    <xf numFmtId="166" fontId="19" fillId="0" borderId="0" xfId="12" applyNumberFormat="1" applyFont="1" applyFill="1" applyBorder="1" applyAlignment="1"/>
    <xf numFmtId="167" fontId="19" fillId="0" borderId="0" xfId="12" applyNumberFormat="1" applyFont="1" applyFill="1" applyAlignment="1"/>
    <xf numFmtId="43" fontId="19" fillId="0" borderId="0" xfId="10" applyFont="1" applyFill="1" applyBorder="1" applyAlignment="1"/>
    <xf numFmtId="44" fontId="19" fillId="0" borderId="12" xfId="11" applyFont="1" applyFill="1" applyBorder="1" applyAlignment="1"/>
    <xf numFmtId="165" fontId="19" fillId="0" borderId="25" xfId="4" applyNumberFormat="1" applyFont="1" applyFill="1" applyBorder="1" applyAlignment="1"/>
    <xf numFmtId="167" fontId="19" fillId="0" borderId="25" xfId="4" applyNumberFormat="1" applyFont="1" applyFill="1" applyBorder="1" applyAlignment="1"/>
    <xf numFmtId="164" fontId="21" fillId="0" borderId="0" xfId="3" applyFont="1" applyFill="1" applyBorder="1" applyAlignment="1">
      <alignment horizontal="center"/>
    </xf>
    <xf numFmtId="164" fontId="21" fillId="0" borderId="0" xfId="3" applyFont="1" applyFill="1" applyBorder="1" applyAlignment="1">
      <alignment horizontal="center" wrapText="1"/>
    </xf>
    <xf numFmtId="164" fontId="24" fillId="0" borderId="0" xfId="5" applyFont="1" applyFill="1" applyBorder="1"/>
    <xf numFmtId="165" fontId="19" fillId="0" borderId="0" xfId="3" applyNumberFormat="1" applyFont="1" applyFill="1" applyBorder="1" applyAlignment="1">
      <alignment horizontal="center"/>
    </xf>
    <xf numFmtId="167" fontId="19" fillId="0" borderId="0" xfId="3" applyNumberFormat="1" applyFont="1" applyFill="1" applyBorder="1" applyAlignment="1">
      <alignment horizontal="center"/>
    </xf>
    <xf numFmtId="43" fontId="19" fillId="0" borderId="0" xfId="3" applyNumberFormat="1" applyFont="1" applyFill="1" applyBorder="1"/>
    <xf numFmtId="43" fontId="22" fillId="0" borderId="0" xfId="4" applyFont="1" applyFill="1" applyBorder="1" applyAlignment="1">
      <alignment horizontal="center"/>
    </xf>
    <xf numFmtId="164" fontId="22" fillId="0" borderId="0" xfId="5" applyFont="1" applyFill="1" applyBorder="1" applyAlignment="1">
      <alignment horizontal="center"/>
    </xf>
    <xf numFmtId="43" fontId="24" fillId="0" borderId="0" xfId="4" applyFont="1" applyFill="1" applyBorder="1" applyAlignment="1">
      <alignment horizontal="center"/>
    </xf>
    <xf numFmtId="164" fontId="22" fillId="0" borderId="0" xfId="5" applyFont="1" applyFill="1" applyBorder="1" applyAlignment="1">
      <alignment horizontal="center"/>
    </xf>
    <xf numFmtId="165" fontId="22" fillId="0" borderId="0" xfId="4" applyNumberFormat="1" applyFont="1" applyFill="1" applyBorder="1" applyAlignment="1">
      <alignment horizontal="center"/>
    </xf>
    <xf numFmtId="43" fontId="21" fillId="0" borderId="0" xfId="8" applyFont="1" applyFill="1" applyBorder="1" applyAlignment="1"/>
    <xf numFmtId="43" fontId="22" fillId="0" borderId="0" xfId="10" applyFont="1" applyFill="1" applyBorder="1"/>
  </cellXfs>
  <cellStyles count="353">
    <cellStyle name="########" xfId="15"/>
    <cellStyle name="######## 2" xfId="16"/>
    <cellStyle name="20% - Accent1 2" xfId="17"/>
    <cellStyle name="20% - Accent1 2 2" xfId="18"/>
    <cellStyle name="20% - Accent1 3" xfId="19"/>
    <cellStyle name="20% - Accent1 3 2" xfId="20"/>
    <cellStyle name="20% - Accent1 4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 2" xfId="27"/>
    <cellStyle name="20% - Accent3 2 2" xfId="28"/>
    <cellStyle name="20% - Accent3 3" xfId="29"/>
    <cellStyle name="20% - Accent3 3 2" xfId="30"/>
    <cellStyle name="20% - Accent3 4" xfId="31"/>
    <cellStyle name="20% - Accent4 2" xfId="32"/>
    <cellStyle name="20% - Accent4 2 2" xfId="33"/>
    <cellStyle name="20% - Accent4 3" xfId="34"/>
    <cellStyle name="20% - Accent4 3 2" xfId="35"/>
    <cellStyle name="20% - Accent4 4" xfId="36"/>
    <cellStyle name="20% - Accent5 2" xfId="37"/>
    <cellStyle name="20% - Accent5 2 2" xfId="38"/>
    <cellStyle name="20% - Accent5 3" xfId="39"/>
    <cellStyle name="20% - Accent5 3 2" xfId="40"/>
    <cellStyle name="20% - Accent5 4" xfId="41"/>
    <cellStyle name="20% - Accent6 2" xfId="42"/>
    <cellStyle name="20% - Accent6 2 2" xfId="43"/>
    <cellStyle name="20% - Accent6 3" xfId="44"/>
    <cellStyle name="20% - Accent6 3 2" xfId="45"/>
    <cellStyle name="20% - Accent6 4" xfId="46"/>
    <cellStyle name="40% - Accent1 2" xfId="47"/>
    <cellStyle name="40% - Accent1 2 2" xfId="48"/>
    <cellStyle name="40% - Accent1 3" xfId="49"/>
    <cellStyle name="40% - Accent1 3 2" xfId="50"/>
    <cellStyle name="40% - Accent1 4" xfId="51"/>
    <cellStyle name="40% - Accent2 2" xfId="52"/>
    <cellStyle name="40% - Accent2 2 2" xfId="53"/>
    <cellStyle name="40% - Accent2 3" xfId="54"/>
    <cellStyle name="40% - Accent2 3 2" xfId="55"/>
    <cellStyle name="40% - Accent2 4" xfId="56"/>
    <cellStyle name="40% - Accent3 2" xfId="57"/>
    <cellStyle name="40% - Accent3 2 2" xfId="58"/>
    <cellStyle name="40% - Accent3 3" xfId="59"/>
    <cellStyle name="40% - Accent3 3 2" xfId="60"/>
    <cellStyle name="40% - Accent3 4" xfId="61"/>
    <cellStyle name="40% - Accent4 2" xfId="62"/>
    <cellStyle name="40% - Accent4 2 2" xfId="63"/>
    <cellStyle name="40% - Accent4 3" xfId="64"/>
    <cellStyle name="40% - Accent4 3 2" xfId="65"/>
    <cellStyle name="40% - Accent4 4" xfId="66"/>
    <cellStyle name="40% - Accent5 2" xfId="67"/>
    <cellStyle name="40% - Accent5 2 2" xfId="68"/>
    <cellStyle name="40% - Accent5 3" xfId="69"/>
    <cellStyle name="40% - Accent5 3 2" xfId="70"/>
    <cellStyle name="40% - Accent5 4" xfId="71"/>
    <cellStyle name="40% - Accent6 2" xfId="72"/>
    <cellStyle name="40% - Accent6 2 2" xfId="73"/>
    <cellStyle name="40% - Accent6 3" xfId="74"/>
    <cellStyle name="40% - Accent6 3 2" xfId="75"/>
    <cellStyle name="40% - Accent6 4" xfId="76"/>
    <cellStyle name="60% - Accent1 2" xfId="77"/>
    <cellStyle name="60% - Accent1 2 2" xfId="78"/>
    <cellStyle name="60% - Accent1 3" xfId="79"/>
    <cellStyle name="60% - Accent1 3 2" xfId="80"/>
    <cellStyle name="60% - Accent1 4" xfId="81"/>
    <cellStyle name="60% - Accent2 2" xfId="82"/>
    <cellStyle name="60% - Accent2 2 2" xfId="83"/>
    <cellStyle name="60% - Accent2 3" xfId="84"/>
    <cellStyle name="60% - Accent2 3 2" xfId="85"/>
    <cellStyle name="60% - Accent2 4" xfId="86"/>
    <cellStyle name="60% - Accent3 2" xfId="87"/>
    <cellStyle name="60% - Accent3 2 2" xfId="88"/>
    <cellStyle name="60% - Accent3 3" xfId="89"/>
    <cellStyle name="60% - Accent3 3 2" xfId="90"/>
    <cellStyle name="60% - Accent3 4" xfId="91"/>
    <cellStyle name="60% - Accent4 2" xfId="92"/>
    <cellStyle name="60% - Accent4 2 2" xfId="93"/>
    <cellStyle name="60% - Accent4 3" xfId="94"/>
    <cellStyle name="60% - Accent4 3 2" xfId="95"/>
    <cellStyle name="60% - Accent4 4" xfId="96"/>
    <cellStyle name="60% - Accent5 2" xfId="97"/>
    <cellStyle name="60% - Accent5 2 2" xfId="98"/>
    <cellStyle name="60% - Accent5 3" xfId="99"/>
    <cellStyle name="60% - Accent5 3 2" xfId="100"/>
    <cellStyle name="60% - Accent5 4" xfId="101"/>
    <cellStyle name="60% - Accent6 2" xfId="102"/>
    <cellStyle name="60% - Accent6 2 2" xfId="103"/>
    <cellStyle name="60% - Accent6 3" xfId="104"/>
    <cellStyle name="60% - Accent6 3 2" xfId="105"/>
    <cellStyle name="60% - Accent6 4" xfId="106"/>
    <cellStyle name="Accent1 2" xfId="107"/>
    <cellStyle name="Accent1 2 2" xfId="108"/>
    <cellStyle name="Accent1 3" xfId="109"/>
    <cellStyle name="Accent1 3 2" xfId="110"/>
    <cellStyle name="Accent1 4" xfId="111"/>
    <cellStyle name="Accent2 2" xfId="112"/>
    <cellStyle name="Accent2 2 2" xfId="113"/>
    <cellStyle name="Accent2 3" xfId="114"/>
    <cellStyle name="Accent2 3 2" xfId="115"/>
    <cellStyle name="Accent2 4" xfId="116"/>
    <cellStyle name="Accent3 2" xfId="117"/>
    <cellStyle name="Accent3 2 2" xfId="118"/>
    <cellStyle name="Accent3 3" xfId="119"/>
    <cellStyle name="Accent3 3 2" xfId="120"/>
    <cellStyle name="Accent3 4" xfId="121"/>
    <cellStyle name="Accent4 2" xfId="122"/>
    <cellStyle name="Accent4 2 2" xfId="123"/>
    <cellStyle name="Accent4 3" xfId="124"/>
    <cellStyle name="Accent4 3 2" xfId="125"/>
    <cellStyle name="Accent4 4" xfId="126"/>
    <cellStyle name="Accent5 2" xfId="127"/>
    <cellStyle name="Accent5 2 2" xfId="128"/>
    <cellStyle name="Accent5 3" xfId="129"/>
    <cellStyle name="Accent5 3 2" xfId="130"/>
    <cellStyle name="Accent5 4" xfId="131"/>
    <cellStyle name="Accent6 2" xfId="132"/>
    <cellStyle name="Accent6 2 2" xfId="133"/>
    <cellStyle name="Accent6 3" xfId="134"/>
    <cellStyle name="Accent6 3 2" xfId="135"/>
    <cellStyle name="Accent6 4" xfId="136"/>
    <cellStyle name="Bad 2" xfId="137"/>
    <cellStyle name="Bad 2 2" xfId="138"/>
    <cellStyle name="Bad 3" xfId="139"/>
    <cellStyle name="Bad 3 2" xfId="140"/>
    <cellStyle name="Bad 4" xfId="141"/>
    <cellStyle name="Calculation 2" xfId="142"/>
    <cellStyle name="Calculation 2 2" xfId="143"/>
    <cellStyle name="Calculation 3" xfId="144"/>
    <cellStyle name="Calculation 3 2" xfId="145"/>
    <cellStyle name="Calculation 4" xfId="146"/>
    <cellStyle name="Check Cell 2" xfId="147"/>
    <cellStyle name="Check Cell 2 2" xfId="148"/>
    <cellStyle name="Check Cell 3" xfId="149"/>
    <cellStyle name="Check Cell 3 2" xfId="150"/>
    <cellStyle name="Check Cell 4" xfId="151"/>
    <cellStyle name="Co #" xfId="152"/>
    <cellStyle name="Comma" xfId="1" builtinId="3"/>
    <cellStyle name="Comma 10" xfId="153"/>
    <cellStyle name="Comma 11" xfId="154"/>
    <cellStyle name="Comma 12" xfId="155"/>
    <cellStyle name="Comma 13" xfId="156"/>
    <cellStyle name="Comma 13 2" xfId="157"/>
    <cellStyle name="Comma 13 3 2" xfId="158"/>
    <cellStyle name="Comma 14" xfId="159"/>
    <cellStyle name="Comma 15" xfId="160"/>
    <cellStyle name="Comma 16" xfId="161"/>
    <cellStyle name="Comma 17" xfId="162"/>
    <cellStyle name="Comma 2" xfId="10"/>
    <cellStyle name="Comma 2 2" xfId="163"/>
    <cellStyle name="Comma 2 2 2" xfId="164"/>
    <cellStyle name="Comma 2 3" xfId="165"/>
    <cellStyle name="Comma 2 5" xfId="166"/>
    <cellStyle name="Comma 3" xfId="167"/>
    <cellStyle name="Comma 3 2" xfId="168"/>
    <cellStyle name="Comma 34" xfId="169"/>
    <cellStyle name="Comma 4" xfId="4"/>
    <cellStyle name="Comma 4 2" xfId="8"/>
    <cellStyle name="Comma 4 3" xfId="170"/>
    <cellStyle name="Comma 4 4" xfId="171"/>
    <cellStyle name="Comma 5" xfId="172"/>
    <cellStyle name="Comma 6" xfId="173"/>
    <cellStyle name="Comma 7" xfId="174"/>
    <cellStyle name="Comma 8" xfId="175"/>
    <cellStyle name="Comma 8 2" xfId="176"/>
    <cellStyle name="Comma 8 2 2" xfId="177"/>
    <cellStyle name="Comma 8 2 3" xfId="178"/>
    <cellStyle name="Comma 9" xfId="179"/>
    <cellStyle name="Currency 2" xfId="6"/>
    <cellStyle name="Currency 2 2" xfId="11"/>
    <cellStyle name="Currency 2 3" xfId="180"/>
    <cellStyle name="Currency 3" xfId="181"/>
    <cellStyle name="Currency 3 2" xfId="12"/>
    <cellStyle name="Currency 3 3" xfId="182"/>
    <cellStyle name="Currency 4" xfId="183"/>
    <cellStyle name="Currency 5" xfId="184"/>
    <cellStyle name="Currency 5 2" xfId="185"/>
    <cellStyle name="Currency 6" xfId="186"/>
    <cellStyle name="Date" xfId="187"/>
    <cellStyle name="Date-Regulatory" xfId="188"/>
    <cellStyle name="Euro" xfId="189"/>
    <cellStyle name="Explanatory Text 2" xfId="190"/>
    <cellStyle name="Explanatory Text 2 2" xfId="191"/>
    <cellStyle name="Explanatory Text 3" xfId="192"/>
    <cellStyle name="Explanatory Text 3 2" xfId="193"/>
    <cellStyle name="Explanatory Text 4" xfId="194"/>
    <cellStyle name="Footnote" xfId="195"/>
    <cellStyle name="Good 2" xfId="196"/>
    <cellStyle name="Good 2 2" xfId="197"/>
    <cellStyle name="Good 3" xfId="198"/>
    <cellStyle name="Good 3 2" xfId="199"/>
    <cellStyle name="Good 4" xfId="200"/>
    <cellStyle name="Heading 1 2" xfId="201"/>
    <cellStyle name="Heading 1 2 2" xfId="202"/>
    <cellStyle name="Heading 1 3" xfId="203"/>
    <cellStyle name="Heading 1 3 2" xfId="204"/>
    <cellStyle name="Heading 1 4" xfId="205"/>
    <cellStyle name="Heading 2 2" xfId="206"/>
    <cellStyle name="Heading 2 2 2" xfId="207"/>
    <cellStyle name="Heading 2 3" xfId="208"/>
    <cellStyle name="Heading 2 3 2" xfId="209"/>
    <cellStyle name="Heading 2 4" xfId="210"/>
    <cellStyle name="Heading 3 2" xfId="211"/>
    <cellStyle name="Heading 3 2 2" xfId="212"/>
    <cellStyle name="Heading 3 3" xfId="213"/>
    <cellStyle name="Heading 3 3 2" xfId="214"/>
    <cellStyle name="Heading 3 4" xfId="215"/>
    <cellStyle name="Heading 4 2" xfId="216"/>
    <cellStyle name="Heading 4 2 2" xfId="217"/>
    <cellStyle name="Heading 4 3" xfId="218"/>
    <cellStyle name="Heading 4 3 2" xfId="219"/>
    <cellStyle name="Heading 4 4" xfId="220"/>
    <cellStyle name="Input 2" xfId="221"/>
    <cellStyle name="Input 2 2" xfId="222"/>
    <cellStyle name="Input 3" xfId="223"/>
    <cellStyle name="Input 3 2" xfId="224"/>
    <cellStyle name="Input 4" xfId="225"/>
    <cellStyle name="Line Number" xfId="226"/>
    <cellStyle name="Linked Cell 2" xfId="227"/>
    <cellStyle name="Linked Cell 2 2" xfId="228"/>
    <cellStyle name="Linked Cell 3" xfId="229"/>
    <cellStyle name="Linked Cell 3 2" xfId="230"/>
    <cellStyle name="Linked Cell 4" xfId="231"/>
    <cellStyle name="Neutral 2" xfId="232"/>
    <cellStyle name="Neutral 2 2" xfId="233"/>
    <cellStyle name="Neutral 3" xfId="234"/>
    <cellStyle name="Neutral 3 2" xfId="235"/>
    <cellStyle name="Neutral 4" xfId="236"/>
    <cellStyle name="Normal" xfId="0" builtinId="0"/>
    <cellStyle name="Normal 10" xfId="237"/>
    <cellStyle name="Normal 10 2" xfId="238"/>
    <cellStyle name="Normal 11" xfId="239"/>
    <cellStyle name="Normal 11 2" xfId="240"/>
    <cellStyle name="Normal 12" xfId="241"/>
    <cellStyle name="Normal 12 2" xfId="242"/>
    <cellStyle name="Normal 13" xfId="243"/>
    <cellStyle name="Normal 13 2" xfId="244"/>
    <cellStyle name="Normal 14" xfId="245"/>
    <cellStyle name="Normal 14 2" xfId="246"/>
    <cellStyle name="Normal 15" xfId="247"/>
    <cellStyle name="Normal 15 2" xfId="248"/>
    <cellStyle name="Normal 16" xfId="249"/>
    <cellStyle name="Normal 16 2" xfId="250"/>
    <cellStyle name="Normal 17" xfId="251"/>
    <cellStyle name="Normal 17 2" xfId="252"/>
    <cellStyle name="Normal 18" xfId="253"/>
    <cellStyle name="Normal 18 2" xfId="254"/>
    <cellStyle name="Normal 19" xfId="255"/>
    <cellStyle name="Normal 19 2" xfId="256"/>
    <cellStyle name="Normal 2" xfId="257"/>
    <cellStyle name="Normal 2 2" xfId="258"/>
    <cellStyle name="Normal 2 2 2" xfId="259"/>
    <cellStyle name="Normal 2 2 2 2" xfId="13"/>
    <cellStyle name="Normal 2 2 2 3" xfId="260"/>
    <cellStyle name="Normal 2 3" xfId="261"/>
    <cellStyle name="Normal 2 4" xfId="262"/>
    <cellStyle name="Normal 2 4 2" xfId="263"/>
    <cellStyle name="Normal 2_Adjustment to Insurance Expense WSC KY 2008" xfId="264"/>
    <cellStyle name="Normal 20" xfId="265"/>
    <cellStyle name="Normal 20 2" xfId="266"/>
    <cellStyle name="Normal 20 2 2" xfId="267"/>
    <cellStyle name="Normal 20 2 3" xfId="268"/>
    <cellStyle name="Normal 21" xfId="269"/>
    <cellStyle name="Normal 21 2" xfId="270"/>
    <cellStyle name="Normal 22" xfId="271"/>
    <cellStyle name="Normal 23" xfId="272"/>
    <cellStyle name="Normal 24" xfId="273"/>
    <cellStyle name="Normal 24 2" xfId="274"/>
    <cellStyle name="Normal 25" xfId="275"/>
    <cellStyle name="Normal 26" xfId="276"/>
    <cellStyle name="Normal 27" xfId="277"/>
    <cellStyle name="Normal 27 2" xfId="278"/>
    <cellStyle name="Normal 27 2 3" xfId="279"/>
    <cellStyle name="Normal 27 3" xfId="280"/>
    <cellStyle name="Normal 28" xfId="281"/>
    <cellStyle name="Normal 29" xfId="282"/>
    <cellStyle name="Normal 3" xfId="283"/>
    <cellStyle name="Normal 3 2" xfId="284"/>
    <cellStyle name="Normal 3 3" xfId="285"/>
    <cellStyle name="Normal 3 3 2" xfId="286"/>
    <cellStyle name="Normal 30" xfId="287"/>
    <cellStyle name="Normal 31" xfId="288"/>
    <cellStyle name="Normal 32" xfId="289"/>
    <cellStyle name="Normal 33" xfId="290"/>
    <cellStyle name="Normal 33 2" xfId="291"/>
    <cellStyle name="Normal 34" xfId="292"/>
    <cellStyle name="Normal 35" xfId="293"/>
    <cellStyle name="Normal 4" xfId="294"/>
    <cellStyle name="Normal 4 2" xfId="295"/>
    <cellStyle name="Normal 4 2 2" xfId="296"/>
    <cellStyle name="Normal 49 2" xfId="297"/>
    <cellStyle name="Normal 5" xfId="5"/>
    <cellStyle name="Normal 5 2" xfId="3"/>
    <cellStyle name="Normal 5 2 2" xfId="298"/>
    <cellStyle name="Normal 57" xfId="299"/>
    <cellStyle name="Normal 59" xfId="300"/>
    <cellStyle name="Normal 6" xfId="301"/>
    <cellStyle name="Normal 6 2" xfId="302"/>
    <cellStyle name="Normal 6 2 2" xfId="303"/>
    <cellStyle name="Normal 6 2 2 2" xfId="304"/>
    <cellStyle name="Normal 6 2 3" xfId="305"/>
    <cellStyle name="Normal 6 3" xfId="306"/>
    <cellStyle name="Normal 7" xfId="307"/>
    <cellStyle name="Normal 7 2" xfId="308"/>
    <cellStyle name="Normal 7 2 2" xfId="309"/>
    <cellStyle name="Normal 8" xfId="310"/>
    <cellStyle name="Normal 8 2" xfId="311"/>
    <cellStyle name="Normal 9" xfId="14"/>
    <cellStyle name="Normal 9 2" xfId="312"/>
    <cellStyle name="Normal_075-Consumption-tye-12/00 2" xfId="7"/>
    <cellStyle name="Note 2" xfId="313"/>
    <cellStyle name="Note 2 2" xfId="314"/>
    <cellStyle name="Note 3" xfId="315"/>
    <cellStyle name="Note 3 2" xfId="316"/>
    <cellStyle name="Note 4" xfId="317"/>
    <cellStyle name="Note 4 2" xfId="318"/>
    <cellStyle name="Note 5" xfId="319"/>
    <cellStyle name="Note 5 2" xfId="320"/>
    <cellStyle name="Note 6" xfId="321"/>
    <cellStyle name="Note 6 2" xfId="322"/>
    <cellStyle name="Output 2" xfId="323"/>
    <cellStyle name="Output 2 2" xfId="324"/>
    <cellStyle name="Output 3" xfId="325"/>
    <cellStyle name="Output 3 2" xfId="326"/>
    <cellStyle name="Output 4" xfId="327"/>
    <cellStyle name="Percent" xfId="2" builtinId="5"/>
    <cellStyle name="Percent 12" xfId="328"/>
    <cellStyle name="Percent 2" xfId="329"/>
    <cellStyle name="Percent 2 2" xfId="330"/>
    <cellStyle name="Percent 3" xfId="9"/>
    <cellStyle name="Percent 3 2" xfId="331"/>
    <cellStyle name="Percent 3 2 2" xfId="332"/>
    <cellStyle name="Percent 3 3" xfId="333"/>
    <cellStyle name="Percent 4" xfId="334"/>
    <cellStyle name="Percent 5" xfId="335"/>
    <cellStyle name="Percent 6" xfId="336"/>
    <cellStyle name="Percent 8" xfId="337"/>
    <cellStyle name="Title 2" xfId="338"/>
    <cellStyle name="Title 2 2" xfId="339"/>
    <cellStyle name="Title 3" xfId="340"/>
    <cellStyle name="Title 3 2" xfId="341"/>
    <cellStyle name="Title 4" xfId="342"/>
    <cellStyle name="Total 2" xfId="343"/>
    <cellStyle name="Total 2 2" xfId="344"/>
    <cellStyle name="Total 3" xfId="345"/>
    <cellStyle name="Total 3 2" xfId="346"/>
    <cellStyle name="Total 4" xfId="347"/>
    <cellStyle name="Warning Text 2" xfId="348"/>
    <cellStyle name="Warning Text 2 2" xfId="349"/>
    <cellStyle name="Warning Text 3" xfId="350"/>
    <cellStyle name="Warning Text 3 2" xfId="351"/>
    <cellStyle name="Warning Text 4" xfId="3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Rate%20Case%20Dept\%20%20%20Transfer-Rate%20Case\%20*%20ELN\069-ELN-99%20Rate%20Case\6\30\99%20Filing\069-6\99-MFR's%20(A)%20Rate%20Bas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0.85\Rate%20Case\Maryland\043-Provinces%20Utilities\Provinces%202007%20Rate%20Case\TY%202007.06.30\2007%20Provinces%20filing%20template%20r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CWS%20Systems%2008%20RC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\Transylvania%20Sub%207\Trans.%20Sub%207%20stipulat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121-Carolina%20Pines\2008%20RC\Filling%20Template\Carolina%20Pines%2008%20RC%20Final%20Filing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DL/Consumption/Proof%20of%20Revenues/345_Middlesboro%20E%20Schedules_10.1.09-9.30.10%20fixe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DL/Consumption/Proof%20of%20Revenues/345_Clinton%20E%20Schedules_10.1.09-9.30.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0%20Rate%20case/Final%20Filing/160%20-%202010%20filing%20orm%20fi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G%20DR%201-99%20Consumption%20report%20Middlesbor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Consumption%20report%2015,%2016,%2017%20Clint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DEPT\ACCOUNTING\WSC%20Allocation\2006\123106\SE50%20063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C/083-CWS%20Systems,%20Inc/2012%20RC/Filing/Templates/CWS%20systems%202012%20Fairfield%20Harbour%20Filing%20new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Filing/WSC%20Kentucky%20-%202013%20filing%20New%208.08.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shrake\Local%20Settings\Temporary%20Internet%20Files\Content.Outlook\JJT6KL69\Copy%20of%20Copy%20of%20CWSS%20w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BARNETT\Sub%20297\Schedules\Sub%20297%20Settle%20S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6-Carolina%20Trace%20Utilities\2008%20RC\Final%20Filing\Additional%20rate%20case%20schedule%20templates%20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Additional%20rate%20case%20schedule%20templ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1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TB - 6.30.07"/>
      <sheetName val="Sch.A-B.S"/>
      <sheetName val="Sch.B-I.S"/>
      <sheetName val="Sch.C-R.B"/>
      <sheetName val="Sch.D&amp;E-REV"/>
      <sheetName val="Sch.D-1-Consumption Support"/>
      <sheetName val="Sch.F-xxxRate-Rev Comp"/>
      <sheetName val="wp-a-uncoll"/>
      <sheetName val="wp-b-salary"/>
      <sheetName val="wp-b1"/>
      <sheetName val="wp-b2"/>
      <sheetName val="wp-b3"/>
      <sheetName val="wp-b4"/>
      <sheetName val="wp-c-misc IS items"/>
      <sheetName val="wp-d-rc.exp"/>
      <sheetName val="wp-e-toi"/>
      <sheetName val="wp-f-depr"/>
      <sheetName val="wp-g-inc.tx"/>
      <sheetName val="wp-h-int.exp"/>
      <sheetName val="wp-h1-cap.struc"/>
      <sheetName val="wp-h2-Cap."/>
      <sheetName val="wp-i-wc"/>
      <sheetName val="wp-j-pf.plant"/>
      <sheetName val="wp-k-pf retirements"/>
      <sheetName val="wp-l-gl additions"/>
      <sheetName val="wp-m-other rb items"/>
      <sheetName val="wp-n-CPI"/>
      <sheetName val="wp-o-project phoenix "/>
      <sheetName val="wp-p-SE 90 allocation"/>
      <sheetName val="wp-q-Transportation expense"/>
      <sheetName val="wp-s-Purchased Power"/>
      <sheetName val="wp-t-Assumptions"/>
      <sheetName val="wp-u-Insurance Exp"/>
      <sheetName val="Bill Multiplier"/>
    </sheetNames>
    <sheetDataSet>
      <sheetData sheetId="0"/>
      <sheetData sheetId="1"/>
      <sheetData sheetId="2">
        <row r="1">
          <cell r="A1">
            <v>1052091</v>
          </cell>
        </row>
      </sheetData>
      <sheetData sheetId="3">
        <row r="10">
          <cell r="A10">
            <v>3011001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">
          <cell r="C9">
            <v>3.5000000000000003E-2</v>
          </cell>
        </row>
        <row r="10">
          <cell r="C10">
            <v>7.6499999999999999E-2</v>
          </cell>
        </row>
        <row r="12">
          <cell r="C12">
            <v>6.2E-2</v>
          </cell>
        </row>
        <row r="15">
          <cell r="C15">
            <v>1.4500000000000001E-2</v>
          </cell>
        </row>
        <row r="18">
          <cell r="C18">
            <v>8.0000000000000002E-3</v>
          </cell>
        </row>
        <row r="20">
          <cell r="C20">
            <v>1.7999999999999999E-2</v>
          </cell>
        </row>
        <row r="21">
          <cell r="C21">
            <v>8500</v>
          </cell>
        </row>
        <row r="22">
          <cell r="C22">
            <v>1409</v>
          </cell>
        </row>
        <row r="23">
          <cell r="C23">
            <v>0.03</v>
          </cell>
        </row>
        <row r="24">
          <cell r="C24">
            <v>0.04</v>
          </cell>
        </row>
        <row r="25">
          <cell r="C25">
            <v>91</v>
          </cell>
        </row>
        <row r="26">
          <cell r="C26">
            <v>5.1383839424301581E-2</v>
          </cell>
        </row>
      </sheetData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arged to plant"/>
      <sheetName val="wp-c-def charges"/>
      <sheetName val="wp-c2-calc of def charges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 "/>
      <sheetName val="wp-p1-allocation of vehicles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xxxRate-Rev Comp"/>
      <sheetName val="Allocation data summary"/>
      <sheetName val="Allocation data"/>
      <sheetName val="Consumption Data"/>
      <sheetName val="ERC Count NB 12-07"/>
      <sheetName val="wp-q-Def Chrgs"/>
      <sheetName val="CWS Systems 08 RC template"/>
    </sheetNames>
    <sheetDataSet>
      <sheetData sheetId="0" refreshError="1">
        <row r="3">
          <cell r="C3" t="str">
            <v>CWS Systems, Inc.</v>
          </cell>
        </row>
        <row r="5">
          <cell r="C5" t="str">
            <v>W-778, Sub XXX</v>
          </cell>
        </row>
        <row r="7">
          <cell r="C7">
            <v>39447</v>
          </cell>
        </row>
        <row r="11">
          <cell r="C11">
            <v>8658</v>
          </cell>
        </row>
        <row r="12">
          <cell r="C12">
            <v>4085.7</v>
          </cell>
        </row>
      </sheetData>
      <sheetData sheetId="1" refreshError="1"/>
      <sheetData sheetId="2" refreshError="1">
        <row r="1">
          <cell r="A1" t="str">
            <v>Account Number</v>
          </cell>
          <cell r="B1" t="str">
            <v>Account Name</v>
          </cell>
          <cell r="C1" t="str">
            <v>IS/BS</v>
          </cell>
          <cell r="D1" t="str">
            <v>Balance DR/(CR)</v>
          </cell>
        </row>
        <row r="2">
          <cell r="A2" t="str">
            <v>1020</v>
          </cell>
          <cell r="B2" t="str">
            <v>ORGANIZATION</v>
          </cell>
          <cell r="C2" t="str">
            <v>BS</v>
          </cell>
          <cell r="D2">
            <v>189479.66</v>
          </cell>
          <cell r="E2" t="b">
            <v>0</v>
          </cell>
        </row>
        <row r="3">
          <cell r="A3" t="str">
            <v>1045</v>
          </cell>
          <cell r="B3" t="str">
            <v>LAND &amp; LAND RIGHTS GEN PLT</v>
          </cell>
          <cell r="C3" t="str">
            <v>BS</v>
          </cell>
          <cell r="D3">
            <v>50949.45</v>
          </cell>
          <cell r="E3" t="b">
            <v>0</v>
          </cell>
        </row>
        <row r="4">
          <cell r="A4" t="str">
            <v>1050</v>
          </cell>
          <cell r="B4" t="str">
            <v>STRUCT &amp; IMPRV SRC SUPPLY</v>
          </cell>
          <cell r="C4" t="str">
            <v>BS</v>
          </cell>
          <cell r="D4">
            <v>452181.11</v>
          </cell>
          <cell r="E4" t="b">
            <v>0</v>
          </cell>
        </row>
        <row r="5">
          <cell r="A5" t="str">
            <v>1055</v>
          </cell>
          <cell r="B5" t="str">
            <v>STRUCT &amp; IMPRV WTR TRT PLT</v>
          </cell>
          <cell r="C5" t="str">
            <v>BS</v>
          </cell>
          <cell r="D5">
            <v>184343.38</v>
          </cell>
          <cell r="E5" t="b">
            <v>0</v>
          </cell>
        </row>
        <row r="6">
          <cell r="A6" t="str">
            <v>1080</v>
          </cell>
          <cell r="B6" t="str">
            <v>WELLS &amp; SPRINGS</v>
          </cell>
          <cell r="C6" t="str">
            <v>BS</v>
          </cell>
          <cell r="D6">
            <v>1687630.31</v>
          </cell>
          <cell r="E6" t="b">
            <v>0</v>
          </cell>
        </row>
        <row r="7">
          <cell r="A7" t="str">
            <v>1100</v>
          </cell>
          <cell r="B7" t="str">
            <v>ELECTRIC PUMP EQUIP SRC PUMP</v>
          </cell>
          <cell r="C7" t="str">
            <v>BS</v>
          </cell>
          <cell r="D7">
            <v>490</v>
          </cell>
          <cell r="E7" t="b">
            <v>0</v>
          </cell>
        </row>
        <row r="8">
          <cell r="A8" t="str">
            <v>1105</v>
          </cell>
          <cell r="B8" t="str">
            <v>ELECTRIC PUMP EQUIP WTP</v>
          </cell>
          <cell r="C8" t="str">
            <v>BS</v>
          </cell>
          <cell r="D8">
            <v>942325.82</v>
          </cell>
          <cell r="E8" t="b">
            <v>0</v>
          </cell>
        </row>
        <row r="9">
          <cell r="A9" t="str">
            <v>1115</v>
          </cell>
          <cell r="B9" t="str">
            <v>WATER TREATMENT EQPT</v>
          </cell>
          <cell r="C9" t="str">
            <v>BS</v>
          </cell>
          <cell r="D9">
            <v>304205.25</v>
          </cell>
          <cell r="E9" t="b">
            <v>0</v>
          </cell>
        </row>
        <row r="10">
          <cell r="A10" t="str">
            <v>1120</v>
          </cell>
          <cell r="B10" t="str">
            <v>DIST RESV &amp; STANDPIPES</v>
          </cell>
          <cell r="C10" t="str">
            <v>BS</v>
          </cell>
          <cell r="D10">
            <v>1231742.08</v>
          </cell>
          <cell r="E10" t="b">
            <v>0</v>
          </cell>
        </row>
        <row r="11">
          <cell r="A11" t="str">
            <v>1125</v>
          </cell>
          <cell r="B11" t="str">
            <v>TRANS &amp; DISTR MAINS</v>
          </cell>
          <cell r="C11" t="str">
            <v>BS</v>
          </cell>
          <cell r="D11">
            <v>5047635.62</v>
          </cell>
          <cell r="E11" t="b">
            <v>0</v>
          </cell>
        </row>
        <row r="12">
          <cell r="A12" t="str">
            <v>1130</v>
          </cell>
          <cell r="B12" t="str">
            <v>SERVICE LINES</v>
          </cell>
          <cell r="C12" t="str">
            <v>BS</v>
          </cell>
          <cell r="D12">
            <v>1382625.43</v>
          </cell>
          <cell r="E12" t="b">
            <v>0</v>
          </cell>
        </row>
        <row r="13">
          <cell r="A13" t="str">
            <v>1135</v>
          </cell>
          <cell r="B13" t="str">
            <v>METERS</v>
          </cell>
          <cell r="C13" t="str">
            <v>BS</v>
          </cell>
          <cell r="D13">
            <v>382942.89</v>
          </cell>
          <cell r="E13" t="b">
            <v>0</v>
          </cell>
        </row>
        <row r="14">
          <cell r="A14" t="str">
            <v>1140</v>
          </cell>
          <cell r="B14" t="str">
            <v>METER INSTALLATIONS</v>
          </cell>
          <cell r="C14" t="str">
            <v>BS</v>
          </cell>
          <cell r="D14">
            <v>94239.85</v>
          </cell>
          <cell r="E14" t="b">
            <v>0</v>
          </cell>
        </row>
        <row r="15">
          <cell r="A15" t="str">
            <v>1145</v>
          </cell>
          <cell r="B15" t="str">
            <v>HYDRANTS</v>
          </cell>
          <cell r="C15" t="str">
            <v>BS</v>
          </cell>
          <cell r="D15">
            <v>245340.06</v>
          </cell>
          <cell r="E15" t="b">
            <v>0</v>
          </cell>
        </row>
        <row r="16">
          <cell r="A16" t="str">
            <v>1175</v>
          </cell>
          <cell r="B16" t="str">
            <v>OFFICE STRUCT &amp; IMPRV</v>
          </cell>
          <cell r="C16" t="str">
            <v>BS</v>
          </cell>
          <cell r="D16">
            <v>135331.54999999999</v>
          </cell>
          <cell r="E16" t="b">
            <v>0</v>
          </cell>
        </row>
        <row r="17">
          <cell r="A17" t="str">
            <v>1180</v>
          </cell>
          <cell r="B17" t="str">
            <v>OFFICE FURN &amp; EQPT</v>
          </cell>
          <cell r="C17" t="str">
            <v>BS</v>
          </cell>
          <cell r="D17">
            <v>57413.88</v>
          </cell>
          <cell r="E17" t="b">
            <v>0</v>
          </cell>
        </row>
        <row r="18">
          <cell r="A18" t="str">
            <v>1190</v>
          </cell>
          <cell r="B18" t="str">
            <v>TOOL SHOP &amp; MISC EQPT</v>
          </cell>
          <cell r="C18" t="str">
            <v>BS</v>
          </cell>
          <cell r="D18">
            <v>200282.85</v>
          </cell>
          <cell r="E18" t="b">
            <v>0</v>
          </cell>
        </row>
        <row r="19">
          <cell r="A19" t="str">
            <v>1195</v>
          </cell>
          <cell r="B19" t="str">
            <v>LABORATORY EQUIPMENT</v>
          </cell>
          <cell r="C19" t="str">
            <v>BS</v>
          </cell>
          <cell r="D19">
            <v>10394.76</v>
          </cell>
          <cell r="E19" t="b">
            <v>0</v>
          </cell>
        </row>
        <row r="20">
          <cell r="A20" t="str">
            <v>1205</v>
          </cell>
          <cell r="B20" t="str">
            <v>COMMUNICATION EQPT</v>
          </cell>
          <cell r="C20" t="str">
            <v>BS</v>
          </cell>
          <cell r="D20">
            <v>44641.02</v>
          </cell>
          <cell r="E20" t="b">
            <v>0</v>
          </cell>
        </row>
        <row r="21">
          <cell r="A21" t="str">
            <v>1245</v>
          </cell>
          <cell r="B21" t="str">
            <v>ORGANIZATION</v>
          </cell>
          <cell r="C21" t="str">
            <v>BS</v>
          </cell>
          <cell r="D21">
            <v>21939.08</v>
          </cell>
          <cell r="E21" t="b">
            <v>0</v>
          </cell>
        </row>
        <row r="22">
          <cell r="A22" t="str">
            <v>1295</v>
          </cell>
          <cell r="B22" t="str">
            <v>STRUCT/IMPRV PUMP PLT LS</v>
          </cell>
          <cell r="C22" t="str">
            <v>BS</v>
          </cell>
          <cell r="D22">
            <v>911729.54</v>
          </cell>
          <cell r="E22" t="b">
            <v>0</v>
          </cell>
        </row>
        <row r="23">
          <cell r="A23" t="str">
            <v>1315</v>
          </cell>
          <cell r="B23" t="str">
            <v>STRUCT/IMPRV GEN PLT</v>
          </cell>
          <cell r="C23" t="str">
            <v>BS</v>
          </cell>
          <cell r="D23">
            <v>223512.25</v>
          </cell>
          <cell r="E23" t="b">
            <v>0</v>
          </cell>
        </row>
        <row r="24">
          <cell r="A24" t="str">
            <v>1345</v>
          </cell>
          <cell r="B24" t="str">
            <v>SEWER FORCE MAIN/SRVC LINES</v>
          </cell>
          <cell r="C24" t="str">
            <v>BS</v>
          </cell>
          <cell r="D24">
            <v>551516.54</v>
          </cell>
          <cell r="E24" t="b">
            <v>0</v>
          </cell>
        </row>
        <row r="25">
          <cell r="A25" t="str">
            <v>1350</v>
          </cell>
          <cell r="B25" t="str">
            <v>SEWER GRAVITY MAIN/MANHOLES</v>
          </cell>
          <cell r="C25" t="str">
            <v>BS</v>
          </cell>
          <cell r="D25">
            <v>4613708.05</v>
          </cell>
          <cell r="E25" t="b">
            <v>0</v>
          </cell>
        </row>
        <row r="26">
          <cell r="A26" t="str">
            <v>1400</v>
          </cell>
          <cell r="B26" t="str">
            <v>TREAT/DISP EQUIP TRT PLT</v>
          </cell>
          <cell r="C26" t="str">
            <v>BS</v>
          </cell>
          <cell r="D26">
            <v>2884960.49</v>
          </cell>
          <cell r="E26" t="b">
            <v>0</v>
          </cell>
        </row>
        <row r="27">
          <cell r="A27" t="str">
            <v>1470</v>
          </cell>
          <cell r="B27" t="str">
            <v>TOOL SHOP &amp; MISC EQPT</v>
          </cell>
          <cell r="C27" t="str">
            <v>BS</v>
          </cell>
          <cell r="D27">
            <v>25316</v>
          </cell>
          <cell r="E27" t="b">
            <v>0</v>
          </cell>
        </row>
        <row r="28">
          <cell r="A28" t="str">
            <v>1555</v>
          </cell>
          <cell r="B28" t="str">
            <v>TRANSPORTATION EQPT WTR</v>
          </cell>
          <cell r="C28" t="str">
            <v>BS</v>
          </cell>
          <cell r="D28">
            <v>122297</v>
          </cell>
          <cell r="E28" t="b">
            <v>0</v>
          </cell>
        </row>
        <row r="29">
          <cell r="A29" t="str">
            <v>1580</v>
          </cell>
          <cell r="B29" t="str">
            <v>MAINFRAME COMPUTER WTR</v>
          </cell>
          <cell r="C29" t="str">
            <v>BS</v>
          </cell>
          <cell r="D29">
            <v>23721</v>
          </cell>
          <cell r="E29" t="b">
            <v>0</v>
          </cell>
        </row>
        <row r="30">
          <cell r="A30" t="str">
            <v>1585</v>
          </cell>
          <cell r="B30" t="str">
            <v>MINI COMPUTERS WTR</v>
          </cell>
          <cell r="C30" t="str">
            <v>BS</v>
          </cell>
          <cell r="D30">
            <v>49541</v>
          </cell>
          <cell r="E30" t="b">
            <v>0</v>
          </cell>
        </row>
        <row r="31">
          <cell r="A31" t="str">
            <v>1590</v>
          </cell>
          <cell r="B31" t="str">
            <v>COMP SYS COST WTR</v>
          </cell>
          <cell r="C31" t="str">
            <v>BS</v>
          </cell>
          <cell r="D31">
            <v>35153</v>
          </cell>
          <cell r="E31" t="b">
            <v>0</v>
          </cell>
        </row>
        <row r="32">
          <cell r="A32" t="str">
            <v>1595</v>
          </cell>
          <cell r="B32" t="str">
            <v>MICRO SYS COST WTR</v>
          </cell>
          <cell r="C32" t="str">
            <v>BS</v>
          </cell>
          <cell r="D32">
            <v>20956</v>
          </cell>
          <cell r="E32" t="b">
            <v>0</v>
          </cell>
        </row>
        <row r="33">
          <cell r="A33" t="str">
            <v>1665</v>
          </cell>
          <cell r="B33" t="str">
            <v>WIP - CAPITALIZED TIME</v>
          </cell>
          <cell r="C33" t="str">
            <v>BS</v>
          </cell>
          <cell r="D33">
            <v>9054.2999999999993</v>
          </cell>
          <cell r="E33" t="b">
            <v>0</v>
          </cell>
        </row>
        <row r="34">
          <cell r="A34" t="str">
            <v>1666</v>
          </cell>
          <cell r="B34" t="str">
            <v>WIP - INTEREST DURING CONSTR</v>
          </cell>
          <cell r="C34" t="str">
            <v>BS</v>
          </cell>
          <cell r="D34">
            <v>35020.559999999998</v>
          </cell>
          <cell r="E34" t="b">
            <v>0</v>
          </cell>
        </row>
        <row r="35">
          <cell r="A35" t="str">
            <v>1667</v>
          </cell>
          <cell r="B35" t="str">
            <v>WIP - ENGINEERING</v>
          </cell>
          <cell r="C35" t="str">
            <v>BS</v>
          </cell>
          <cell r="D35">
            <v>49126.77</v>
          </cell>
          <cell r="E35" t="b">
            <v>0</v>
          </cell>
        </row>
        <row r="36">
          <cell r="A36" t="str">
            <v>1668</v>
          </cell>
          <cell r="B36" t="str">
            <v>WIP - LABOR/INSTALLATION</v>
          </cell>
          <cell r="C36" t="str">
            <v>BS</v>
          </cell>
          <cell r="D36">
            <v>563730.27</v>
          </cell>
          <cell r="E36" t="b">
            <v>0</v>
          </cell>
        </row>
        <row r="37">
          <cell r="A37" t="str">
            <v>1669</v>
          </cell>
          <cell r="B37" t="str">
            <v>WIP - EQUIPMENT</v>
          </cell>
          <cell r="C37" t="str">
            <v>BS</v>
          </cell>
          <cell r="D37">
            <v>35221.550000000003</v>
          </cell>
          <cell r="E37" t="b">
            <v>0</v>
          </cell>
        </row>
        <row r="38">
          <cell r="A38" t="str">
            <v>1670</v>
          </cell>
          <cell r="B38" t="str">
            <v>WIP - MATERIAL</v>
          </cell>
          <cell r="C38" t="str">
            <v>BS</v>
          </cell>
          <cell r="D38">
            <v>14662.02</v>
          </cell>
          <cell r="E38" t="b">
            <v>0</v>
          </cell>
        </row>
        <row r="39">
          <cell r="A39" t="str">
            <v>1671</v>
          </cell>
          <cell r="B39" t="str">
            <v>WIP - ELECTRICAL</v>
          </cell>
          <cell r="C39" t="str">
            <v>BS</v>
          </cell>
          <cell r="D39">
            <v>1678.03</v>
          </cell>
          <cell r="E39" t="b">
            <v>0</v>
          </cell>
        </row>
        <row r="40">
          <cell r="A40" t="str">
            <v>1672</v>
          </cell>
          <cell r="B40" t="str">
            <v>WIP - PIPING</v>
          </cell>
          <cell r="C40" t="str">
            <v>BS</v>
          </cell>
          <cell r="D40">
            <v>79047.41</v>
          </cell>
          <cell r="E40" t="b">
            <v>0</v>
          </cell>
        </row>
        <row r="41">
          <cell r="A41" t="str">
            <v>1673</v>
          </cell>
          <cell r="B41" t="str">
            <v>WIP - SITE WORK</v>
          </cell>
          <cell r="C41" t="str">
            <v>BS</v>
          </cell>
          <cell r="D41">
            <v>6645</v>
          </cell>
          <cell r="E41" t="b">
            <v>0</v>
          </cell>
        </row>
        <row r="42">
          <cell r="A42" t="str">
            <v>1674</v>
          </cell>
          <cell r="B42" t="str">
            <v>WIP - BUILDING ADDITION</v>
          </cell>
          <cell r="C42" t="str">
            <v>BS</v>
          </cell>
          <cell r="D42">
            <v>4631.18</v>
          </cell>
          <cell r="E42" t="b">
            <v>0</v>
          </cell>
        </row>
        <row r="43">
          <cell r="A43" t="str">
            <v>1692</v>
          </cell>
          <cell r="B43" t="str">
            <v>WIP - WELL HOUSE</v>
          </cell>
          <cell r="C43" t="str">
            <v>BS</v>
          </cell>
          <cell r="D43">
            <v>24942.22</v>
          </cell>
          <cell r="E43" t="b">
            <v>0</v>
          </cell>
        </row>
        <row r="44">
          <cell r="A44" t="str">
            <v>1697</v>
          </cell>
          <cell r="B44" t="str">
            <v>WIP - CLOSE CP TO GL LEGACY</v>
          </cell>
          <cell r="C44" t="str">
            <v>BS</v>
          </cell>
          <cell r="D44">
            <v>-67742.179999999993</v>
          </cell>
          <cell r="E44" t="b">
            <v>0</v>
          </cell>
        </row>
        <row r="45">
          <cell r="A45" t="str">
            <v>1698</v>
          </cell>
          <cell r="B45" t="str">
            <v>WIP - J/E CLEARING LEGACY</v>
          </cell>
          <cell r="C45" t="str">
            <v>BS</v>
          </cell>
          <cell r="D45">
            <v>67742.179999999993</v>
          </cell>
          <cell r="E45" t="b">
            <v>0</v>
          </cell>
        </row>
        <row r="46">
          <cell r="A46" t="str">
            <v>1705</v>
          </cell>
          <cell r="B46" t="str">
            <v>WIP - CAPITALIZED TIME</v>
          </cell>
          <cell r="C46" t="str">
            <v>BS</v>
          </cell>
          <cell r="D46">
            <v>4029.81</v>
          </cell>
          <cell r="E46" t="b">
            <v>0</v>
          </cell>
        </row>
        <row r="47">
          <cell r="A47" t="str">
            <v>1706</v>
          </cell>
          <cell r="B47" t="str">
            <v>WIP - INTEREST DURING CONSTR</v>
          </cell>
          <cell r="C47" t="str">
            <v>BS</v>
          </cell>
          <cell r="D47">
            <v>5289.94</v>
          </cell>
          <cell r="E47" t="b">
            <v>0</v>
          </cell>
        </row>
        <row r="48">
          <cell r="A48" t="str">
            <v>1707</v>
          </cell>
          <cell r="B48" t="str">
            <v>WIP - ENGINEERING</v>
          </cell>
          <cell r="C48" t="str">
            <v>BS</v>
          </cell>
          <cell r="D48">
            <v>55875.55</v>
          </cell>
          <cell r="E48" t="b">
            <v>0</v>
          </cell>
        </row>
        <row r="49">
          <cell r="A49" t="str">
            <v>1708</v>
          </cell>
          <cell r="B49" t="str">
            <v>WIP - LABOR/INSTALLATION</v>
          </cell>
          <cell r="C49" t="str">
            <v>BS</v>
          </cell>
          <cell r="D49">
            <v>233617.36</v>
          </cell>
          <cell r="E49" t="b">
            <v>0</v>
          </cell>
        </row>
        <row r="50">
          <cell r="A50" t="str">
            <v>1709</v>
          </cell>
          <cell r="B50" t="str">
            <v>WIP - EQUIPMENT</v>
          </cell>
          <cell r="C50" t="str">
            <v>BS</v>
          </cell>
          <cell r="D50">
            <v>183106.77</v>
          </cell>
          <cell r="E50" t="b">
            <v>0</v>
          </cell>
        </row>
        <row r="51">
          <cell r="A51" t="str">
            <v>1710</v>
          </cell>
          <cell r="B51" t="str">
            <v>WIP - MATERIAL</v>
          </cell>
          <cell r="C51" t="str">
            <v>BS</v>
          </cell>
          <cell r="D51">
            <v>11144</v>
          </cell>
          <cell r="E51" t="b">
            <v>0</v>
          </cell>
        </row>
        <row r="52">
          <cell r="A52" t="str">
            <v>1722</v>
          </cell>
          <cell r="B52" t="str">
            <v>WIP - MODIFICATION/LIFT STN</v>
          </cell>
          <cell r="C52" t="str">
            <v>BS</v>
          </cell>
          <cell r="D52">
            <v>2546.73</v>
          </cell>
          <cell r="E52" t="b">
            <v>0</v>
          </cell>
        </row>
        <row r="53">
          <cell r="A53" t="str">
            <v>1726</v>
          </cell>
          <cell r="B53" t="str">
            <v>WIP - PUMPS/EQUIPMENT</v>
          </cell>
          <cell r="C53" t="str">
            <v>BS</v>
          </cell>
          <cell r="D53">
            <v>24926.95</v>
          </cell>
          <cell r="E53" t="b">
            <v>0</v>
          </cell>
        </row>
        <row r="54">
          <cell r="A54" t="str">
            <v>1749</v>
          </cell>
          <cell r="B54" t="str">
            <v>WIP - MATERIAL</v>
          </cell>
          <cell r="C54" t="str">
            <v>BS</v>
          </cell>
          <cell r="D54">
            <v>476539</v>
          </cell>
          <cell r="E54" t="b">
            <v>0</v>
          </cell>
        </row>
        <row r="55">
          <cell r="A55" t="str">
            <v>1835</v>
          </cell>
          <cell r="B55" t="str">
            <v>ACC DEPR-ORGANIZATION</v>
          </cell>
          <cell r="C55" t="str">
            <v>BS</v>
          </cell>
          <cell r="D55">
            <v>30335.48</v>
          </cell>
          <cell r="E55" t="b">
            <v>0</v>
          </cell>
        </row>
        <row r="56">
          <cell r="A56" t="str">
            <v>1845</v>
          </cell>
          <cell r="B56" t="str">
            <v>ACC DEPR-STRUCT&amp;IMPRV SRC SPLY</v>
          </cell>
          <cell r="C56" t="str">
            <v>BS</v>
          </cell>
          <cell r="D56">
            <v>-90364.34</v>
          </cell>
          <cell r="E56" t="b">
            <v>0</v>
          </cell>
        </row>
        <row r="57">
          <cell r="A57" t="str">
            <v>1850</v>
          </cell>
          <cell r="B57" t="str">
            <v>ACC DEPR-STRUCT&amp;IMPRV WTP</v>
          </cell>
          <cell r="C57" t="str">
            <v>BS</v>
          </cell>
          <cell r="D57">
            <v>703.09</v>
          </cell>
          <cell r="E57" t="b">
            <v>0</v>
          </cell>
        </row>
        <row r="58">
          <cell r="A58" t="str">
            <v>1875</v>
          </cell>
          <cell r="B58" t="str">
            <v>ACC DEPR-WELLS &amp; SPRINGS</v>
          </cell>
          <cell r="C58" t="str">
            <v>BS</v>
          </cell>
          <cell r="D58">
            <v>-306071.78999999998</v>
          </cell>
          <cell r="E58" t="b">
            <v>0</v>
          </cell>
        </row>
        <row r="59">
          <cell r="A59" t="str">
            <v>1895</v>
          </cell>
          <cell r="B59" t="str">
            <v>ACC DEPR-ELECT PUMP EQUIP SRC PUMP</v>
          </cell>
          <cell r="C59" t="str">
            <v>BS</v>
          </cell>
          <cell r="D59">
            <v>7151.25</v>
          </cell>
          <cell r="E59" t="b">
            <v>0</v>
          </cell>
        </row>
        <row r="60">
          <cell r="A60" t="str">
            <v>1900</v>
          </cell>
          <cell r="B60" t="str">
            <v>ACC DEPR-ELECT PUMP EQUIP WTP</v>
          </cell>
          <cell r="C60" t="str">
            <v>BS</v>
          </cell>
          <cell r="D60">
            <v>-186369.45</v>
          </cell>
          <cell r="E60" t="b">
            <v>0</v>
          </cell>
        </row>
        <row r="61">
          <cell r="A61" t="str">
            <v>1910</v>
          </cell>
          <cell r="B61" t="str">
            <v>ACC DEPR-WATER TREATMENT EQPT</v>
          </cell>
          <cell r="C61" t="str">
            <v>BS</v>
          </cell>
          <cell r="D61">
            <v>-52957.78</v>
          </cell>
          <cell r="E61" t="b">
            <v>0</v>
          </cell>
        </row>
        <row r="62">
          <cell r="A62" t="str">
            <v>1915</v>
          </cell>
          <cell r="B62" t="str">
            <v>ACC DEPR-DIST RESV &amp; STANDPIPE</v>
          </cell>
          <cell r="C62" t="str">
            <v>BS</v>
          </cell>
          <cell r="D62">
            <v>-251998.26</v>
          </cell>
          <cell r="E62" t="b">
            <v>0</v>
          </cell>
        </row>
        <row r="63">
          <cell r="A63" t="str">
            <v>1920</v>
          </cell>
          <cell r="B63" t="str">
            <v>ACC DEPR-TRANS &amp; DISTR MAINS</v>
          </cell>
          <cell r="C63" t="str">
            <v>BS</v>
          </cell>
          <cell r="D63">
            <v>-1032300.64</v>
          </cell>
          <cell r="E63" t="b">
            <v>0</v>
          </cell>
        </row>
        <row r="64">
          <cell r="A64" t="str">
            <v>1925</v>
          </cell>
          <cell r="B64" t="str">
            <v>ACC DEPR-SERVICE LINES</v>
          </cell>
          <cell r="C64" t="str">
            <v>BS</v>
          </cell>
          <cell r="D64">
            <v>-255462.81</v>
          </cell>
          <cell r="E64" t="b">
            <v>0</v>
          </cell>
        </row>
        <row r="65">
          <cell r="A65" t="str">
            <v>1930</v>
          </cell>
          <cell r="B65" t="str">
            <v>ACC DEPR-METERS</v>
          </cell>
          <cell r="C65" t="str">
            <v>BS</v>
          </cell>
          <cell r="D65">
            <v>-64577.56</v>
          </cell>
          <cell r="E65" t="b">
            <v>0</v>
          </cell>
        </row>
        <row r="66">
          <cell r="A66" t="str">
            <v>1935</v>
          </cell>
          <cell r="B66" t="str">
            <v>ACC DEPR-METER INSTALLS</v>
          </cell>
          <cell r="C66" t="str">
            <v>BS</v>
          </cell>
          <cell r="D66">
            <v>-18378.68</v>
          </cell>
          <cell r="E66" t="b">
            <v>0</v>
          </cell>
        </row>
        <row r="67">
          <cell r="A67" t="str">
            <v>1940</v>
          </cell>
          <cell r="B67" t="str">
            <v>ACC DEPR-HYDRANTS</v>
          </cell>
          <cell r="C67" t="str">
            <v>BS</v>
          </cell>
          <cell r="D67">
            <v>-45588.43</v>
          </cell>
          <cell r="E67" t="b">
            <v>0</v>
          </cell>
        </row>
        <row r="68">
          <cell r="A68" t="str">
            <v>1970</v>
          </cell>
          <cell r="B68" t="str">
            <v>ACC DEPR-OFFICE STRUCTURE</v>
          </cell>
          <cell r="C68" t="str">
            <v>BS</v>
          </cell>
          <cell r="D68">
            <v>-54125.64</v>
          </cell>
          <cell r="E68" t="b">
            <v>0</v>
          </cell>
        </row>
        <row r="69">
          <cell r="A69" t="str">
            <v>1975</v>
          </cell>
          <cell r="B69" t="str">
            <v>ACC DEPR-OFFICE FURN/EQPT</v>
          </cell>
          <cell r="C69" t="str">
            <v>BS</v>
          </cell>
          <cell r="D69">
            <v>-43798.75</v>
          </cell>
          <cell r="E69" t="b">
            <v>0</v>
          </cell>
        </row>
        <row r="70">
          <cell r="A70" t="str">
            <v>1985</v>
          </cell>
          <cell r="B70" t="str">
            <v>ACC DEPR-TOOL SHOP &amp; MISC EQPT</v>
          </cell>
          <cell r="C70" t="str">
            <v>BS</v>
          </cell>
          <cell r="D70">
            <v>-41202.620000000003</v>
          </cell>
          <cell r="E70" t="b">
            <v>0</v>
          </cell>
        </row>
        <row r="71">
          <cell r="A71" t="str">
            <v>1990</v>
          </cell>
          <cell r="B71" t="str">
            <v>ACC DEPR-LABORATORY EQUIPMENT</v>
          </cell>
          <cell r="C71" t="str">
            <v>BS</v>
          </cell>
          <cell r="D71">
            <v>-2144.7199999999998</v>
          </cell>
          <cell r="E71" t="b">
            <v>0</v>
          </cell>
        </row>
        <row r="72">
          <cell r="A72" t="str">
            <v>2000</v>
          </cell>
          <cell r="B72" t="str">
            <v>ACC DEPR-COMMUNICATION EQPT</v>
          </cell>
          <cell r="C72" t="str">
            <v>BS</v>
          </cell>
          <cell r="D72">
            <v>-18254.939999999999</v>
          </cell>
          <cell r="E72" t="b">
            <v>0</v>
          </cell>
        </row>
        <row r="73">
          <cell r="A73" t="str">
            <v>2030</v>
          </cell>
          <cell r="B73" t="str">
            <v>ACC DEPR-ORGANIZATION</v>
          </cell>
          <cell r="C73" t="str">
            <v>BS</v>
          </cell>
          <cell r="D73">
            <v>16483.27</v>
          </cell>
          <cell r="E73" t="b">
            <v>0</v>
          </cell>
        </row>
        <row r="74">
          <cell r="A74" t="str">
            <v>2055</v>
          </cell>
          <cell r="B74" t="str">
            <v>ACC DEPR-STRUCT/IMPRV PUMP PLT LS</v>
          </cell>
          <cell r="C74" t="str">
            <v>BS</v>
          </cell>
          <cell r="D74">
            <v>-173394.09</v>
          </cell>
          <cell r="E74" t="b">
            <v>0</v>
          </cell>
        </row>
        <row r="75">
          <cell r="A75" t="str">
            <v>2075</v>
          </cell>
          <cell r="B75" t="str">
            <v>ACC DEPR-STRUCT/IMPRV GEN PLT</v>
          </cell>
          <cell r="C75" t="str">
            <v>BS</v>
          </cell>
          <cell r="D75">
            <v>-35024.949999999997</v>
          </cell>
          <cell r="E75" t="b">
            <v>0</v>
          </cell>
        </row>
        <row r="76">
          <cell r="A76" t="str">
            <v>2105</v>
          </cell>
          <cell r="B76" t="str">
            <v>ACC DEPR-SEWER FORCE MAIN/SRVC LINES</v>
          </cell>
          <cell r="C76" t="str">
            <v>BS</v>
          </cell>
          <cell r="D76">
            <v>-131555.21</v>
          </cell>
          <cell r="E76" t="b">
            <v>0</v>
          </cell>
        </row>
        <row r="77">
          <cell r="A77" t="str">
            <v>2110</v>
          </cell>
          <cell r="B77" t="str">
            <v>ACC DEPR-SEWER GRVTY MAIN/MAN</v>
          </cell>
          <cell r="C77" t="str">
            <v>BS</v>
          </cell>
          <cell r="D77">
            <v>-927119.53</v>
          </cell>
          <cell r="E77" t="b">
            <v>0</v>
          </cell>
        </row>
        <row r="78">
          <cell r="A78" t="str">
            <v>2160</v>
          </cell>
          <cell r="B78" t="str">
            <v>ACC DEPR-TREAT/DISP EQP TRT PLT</v>
          </cell>
          <cell r="C78" t="str">
            <v>BS</v>
          </cell>
          <cell r="D78">
            <v>-561701.07999999996</v>
          </cell>
          <cell r="E78" t="b">
            <v>0</v>
          </cell>
        </row>
        <row r="79">
          <cell r="A79" t="str">
            <v>2230</v>
          </cell>
          <cell r="B79" t="str">
            <v>ACC DEPR-TOOL SHOP &amp; MISC EQPT</v>
          </cell>
          <cell r="C79" t="str">
            <v>BS</v>
          </cell>
          <cell r="D79">
            <v>-6148.34</v>
          </cell>
          <cell r="E79" t="b">
            <v>0</v>
          </cell>
        </row>
        <row r="80">
          <cell r="A80" t="str">
            <v>2300</v>
          </cell>
          <cell r="B80" t="str">
            <v>ACC DEPR-TRANSPORTATION WTR</v>
          </cell>
          <cell r="C80" t="str">
            <v>BS</v>
          </cell>
          <cell r="D80">
            <v>-75633.990000000005</v>
          </cell>
          <cell r="E80" t="b">
            <v>0</v>
          </cell>
        </row>
        <row r="81">
          <cell r="A81" t="str">
            <v>2320</v>
          </cell>
          <cell r="B81" t="str">
            <v>ACC DEPR-MAINFRAME COMP WTR</v>
          </cell>
          <cell r="C81" t="str">
            <v>BS</v>
          </cell>
          <cell r="D81">
            <v>-22758</v>
          </cell>
          <cell r="E81" t="b">
            <v>0</v>
          </cell>
        </row>
        <row r="82">
          <cell r="A82" t="str">
            <v>2325</v>
          </cell>
          <cell r="B82" t="str">
            <v>ACC DEPR-MINI COMP WTR</v>
          </cell>
          <cell r="C82" t="str">
            <v>BS</v>
          </cell>
          <cell r="D82">
            <v>-38433</v>
          </cell>
          <cell r="E82" t="b">
            <v>0</v>
          </cell>
        </row>
        <row r="83">
          <cell r="A83" t="str">
            <v>2330</v>
          </cell>
          <cell r="B83" t="str">
            <v>COMP SYS AMORTIZATION WTR</v>
          </cell>
          <cell r="C83" t="str">
            <v>BS</v>
          </cell>
          <cell r="D83">
            <v>-34446</v>
          </cell>
          <cell r="E83" t="b">
            <v>0</v>
          </cell>
        </row>
        <row r="84">
          <cell r="A84" t="str">
            <v>2335</v>
          </cell>
          <cell r="B84" t="str">
            <v>MICRO SYS AMORTIZATION WTR</v>
          </cell>
          <cell r="C84" t="str">
            <v>BS</v>
          </cell>
          <cell r="D84">
            <v>-10714</v>
          </cell>
          <cell r="E84" t="b">
            <v>0</v>
          </cell>
        </row>
        <row r="85">
          <cell r="A85" t="str">
            <v>2400</v>
          </cell>
          <cell r="B85" t="str">
            <v>UTILITY PAA WTR PLANT AMORT</v>
          </cell>
          <cell r="C85" t="str">
            <v>BS</v>
          </cell>
          <cell r="D85">
            <v>-641167.39</v>
          </cell>
          <cell r="E85" t="b">
            <v>0</v>
          </cell>
        </row>
        <row r="86">
          <cell r="A86" t="str">
            <v>2410</v>
          </cell>
          <cell r="B86" t="str">
            <v>UTILITY PAA SWR PLANT AMORT</v>
          </cell>
          <cell r="C86" t="str">
            <v>BS</v>
          </cell>
          <cell r="D86">
            <v>-60675.85</v>
          </cell>
          <cell r="E86" t="b">
            <v>0</v>
          </cell>
        </row>
        <row r="87">
          <cell r="A87" t="str">
            <v>2420</v>
          </cell>
          <cell r="B87" t="str">
            <v>ACC AMORT UTIL PAA-WATER</v>
          </cell>
          <cell r="C87" t="str">
            <v>BS</v>
          </cell>
          <cell r="D87">
            <v>126171</v>
          </cell>
          <cell r="E87" t="b">
            <v>0</v>
          </cell>
        </row>
        <row r="88">
          <cell r="A88" t="str">
            <v>2425</v>
          </cell>
          <cell r="B88" t="str">
            <v>ACC AMORT UTIL PAA-SEWER</v>
          </cell>
          <cell r="C88" t="str">
            <v>BS</v>
          </cell>
          <cell r="D88">
            <v>21848.79</v>
          </cell>
          <cell r="E88" t="b">
            <v>0</v>
          </cell>
        </row>
        <row r="89">
          <cell r="A89" t="str">
            <v>2640</v>
          </cell>
          <cell r="B89" t="str">
            <v>CASH-CHASE-WSC DISBURSEMENT</v>
          </cell>
          <cell r="C89" t="str">
            <v>BS</v>
          </cell>
          <cell r="D89">
            <v>-14.59</v>
          </cell>
          <cell r="E89" t="b">
            <v>0</v>
          </cell>
        </row>
        <row r="90">
          <cell r="A90" t="str">
            <v>2665</v>
          </cell>
          <cell r="B90" t="str">
            <v>CASH UNAPPLIED</v>
          </cell>
          <cell r="C90" t="str">
            <v>BS</v>
          </cell>
          <cell r="D90">
            <v>-2216.33</v>
          </cell>
          <cell r="E90" t="b">
            <v>0</v>
          </cell>
        </row>
        <row r="91">
          <cell r="A91" t="str">
            <v>2675</v>
          </cell>
          <cell r="B91" t="str">
            <v>A/R-CUSTOMER TRADE CC&amp;B</v>
          </cell>
          <cell r="C91" t="str">
            <v>BS</v>
          </cell>
          <cell r="D91">
            <v>325247.61</v>
          </cell>
          <cell r="E91" t="b">
            <v>0</v>
          </cell>
        </row>
        <row r="92">
          <cell r="A92" t="str">
            <v>2680</v>
          </cell>
          <cell r="B92" t="str">
            <v>A/R-CUSTOMER ACCRUAL</v>
          </cell>
          <cell r="C92" t="str">
            <v>BS</v>
          </cell>
          <cell r="D92">
            <v>216135</v>
          </cell>
          <cell r="E92" t="b">
            <v>0</v>
          </cell>
        </row>
        <row r="93">
          <cell r="A93" t="str">
            <v>2685</v>
          </cell>
          <cell r="B93" t="str">
            <v>A/R-CUSTOMER REFUNDS</v>
          </cell>
          <cell r="C93" t="str">
            <v>BS</v>
          </cell>
          <cell r="D93">
            <v>-8552.57</v>
          </cell>
          <cell r="E93" t="b">
            <v>0</v>
          </cell>
        </row>
        <row r="94">
          <cell r="A94" t="str">
            <v>2690</v>
          </cell>
          <cell r="B94" t="str">
            <v>ACCUM PROV UNCOLLECT ACCTS</v>
          </cell>
          <cell r="C94" t="str">
            <v>BS</v>
          </cell>
          <cell r="D94">
            <v>-71930.97</v>
          </cell>
          <cell r="E94" t="b">
            <v>0</v>
          </cell>
        </row>
        <row r="95">
          <cell r="A95" t="str">
            <v>2710</v>
          </cell>
          <cell r="B95" t="str">
            <v>A/R ASSOC COS</v>
          </cell>
          <cell r="C95" t="str">
            <v>BS</v>
          </cell>
          <cell r="D95">
            <v>-291543.51</v>
          </cell>
          <cell r="E95" t="b">
            <v>0</v>
          </cell>
        </row>
        <row r="96">
          <cell r="A96" t="str">
            <v>2775</v>
          </cell>
          <cell r="B96" t="str">
            <v>SPECIAL DEPOSITS</v>
          </cell>
          <cell r="C96" t="str">
            <v>BS</v>
          </cell>
          <cell r="D96">
            <v>20</v>
          </cell>
          <cell r="E96" t="b">
            <v>0</v>
          </cell>
        </row>
        <row r="97">
          <cell r="A97" t="str">
            <v>2785</v>
          </cell>
          <cell r="B97" t="str">
            <v>PREPAYMENTS</v>
          </cell>
          <cell r="C97" t="str">
            <v>BS</v>
          </cell>
          <cell r="D97">
            <v>0</v>
          </cell>
          <cell r="E97" t="b">
            <v>0</v>
          </cell>
        </row>
        <row r="98">
          <cell r="A98" t="str">
            <v>2795</v>
          </cell>
          <cell r="B98" t="str">
            <v>PREPAID REIMBURSEMENTS</v>
          </cell>
          <cell r="C98" t="str">
            <v>BS</v>
          </cell>
          <cell r="D98">
            <v>5307.49</v>
          </cell>
          <cell r="E98" t="b">
            <v>0</v>
          </cell>
        </row>
        <row r="99">
          <cell r="A99" t="str">
            <v>2855</v>
          </cell>
          <cell r="B99" t="str">
            <v>PRELIMINARY SURVEY</v>
          </cell>
          <cell r="C99" t="str">
            <v>BS</v>
          </cell>
          <cell r="D99">
            <v>127</v>
          </cell>
          <cell r="E99" t="b">
            <v>0</v>
          </cell>
        </row>
        <row r="100">
          <cell r="A100" t="str">
            <v>2920</v>
          </cell>
          <cell r="B100" t="str">
            <v>RATE CASE ACCUM AMORT</v>
          </cell>
          <cell r="C100" t="str">
            <v>BS</v>
          </cell>
          <cell r="D100">
            <v>0.01</v>
          </cell>
          <cell r="E100" t="b">
            <v>0</v>
          </cell>
        </row>
        <row r="101">
          <cell r="A101" t="str">
            <v>2930</v>
          </cell>
          <cell r="B101" t="str">
            <v>MISC REG ACCUM AMORT</v>
          </cell>
          <cell r="C101" t="str">
            <v>BS</v>
          </cell>
          <cell r="D101">
            <v>1158.28</v>
          </cell>
          <cell r="E101" t="b">
            <v>0</v>
          </cell>
        </row>
        <row r="102">
          <cell r="A102" t="str">
            <v>2960</v>
          </cell>
          <cell r="B102" t="str">
            <v>DEF CHGS-TANK MAINT&amp;REP WTR</v>
          </cell>
          <cell r="C102" t="str">
            <v>BS</v>
          </cell>
          <cell r="D102">
            <v>63645</v>
          </cell>
          <cell r="E102" t="b">
            <v>0</v>
          </cell>
        </row>
        <row r="103">
          <cell r="A103" t="str">
            <v>2965</v>
          </cell>
          <cell r="B103" t="str">
            <v>DEF CHGS-RELOCATION EXPENSES</v>
          </cell>
          <cell r="C103" t="str">
            <v>BS</v>
          </cell>
          <cell r="D103">
            <v>7406.24</v>
          </cell>
          <cell r="E103" t="b">
            <v>0</v>
          </cell>
        </row>
        <row r="104">
          <cell r="A104" t="str">
            <v>2980</v>
          </cell>
          <cell r="B104" t="str">
            <v>DEF CHGS-EMP FEES</v>
          </cell>
          <cell r="C104" t="str">
            <v>BS</v>
          </cell>
          <cell r="D104">
            <v>5341</v>
          </cell>
          <cell r="E104" t="b">
            <v>0</v>
          </cell>
        </row>
        <row r="105">
          <cell r="A105" t="str">
            <v>3005</v>
          </cell>
          <cell r="B105" t="str">
            <v>DEF CHGS-VOC TESTING</v>
          </cell>
          <cell r="C105" t="str">
            <v>BS</v>
          </cell>
          <cell r="D105">
            <v>47656.75</v>
          </cell>
          <cell r="E105" t="b">
            <v>0</v>
          </cell>
        </row>
        <row r="106">
          <cell r="A106" t="str">
            <v>3040</v>
          </cell>
          <cell r="B106" t="str">
            <v>DEF CHGS-TANK MAINT&amp;REP SWR</v>
          </cell>
          <cell r="C106" t="str">
            <v>BS</v>
          </cell>
          <cell r="D106">
            <v>33200</v>
          </cell>
          <cell r="E106" t="b">
            <v>0</v>
          </cell>
        </row>
        <row r="107">
          <cell r="A107" t="str">
            <v>3110</v>
          </cell>
          <cell r="B107" t="str">
            <v>AMORT - TANK MAINT&amp;REP WTR</v>
          </cell>
          <cell r="C107" t="str">
            <v>BS</v>
          </cell>
          <cell r="D107">
            <v>-49579</v>
          </cell>
          <cell r="E107" t="b">
            <v>0</v>
          </cell>
        </row>
        <row r="108">
          <cell r="A108" t="str">
            <v>3120</v>
          </cell>
          <cell r="B108" t="str">
            <v>AMORT - RELOCATION EXP</v>
          </cell>
          <cell r="C108" t="str">
            <v>BS</v>
          </cell>
          <cell r="D108">
            <v>-2512.0500000000002</v>
          </cell>
          <cell r="E108" t="b">
            <v>0</v>
          </cell>
        </row>
        <row r="109">
          <cell r="A109" t="str">
            <v>3135</v>
          </cell>
          <cell r="B109" t="str">
            <v>AMORT - EMPLOYEE FEES</v>
          </cell>
          <cell r="C109" t="str">
            <v>BS</v>
          </cell>
          <cell r="D109">
            <v>-59</v>
          </cell>
          <cell r="E109" t="b">
            <v>0</v>
          </cell>
        </row>
        <row r="110">
          <cell r="A110" t="str">
            <v>3160</v>
          </cell>
          <cell r="B110" t="str">
            <v>AMORT - VOC TESTING</v>
          </cell>
          <cell r="C110" t="str">
            <v>BS</v>
          </cell>
          <cell r="D110">
            <v>-29698.61</v>
          </cell>
          <cell r="E110" t="b">
            <v>0</v>
          </cell>
        </row>
        <row r="111">
          <cell r="A111" t="str">
            <v>3195</v>
          </cell>
          <cell r="B111" t="str">
            <v>AMORT - TANK MAINT&amp;REP SWR</v>
          </cell>
          <cell r="C111" t="str">
            <v>BS</v>
          </cell>
          <cell r="D111">
            <v>-31068</v>
          </cell>
          <cell r="E111" t="b">
            <v>0</v>
          </cell>
        </row>
        <row r="112">
          <cell r="A112" t="str">
            <v>3430</v>
          </cell>
          <cell r="B112" t="str">
            <v>CIAC-OTHER TANGIBLE PLT WATER</v>
          </cell>
          <cell r="C112" t="str">
            <v>BS</v>
          </cell>
          <cell r="D112">
            <v>-4994188.88</v>
          </cell>
          <cell r="E112" t="b">
            <v>0</v>
          </cell>
        </row>
        <row r="113">
          <cell r="A113" t="str">
            <v>3435</v>
          </cell>
          <cell r="B113" t="str">
            <v>CIAC-WATER-TAP</v>
          </cell>
          <cell r="C113" t="str">
            <v>BS</v>
          </cell>
          <cell r="D113">
            <v>-1149303.08</v>
          </cell>
          <cell r="E113" t="b">
            <v>0</v>
          </cell>
        </row>
        <row r="114">
          <cell r="A114" t="str">
            <v>3450</v>
          </cell>
          <cell r="B114" t="str">
            <v>CIAC-WTR PLT MOD FEE</v>
          </cell>
          <cell r="C114" t="str">
            <v>BS</v>
          </cell>
          <cell r="D114">
            <v>-179355</v>
          </cell>
          <cell r="E114" t="b">
            <v>0</v>
          </cell>
        </row>
        <row r="115">
          <cell r="A115" t="str">
            <v>3455</v>
          </cell>
          <cell r="B115" t="str">
            <v>CIAC-WTR PLT MTR FEE</v>
          </cell>
          <cell r="C115" t="str">
            <v>BS</v>
          </cell>
          <cell r="D115">
            <v>-33025</v>
          </cell>
          <cell r="E115" t="b">
            <v>0</v>
          </cell>
        </row>
        <row r="116">
          <cell r="A116" t="str">
            <v>3520</v>
          </cell>
          <cell r="B116" t="str">
            <v>CIAC-STRUCT/IMPRV GEN PLT</v>
          </cell>
          <cell r="C116" t="str">
            <v>BS</v>
          </cell>
          <cell r="D116">
            <v>-6128482.1799999997</v>
          </cell>
          <cell r="E116" t="b">
            <v>0</v>
          </cell>
        </row>
        <row r="117">
          <cell r="A117" t="str">
            <v>3705</v>
          </cell>
          <cell r="B117" t="str">
            <v>CIAC-SEWER-TAP</v>
          </cell>
          <cell r="C117" t="str">
            <v>BS</v>
          </cell>
          <cell r="D117">
            <v>-1060950.04</v>
          </cell>
          <cell r="E117" t="b">
            <v>0</v>
          </cell>
        </row>
        <row r="118">
          <cell r="A118" t="str">
            <v>3720</v>
          </cell>
          <cell r="B118" t="str">
            <v>CIAC-SWR PLT MOD FEE</v>
          </cell>
          <cell r="C118" t="str">
            <v>BS</v>
          </cell>
          <cell r="D118">
            <v>-262275</v>
          </cell>
          <cell r="E118" t="b">
            <v>0</v>
          </cell>
        </row>
        <row r="119">
          <cell r="A119" t="str">
            <v>3800</v>
          </cell>
          <cell r="B119" t="str">
            <v>ACC AMORT ORGANIZATION</v>
          </cell>
          <cell r="C119" t="str">
            <v>BS</v>
          </cell>
          <cell r="D119">
            <v>-3789.7</v>
          </cell>
          <cell r="E119" t="b">
            <v>0</v>
          </cell>
        </row>
        <row r="120">
          <cell r="A120" t="str">
            <v>3975</v>
          </cell>
          <cell r="B120" t="str">
            <v>ACC AMORT OTHER TANG PLT WATER</v>
          </cell>
          <cell r="C120" t="str">
            <v>BS</v>
          </cell>
          <cell r="D120">
            <v>1110012.94</v>
          </cell>
          <cell r="E120" t="b">
            <v>0</v>
          </cell>
        </row>
        <row r="121">
          <cell r="A121" t="str">
            <v>3980</v>
          </cell>
          <cell r="B121" t="str">
            <v>ACC AMORT WATER-CIAC TAP</v>
          </cell>
          <cell r="C121" t="str">
            <v>BS</v>
          </cell>
          <cell r="D121">
            <v>34955.230000000003</v>
          </cell>
          <cell r="E121" t="b">
            <v>0</v>
          </cell>
        </row>
        <row r="122">
          <cell r="A122" t="str">
            <v>4000</v>
          </cell>
          <cell r="B122" t="str">
            <v>ACC AMORT WTR PLT MOD FEE-NC</v>
          </cell>
          <cell r="C122" t="str">
            <v>BS</v>
          </cell>
          <cell r="D122">
            <v>3094.26</v>
          </cell>
          <cell r="E122" t="b">
            <v>0</v>
          </cell>
        </row>
        <row r="123">
          <cell r="A123" t="str">
            <v>4005</v>
          </cell>
          <cell r="B123" t="str">
            <v>ACC AMORT WTR PLT MTR FEE-NC</v>
          </cell>
          <cell r="C123" t="str">
            <v>BS</v>
          </cell>
          <cell r="D123">
            <v>574.28</v>
          </cell>
          <cell r="E123" t="b">
            <v>0</v>
          </cell>
        </row>
        <row r="124">
          <cell r="A124" t="str">
            <v>4030</v>
          </cell>
          <cell r="B124" t="str">
            <v>ACC AMORT ORGANIZATION</v>
          </cell>
          <cell r="C124" t="str">
            <v>BS</v>
          </cell>
          <cell r="D124">
            <v>0</v>
          </cell>
          <cell r="E124" t="b">
            <v>0</v>
          </cell>
        </row>
        <row r="125">
          <cell r="A125" t="str">
            <v>4070</v>
          </cell>
          <cell r="B125" t="str">
            <v>ACC AMORTSTRUCT/IMPRV GEN PLT</v>
          </cell>
          <cell r="C125" t="str">
            <v>BS</v>
          </cell>
          <cell r="D125">
            <v>1522574.99</v>
          </cell>
          <cell r="E125" t="b">
            <v>0</v>
          </cell>
        </row>
        <row r="126">
          <cell r="A126" t="str">
            <v>4265</v>
          </cell>
          <cell r="B126" t="str">
            <v>ACC AMORT SEWER-TAP</v>
          </cell>
          <cell r="C126" t="str">
            <v>BS</v>
          </cell>
          <cell r="D126">
            <v>26182.34</v>
          </cell>
          <cell r="E126" t="b">
            <v>0</v>
          </cell>
        </row>
        <row r="127">
          <cell r="A127" t="str">
            <v>4280</v>
          </cell>
          <cell r="B127" t="str">
            <v>ACC AMORT SWR PLT MOD FEE-NC</v>
          </cell>
          <cell r="C127" t="str">
            <v>BS</v>
          </cell>
          <cell r="D127">
            <v>4561.0200000000004</v>
          </cell>
          <cell r="E127" t="b">
            <v>0</v>
          </cell>
        </row>
        <row r="128">
          <cell r="A128" t="str">
            <v>4369</v>
          </cell>
          <cell r="B128" t="str">
            <v>DEF FED TAX - CIAC PRE 1987</v>
          </cell>
          <cell r="C128" t="str">
            <v>BS</v>
          </cell>
          <cell r="D128">
            <v>75068</v>
          </cell>
          <cell r="E128" t="b">
            <v>0</v>
          </cell>
        </row>
        <row r="129">
          <cell r="A129" t="str">
            <v>4371</v>
          </cell>
          <cell r="B129" t="str">
            <v>DEF FED TAX - TAP FEE POST 2000</v>
          </cell>
          <cell r="C129" t="str">
            <v>BS</v>
          </cell>
          <cell r="D129">
            <v>694298</v>
          </cell>
          <cell r="E129" t="b">
            <v>0</v>
          </cell>
        </row>
        <row r="130">
          <cell r="A130" t="str">
            <v>4377</v>
          </cell>
          <cell r="B130" t="str">
            <v>DEF FED TAX - DEF MAINT</v>
          </cell>
          <cell r="C130" t="str">
            <v>BS</v>
          </cell>
          <cell r="D130">
            <v>-20325</v>
          </cell>
          <cell r="E130" t="b">
            <v>0</v>
          </cell>
        </row>
        <row r="131">
          <cell r="A131" t="str">
            <v>4383</v>
          </cell>
          <cell r="B131" t="str">
            <v>DEF FED TAX - ORGN EXP</v>
          </cell>
          <cell r="C131" t="str">
            <v>BS</v>
          </cell>
          <cell r="D131">
            <v>-75212</v>
          </cell>
          <cell r="E131" t="b">
            <v>0</v>
          </cell>
        </row>
        <row r="132">
          <cell r="A132" t="str">
            <v>4385</v>
          </cell>
          <cell r="B132" t="str">
            <v>DEF FED TAX - BAD DEBT</v>
          </cell>
          <cell r="C132" t="str">
            <v>BS</v>
          </cell>
          <cell r="D132">
            <v>48776</v>
          </cell>
          <cell r="E132" t="b">
            <v>0</v>
          </cell>
        </row>
        <row r="133">
          <cell r="A133" t="str">
            <v>4387</v>
          </cell>
          <cell r="B133" t="str">
            <v>DEF FED TAX - DEPRECIATION</v>
          </cell>
          <cell r="C133" t="str">
            <v>BS</v>
          </cell>
          <cell r="D133">
            <v>-1318655</v>
          </cell>
          <cell r="E133" t="b">
            <v>0</v>
          </cell>
        </row>
        <row r="134">
          <cell r="A134" t="str">
            <v>4419</v>
          </cell>
          <cell r="B134" t="str">
            <v>DEF ST TAX - CIAC PRE 1987</v>
          </cell>
          <cell r="C134" t="str">
            <v>BS</v>
          </cell>
          <cell r="D134">
            <v>18331</v>
          </cell>
          <cell r="E134" t="b">
            <v>0</v>
          </cell>
        </row>
        <row r="135">
          <cell r="A135" t="str">
            <v>4421</v>
          </cell>
          <cell r="B135" t="str">
            <v>DEF ST TAX - TAP FEE POST 2000</v>
          </cell>
          <cell r="C135" t="str">
            <v>BS</v>
          </cell>
          <cell r="D135">
            <v>153686</v>
          </cell>
          <cell r="E135" t="b">
            <v>0</v>
          </cell>
        </row>
        <row r="136">
          <cell r="A136" t="str">
            <v>4427</v>
          </cell>
          <cell r="B136" t="str">
            <v>DEF ST TAX - DEF MAINT</v>
          </cell>
          <cell r="C136" t="str">
            <v>BS</v>
          </cell>
          <cell r="D136">
            <v>-4431</v>
          </cell>
          <cell r="E136" t="b">
            <v>0</v>
          </cell>
        </row>
        <row r="137">
          <cell r="A137" t="str">
            <v>4433</v>
          </cell>
          <cell r="B137" t="str">
            <v>DEF ST TAX - ORGN EXP</v>
          </cell>
          <cell r="C137" t="str">
            <v>BS</v>
          </cell>
          <cell r="D137">
            <v>-488</v>
          </cell>
          <cell r="E137" t="b">
            <v>0</v>
          </cell>
        </row>
        <row r="138">
          <cell r="A138" t="str">
            <v>4435</v>
          </cell>
          <cell r="B138" t="str">
            <v>DEF ST TAX - BAD DEBT</v>
          </cell>
          <cell r="C138" t="str">
            <v>BS</v>
          </cell>
          <cell r="D138">
            <v>-191</v>
          </cell>
          <cell r="E138" t="b">
            <v>0</v>
          </cell>
        </row>
        <row r="139">
          <cell r="A139" t="str">
            <v>4437</v>
          </cell>
          <cell r="B139" t="str">
            <v>DEF ST TAX - DEPRECIATION</v>
          </cell>
          <cell r="C139" t="str">
            <v>BS</v>
          </cell>
          <cell r="D139">
            <v>-245103</v>
          </cell>
          <cell r="E139" t="b">
            <v>0</v>
          </cell>
        </row>
        <row r="140">
          <cell r="A140" t="str">
            <v>4515</v>
          </cell>
          <cell r="B140" t="str">
            <v>A/P TRADE</v>
          </cell>
          <cell r="C140" t="str">
            <v>BS</v>
          </cell>
          <cell r="D140">
            <v>-100763.32</v>
          </cell>
          <cell r="E140" t="b">
            <v>0</v>
          </cell>
        </row>
        <row r="141">
          <cell r="A141" t="str">
            <v>4525</v>
          </cell>
          <cell r="B141" t="str">
            <v>A/P TRADE - ACCRUAL</v>
          </cell>
          <cell r="C141" t="str">
            <v>BS</v>
          </cell>
          <cell r="D141">
            <v>-22838.400000000001</v>
          </cell>
          <cell r="E141" t="b">
            <v>0</v>
          </cell>
        </row>
        <row r="142">
          <cell r="A142" t="str">
            <v>4527</v>
          </cell>
          <cell r="B142" t="str">
            <v>A/P TRADE - RECD NOT VOUCHERED</v>
          </cell>
          <cell r="C142" t="str">
            <v>BS</v>
          </cell>
          <cell r="D142">
            <v>-84617.77</v>
          </cell>
          <cell r="E142" t="b">
            <v>0</v>
          </cell>
        </row>
        <row r="143">
          <cell r="A143" t="str">
            <v>4535</v>
          </cell>
          <cell r="B143" t="str">
            <v>A/P-ASSOC COMPANIES</v>
          </cell>
          <cell r="C143" t="str">
            <v>BS</v>
          </cell>
          <cell r="D143">
            <v>12229199.16</v>
          </cell>
          <cell r="E143" t="b">
            <v>0</v>
          </cell>
        </row>
        <row r="144">
          <cell r="A144" t="str">
            <v>4545</v>
          </cell>
          <cell r="B144" t="str">
            <v>A/P MISCELLANEOUS</v>
          </cell>
          <cell r="C144" t="str">
            <v>BS</v>
          </cell>
          <cell r="D144">
            <v>194180.94</v>
          </cell>
          <cell r="E144" t="b">
            <v>0</v>
          </cell>
        </row>
        <row r="145">
          <cell r="A145" t="str">
            <v>4565</v>
          </cell>
          <cell r="B145" t="str">
            <v>ADVANCES FROM UTILITIES INC</v>
          </cell>
          <cell r="C145" t="str">
            <v>BS</v>
          </cell>
          <cell r="D145">
            <v>-8918414.7899999991</v>
          </cell>
          <cell r="E145" t="b">
            <v>0</v>
          </cell>
        </row>
        <row r="146">
          <cell r="A146" t="str">
            <v>4595</v>
          </cell>
          <cell r="B146" t="str">
            <v>CUSTOMER DEPOSITS</v>
          </cell>
          <cell r="C146" t="str">
            <v>BS</v>
          </cell>
          <cell r="D146">
            <v>-91705</v>
          </cell>
          <cell r="E146" t="b">
            <v>0</v>
          </cell>
        </row>
        <row r="147">
          <cell r="A147" t="str">
            <v>4612</v>
          </cell>
          <cell r="B147" t="str">
            <v>ACCRUED TAXES GENERAL</v>
          </cell>
          <cell r="C147" t="str">
            <v>BS</v>
          </cell>
          <cell r="D147">
            <v>-4936.16</v>
          </cell>
          <cell r="E147" t="b">
            <v>0</v>
          </cell>
        </row>
        <row r="148">
          <cell r="A148" t="str">
            <v>4614</v>
          </cell>
          <cell r="B148" t="str">
            <v>ACCRUED GROSS RECEIPT TAX</v>
          </cell>
          <cell r="C148" t="str">
            <v>BS</v>
          </cell>
          <cell r="D148">
            <v>-34276</v>
          </cell>
          <cell r="E148" t="b">
            <v>0</v>
          </cell>
        </row>
        <row r="149">
          <cell r="A149" t="str">
            <v>4630</v>
          </cell>
          <cell r="B149" t="str">
            <v>ACCRUED PERS PROP &amp; ICT TAX</v>
          </cell>
          <cell r="C149" t="str">
            <v>BS</v>
          </cell>
          <cell r="D149">
            <v>-1800</v>
          </cell>
          <cell r="E149" t="b">
            <v>0</v>
          </cell>
        </row>
        <row r="150">
          <cell r="A150" t="str">
            <v>4634</v>
          </cell>
          <cell r="B150" t="str">
            <v>ACCRUED SALES TAX</v>
          </cell>
          <cell r="C150" t="str">
            <v>BS</v>
          </cell>
          <cell r="D150">
            <v>-64.099999999999994</v>
          </cell>
          <cell r="E150" t="b">
            <v>0</v>
          </cell>
        </row>
        <row r="151">
          <cell r="A151" t="str">
            <v>4661</v>
          </cell>
          <cell r="B151" t="str">
            <v>ACCRUED ST INCOME TAX</v>
          </cell>
          <cell r="C151" t="str">
            <v>BS</v>
          </cell>
          <cell r="D151">
            <v>74448</v>
          </cell>
          <cell r="E151" t="b">
            <v>0</v>
          </cell>
        </row>
        <row r="152">
          <cell r="A152" t="str">
            <v>4685</v>
          </cell>
          <cell r="B152" t="str">
            <v>ACCRUED CUST DEP INTEREST</v>
          </cell>
          <cell r="C152" t="str">
            <v>BS</v>
          </cell>
          <cell r="D152">
            <v>-19570.3</v>
          </cell>
          <cell r="E152" t="b">
            <v>0</v>
          </cell>
        </row>
        <row r="153">
          <cell r="A153" t="str">
            <v>4715</v>
          </cell>
          <cell r="B153" t="str">
            <v>DEFERRED REVENUE</v>
          </cell>
          <cell r="C153" t="str">
            <v>BS</v>
          </cell>
          <cell r="D153">
            <v>-55535</v>
          </cell>
          <cell r="E153" t="b">
            <v>0</v>
          </cell>
        </row>
        <row r="154">
          <cell r="A154" t="str">
            <v>4735</v>
          </cell>
          <cell r="B154" t="str">
            <v>PAYABLE TO DEVELOPER</v>
          </cell>
          <cell r="C154" t="str">
            <v>BS</v>
          </cell>
          <cell r="D154">
            <v>-96778.83</v>
          </cell>
          <cell r="E154" t="b">
            <v>0</v>
          </cell>
        </row>
        <row r="155">
          <cell r="A155" t="str">
            <v>4780</v>
          </cell>
          <cell r="B155" t="str">
            <v>PAID IN CAPITAL</v>
          </cell>
          <cell r="C155" t="str">
            <v>BS</v>
          </cell>
          <cell r="D155">
            <v>-2600000</v>
          </cell>
          <cell r="E155" t="b">
            <v>0</v>
          </cell>
        </row>
        <row r="156">
          <cell r="A156" t="str">
            <v>4785</v>
          </cell>
          <cell r="B156" t="str">
            <v>MISC PAID IN CAPITAL</v>
          </cell>
          <cell r="C156" t="str">
            <v>BS</v>
          </cell>
          <cell r="D156">
            <v>-2766343.12</v>
          </cell>
          <cell r="E156" t="b">
            <v>0</v>
          </cell>
        </row>
        <row r="157">
          <cell r="A157" t="str">
            <v>4998</v>
          </cell>
          <cell r="B157" t="str">
            <v>RETAINED EARN-PRIOR YEARS</v>
          </cell>
          <cell r="C157" t="str">
            <v>BS</v>
          </cell>
          <cell r="D157">
            <v>-4683394.33</v>
          </cell>
          <cell r="E157" t="b">
            <v>0</v>
          </cell>
        </row>
        <row r="158">
          <cell r="A158" t="str">
            <v>5025</v>
          </cell>
          <cell r="B158" t="str">
            <v>WATER REVENUE-RESIDENTIAL</v>
          </cell>
          <cell r="C158" t="str">
            <v>IS</v>
          </cell>
          <cell r="D158">
            <v>-1722662.95</v>
          </cell>
          <cell r="E158" t="b">
            <v>0</v>
          </cell>
        </row>
        <row r="159">
          <cell r="A159" t="str">
            <v>5030</v>
          </cell>
          <cell r="B159" t="str">
            <v>WATER REVENUE-ACCRUALS</v>
          </cell>
          <cell r="C159" t="str">
            <v>IS</v>
          </cell>
          <cell r="D159">
            <v>-1433</v>
          </cell>
          <cell r="E159" t="b">
            <v>0</v>
          </cell>
        </row>
        <row r="160">
          <cell r="A160" t="str">
            <v>5035</v>
          </cell>
          <cell r="B160" t="str">
            <v>WATER REVENUE-COMMERCIAL</v>
          </cell>
          <cell r="C160" t="str">
            <v>IS</v>
          </cell>
          <cell r="D160">
            <v>-141408.35999999999</v>
          </cell>
          <cell r="E160" t="b">
            <v>0</v>
          </cell>
        </row>
        <row r="161">
          <cell r="A161" t="str">
            <v>5100</v>
          </cell>
          <cell r="B161" t="str">
            <v>SEWER REVENUE-RESIDENTIAL</v>
          </cell>
          <cell r="C161" t="str">
            <v>IS</v>
          </cell>
          <cell r="D161">
            <v>-969752.58</v>
          </cell>
          <cell r="E161" t="b">
            <v>0</v>
          </cell>
        </row>
        <row r="162">
          <cell r="A162" t="str">
            <v>5105</v>
          </cell>
          <cell r="B162" t="str">
            <v>SEWER REVENUE-ACCRUALS</v>
          </cell>
          <cell r="C162" t="str">
            <v>IS</v>
          </cell>
          <cell r="D162">
            <v>5887</v>
          </cell>
          <cell r="E162" t="b">
            <v>0</v>
          </cell>
        </row>
        <row r="163">
          <cell r="A163" t="str">
            <v>5110</v>
          </cell>
          <cell r="B163" t="str">
            <v>SEWER REVENUE-COMMERCIAL</v>
          </cell>
          <cell r="C163" t="str">
            <v>IS</v>
          </cell>
          <cell r="D163">
            <v>-135811.04</v>
          </cell>
          <cell r="E163" t="b">
            <v>0</v>
          </cell>
        </row>
        <row r="164">
          <cell r="A164" t="str">
            <v>5265</v>
          </cell>
          <cell r="B164" t="str">
            <v>FORFEITED DISCOUNTS</v>
          </cell>
          <cell r="C164" t="str">
            <v>IS</v>
          </cell>
          <cell r="D164">
            <v>-11600.3</v>
          </cell>
          <cell r="E164" t="b">
            <v>0</v>
          </cell>
        </row>
        <row r="165">
          <cell r="A165" t="str">
            <v>5270</v>
          </cell>
          <cell r="B165" t="str">
            <v>MISC SERVICE REVENUE</v>
          </cell>
          <cell r="C165" t="str">
            <v>IS</v>
          </cell>
          <cell r="D165">
            <v>-51128.160000000003</v>
          </cell>
          <cell r="E165" t="b">
            <v>0</v>
          </cell>
        </row>
        <row r="166">
          <cell r="A166" t="str">
            <v>5455</v>
          </cell>
          <cell r="B166" t="str">
            <v>PURCHASED SEWER TREATMENT</v>
          </cell>
          <cell r="C166" t="str">
            <v>IS</v>
          </cell>
          <cell r="D166">
            <v>161100</v>
          </cell>
          <cell r="E166" t="b">
            <v>0</v>
          </cell>
        </row>
        <row r="167">
          <cell r="A167" t="str">
            <v>5460</v>
          </cell>
          <cell r="B167" t="str">
            <v>PURCHASED SEWER - BILLINGS</v>
          </cell>
          <cell r="C167" t="str">
            <v>IS</v>
          </cell>
          <cell r="D167">
            <v>-152144.29999999999</v>
          </cell>
          <cell r="E167" t="b">
            <v>0</v>
          </cell>
        </row>
        <row r="168">
          <cell r="A168" t="str">
            <v>5465</v>
          </cell>
          <cell r="B168" t="str">
            <v>ELEC PWR - WATER SYSTEM</v>
          </cell>
          <cell r="C168" t="str">
            <v>IS</v>
          </cell>
          <cell r="D168">
            <v>166203.19</v>
          </cell>
          <cell r="E168" t="b">
            <v>0</v>
          </cell>
        </row>
        <row r="169">
          <cell r="A169" t="str">
            <v>5470</v>
          </cell>
          <cell r="B169" t="str">
            <v>ELEC PWR - SWR SYSTEM</v>
          </cell>
          <cell r="C169" t="str">
            <v>IS</v>
          </cell>
          <cell r="D169">
            <v>151512.17000000001</v>
          </cell>
          <cell r="E169" t="b">
            <v>0</v>
          </cell>
        </row>
        <row r="170">
          <cell r="A170" t="str">
            <v>5480</v>
          </cell>
          <cell r="B170" t="str">
            <v>CHLORINE</v>
          </cell>
          <cell r="C170" t="str">
            <v>IS</v>
          </cell>
          <cell r="D170">
            <v>20993.919999999998</v>
          </cell>
          <cell r="E170" t="b">
            <v>0</v>
          </cell>
        </row>
        <row r="171">
          <cell r="A171" t="str">
            <v>5485</v>
          </cell>
          <cell r="B171" t="str">
            <v>ODOR CONTROL CHEMICALS</v>
          </cell>
          <cell r="C171" t="str">
            <v>IS</v>
          </cell>
          <cell r="D171">
            <v>1335.2</v>
          </cell>
          <cell r="E171" t="b">
            <v>0</v>
          </cell>
        </row>
        <row r="172">
          <cell r="A172" t="str">
            <v>5490</v>
          </cell>
          <cell r="B172" t="str">
            <v>OTHER TREATMENT CHEMICALS</v>
          </cell>
          <cell r="C172" t="str">
            <v>IS</v>
          </cell>
          <cell r="D172">
            <v>66984</v>
          </cell>
          <cell r="E172" t="b">
            <v>0</v>
          </cell>
        </row>
        <row r="173">
          <cell r="A173" t="str">
            <v>5495</v>
          </cell>
          <cell r="B173" t="str">
            <v>METER READING</v>
          </cell>
          <cell r="C173" t="str">
            <v>IS</v>
          </cell>
          <cell r="D173">
            <v>42094.78</v>
          </cell>
          <cell r="E173" t="b">
            <v>0</v>
          </cell>
        </row>
        <row r="174">
          <cell r="A174" t="str">
            <v>5505</v>
          </cell>
          <cell r="B174" t="str">
            <v>AGENCY EXPENSE</v>
          </cell>
          <cell r="C174" t="str">
            <v>IS</v>
          </cell>
          <cell r="D174">
            <v>797.96</v>
          </cell>
          <cell r="E174" t="b">
            <v>0</v>
          </cell>
        </row>
        <row r="175">
          <cell r="A175" t="str">
            <v>5510</v>
          </cell>
          <cell r="B175" t="str">
            <v>UNCOLLECTIBLE ACCOUNTS</v>
          </cell>
          <cell r="C175" t="str">
            <v>IS</v>
          </cell>
          <cell r="D175">
            <v>10423.36</v>
          </cell>
          <cell r="E175" t="b">
            <v>0</v>
          </cell>
        </row>
        <row r="176">
          <cell r="A176" t="str">
            <v>5525</v>
          </cell>
          <cell r="B176" t="str">
            <v>BILL STOCK</v>
          </cell>
          <cell r="C176" t="str">
            <v>IS</v>
          </cell>
          <cell r="D176">
            <v>2279</v>
          </cell>
          <cell r="E176" t="b">
            <v>0</v>
          </cell>
        </row>
        <row r="177">
          <cell r="A177" t="str">
            <v>5530</v>
          </cell>
          <cell r="B177" t="str">
            <v>BILLING COMPUTER SUPPLIES</v>
          </cell>
          <cell r="C177" t="str">
            <v>IS</v>
          </cell>
          <cell r="D177">
            <v>1178</v>
          </cell>
          <cell r="E177" t="b">
            <v>0</v>
          </cell>
        </row>
        <row r="178">
          <cell r="A178" t="str">
            <v>5535</v>
          </cell>
          <cell r="B178" t="str">
            <v>BILLING ENVELOPES</v>
          </cell>
          <cell r="C178" t="str">
            <v>IS</v>
          </cell>
          <cell r="D178">
            <v>5337</v>
          </cell>
          <cell r="E178" t="b">
            <v>0</v>
          </cell>
        </row>
        <row r="179">
          <cell r="A179" t="str">
            <v>5540</v>
          </cell>
          <cell r="B179" t="str">
            <v>BILLING POSTAGE</v>
          </cell>
          <cell r="C179" t="str">
            <v>IS</v>
          </cell>
          <cell r="D179">
            <v>39424</v>
          </cell>
          <cell r="E179" t="b">
            <v>0</v>
          </cell>
        </row>
        <row r="180">
          <cell r="A180" t="str">
            <v>5545</v>
          </cell>
          <cell r="B180" t="str">
            <v>CUSTOMER SERVICE PRINTING</v>
          </cell>
          <cell r="C180" t="str">
            <v>IS</v>
          </cell>
          <cell r="D180">
            <v>1169.1500000000001</v>
          </cell>
          <cell r="E180" t="b">
            <v>0</v>
          </cell>
        </row>
        <row r="181">
          <cell r="A181" t="str">
            <v>5625</v>
          </cell>
          <cell r="B181" t="str">
            <v>401K/ESOP CONTRIBUTIONS</v>
          </cell>
          <cell r="C181" t="str">
            <v>IS</v>
          </cell>
          <cell r="D181">
            <v>20172</v>
          </cell>
          <cell r="E181" t="b">
            <v>0</v>
          </cell>
        </row>
        <row r="182">
          <cell r="A182" t="str">
            <v>5630</v>
          </cell>
          <cell r="B182" t="str">
            <v>DENTAL PREMIUMS</v>
          </cell>
          <cell r="C182" t="str">
            <v>IS</v>
          </cell>
          <cell r="D182">
            <v>440</v>
          </cell>
          <cell r="E182" t="b">
            <v>0</v>
          </cell>
        </row>
        <row r="183">
          <cell r="A183" t="str">
            <v>5635</v>
          </cell>
          <cell r="B183" t="str">
            <v>DENTAL INS REIMBURSEMENTS</v>
          </cell>
          <cell r="C183" t="str">
            <v>IS</v>
          </cell>
          <cell r="D183">
            <v>2994</v>
          </cell>
          <cell r="E183" t="b">
            <v>0</v>
          </cell>
        </row>
        <row r="184">
          <cell r="A184" t="str">
            <v>5640</v>
          </cell>
          <cell r="B184" t="str">
            <v>EMP PENSIONS &amp; BENEFITS</v>
          </cell>
          <cell r="C184" t="str">
            <v>IS</v>
          </cell>
          <cell r="D184">
            <v>7</v>
          </cell>
          <cell r="E184" t="b">
            <v>0</v>
          </cell>
        </row>
        <row r="185">
          <cell r="A185" t="str">
            <v>5645</v>
          </cell>
          <cell r="B185" t="str">
            <v>EMPLOYEE INS DEDUCTIONS</v>
          </cell>
          <cell r="C185" t="str">
            <v>IS</v>
          </cell>
          <cell r="D185">
            <v>-10059</v>
          </cell>
          <cell r="E185" t="b">
            <v>0</v>
          </cell>
        </row>
        <row r="186">
          <cell r="A186" t="str">
            <v>5650</v>
          </cell>
          <cell r="B186" t="str">
            <v>HEALTH COSTS &amp; OTHER</v>
          </cell>
          <cell r="C186" t="str">
            <v>IS</v>
          </cell>
          <cell r="D186">
            <v>821</v>
          </cell>
          <cell r="E186" t="b">
            <v>0</v>
          </cell>
        </row>
        <row r="187">
          <cell r="A187" t="str">
            <v>5655</v>
          </cell>
          <cell r="B187" t="str">
            <v>HEALTH INS REIMBURSEMENTS</v>
          </cell>
          <cell r="C187" t="str">
            <v>IS</v>
          </cell>
          <cell r="D187">
            <v>97118</v>
          </cell>
          <cell r="E187" t="b">
            <v>0</v>
          </cell>
        </row>
        <row r="188">
          <cell r="A188" t="str">
            <v>5660</v>
          </cell>
          <cell r="B188" t="str">
            <v>OTHER EMP PENSION/BENEFITS</v>
          </cell>
          <cell r="C188" t="str">
            <v>IS</v>
          </cell>
          <cell r="D188">
            <v>10012.34</v>
          </cell>
          <cell r="E188" t="b">
            <v>0</v>
          </cell>
        </row>
        <row r="189">
          <cell r="A189" t="str">
            <v>5665</v>
          </cell>
          <cell r="B189" t="str">
            <v>PENSION CONTRIBUTIONS</v>
          </cell>
          <cell r="C189" t="str">
            <v>IS</v>
          </cell>
          <cell r="D189">
            <v>15207</v>
          </cell>
          <cell r="E189" t="b">
            <v>0</v>
          </cell>
        </row>
        <row r="190">
          <cell r="A190" t="str">
            <v>5670</v>
          </cell>
          <cell r="B190" t="str">
            <v>TERM LIFE INS</v>
          </cell>
          <cell r="C190" t="str">
            <v>IS</v>
          </cell>
          <cell r="D190">
            <v>1426</v>
          </cell>
          <cell r="E190" t="b">
            <v>0</v>
          </cell>
        </row>
        <row r="191">
          <cell r="A191" t="str">
            <v>5675</v>
          </cell>
          <cell r="B191" t="str">
            <v>TERM LIFE INS-OPT</v>
          </cell>
          <cell r="C191" t="str">
            <v>IS</v>
          </cell>
          <cell r="D191">
            <v>24</v>
          </cell>
          <cell r="E191" t="b">
            <v>0</v>
          </cell>
        </row>
        <row r="192">
          <cell r="A192" t="str">
            <v>5680</v>
          </cell>
          <cell r="B192" t="str">
            <v>DEPEND LIFE INS-OPT</v>
          </cell>
          <cell r="C192" t="str">
            <v>IS</v>
          </cell>
          <cell r="D192">
            <v>2</v>
          </cell>
          <cell r="E192" t="b">
            <v>0</v>
          </cell>
        </row>
        <row r="193">
          <cell r="A193" t="str">
            <v>5690</v>
          </cell>
          <cell r="B193" t="str">
            <v>TUITION</v>
          </cell>
          <cell r="C193" t="str">
            <v>IS</v>
          </cell>
          <cell r="D193">
            <v>564</v>
          </cell>
          <cell r="E193" t="b">
            <v>0</v>
          </cell>
        </row>
        <row r="194">
          <cell r="A194" t="str">
            <v>5715</v>
          </cell>
          <cell r="B194" t="str">
            <v>INSURANCE-OTHER</v>
          </cell>
          <cell r="C194" t="str">
            <v>IS</v>
          </cell>
          <cell r="D194">
            <v>36266</v>
          </cell>
          <cell r="E194" t="b">
            <v>0</v>
          </cell>
        </row>
        <row r="195">
          <cell r="A195" t="str">
            <v>5735</v>
          </cell>
          <cell r="B195" t="str">
            <v>COMPUTER MAINTENANCE</v>
          </cell>
          <cell r="C195" t="str">
            <v>IS</v>
          </cell>
          <cell r="D195">
            <v>38458</v>
          </cell>
          <cell r="E195" t="b">
            <v>0</v>
          </cell>
        </row>
        <row r="196">
          <cell r="A196" t="str">
            <v>5740</v>
          </cell>
          <cell r="B196" t="str">
            <v>COMPUTER SUPPLIES</v>
          </cell>
          <cell r="C196" t="str">
            <v>IS</v>
          </cell>
          <cell r="D196">
            <v>1709</v>
          </cell>
          <cell r="E196" t="b">
            <v>0</v>
          </cell>
        </row>
        <row r="197">
          <cell r="A197" t="str">
            <v>5745</v>
          </cell>
          <cell r="B197" t="str">
            <v>COMPUTER AMORT &amp; PROG COST</v>
          </cell>
          <cell r="C197" t="str">
            <v>IS</v>
          </cell>
          <cell r="D197">
            <v>5052</v>
          </cell>
          <cell r="E197" t="b">
            <v>0</v>
          </cell>
        </row>
        <row r="198">
          <cell r="A198" t="str">
            <v>5750</v>
          </cell>
          <cell r="B198" t="str">
            <v>INTERNET SUPPLIER</v>
          </cell>
          <cell r="C198" t="str">
            <v>IS</v>
          </cell>
          <cell r="D198">
            <v>2311</v>
          </cell>
          <cell r="E198" t="b">
            <v>0</v>
          </cell>
        </row>
        <row r="199">
          <cell r="A199" t="str">
            <v>5755</v>
          </cell>
          <cell r="B199" t="str">
            <v>MICROFILMING</v>
          </cell>
          <cell r="C199" t="str">
            <v>IS</v>
          </cell>
          <cell r="D199">
            <v>409</v>
          </cell>
          <cell r="E199" t="b">
            <v>0</v>
          </cell>
        </row>
        <row r="200">
          <cell r="A200" t="str">
            <v>5760</v>
          </cell>
          <cell r="B200" t="str">
            <v>WEBSITE DEVELOPMENT</v>
          </cell>
          <cell r="C200" t="str">
            <v>IS</v>
          </cell>
          <cell r="D200">
            <v>988</v>
          </cell>
          <cell r="E200" t="b">
            <v>0</v>
          </cell>
        </row>
        <row r="201">
          <cell r="A201" t="str">
            <v>5790</v>
          </cell>
          <cell r="B201" t="str">
            <v>BANK SERVICE CHARGE</v>
          </cell>
          <cell r="C201" t="str">
            <v>IS</v>
          </cell>
          <cell r="D201">
            <v>12495</v>
          </cell>
          <cell r="E201" t="b">
            <v>0</v>
          </cell>
        </row>
        <row r="202">
          <cell r="A202" t="str">
            <v>5800</v>
          </cell>
          <cell r="B202" t="str">
            <v>LETTER OF CREDIT FEE</v>
          </cell>
          <cell r="C202" t="str">
            <v>IS</v>
          </cell>
          <cell r="D202">
            <v>40105.33</v>
          </cell>
          <cell r="E202" t="b">
            <v>0</v>
          </cell>
        </row>
        <row r="203">
          <cell r="A203" t="str">
            <v>5810</v>
          </cell>
          <cell r="B203" t="str">
            <v>MEMBERSHIPS</v>
          </cell>
          <cell r="C203" t="str">
            <v>IS</v>
          </cell>
          <cell r="D203">
            <v>2421</v>
          </cell>
          <cell r="E203" t="b">
            <v>0</v>
          </cell>
        </row>
        <row r="204">
          <cell r="A204" t="str">
            <v>5820</v>
          </cell>
          <cell r="B204" t="str">
            <v>TRAINING EXPENSE</v>
          </cell>
          <cell r="C204" t="str">
            <v>IS</v>
          </cell>
          <cell r="D204">
            <v>6550.84</v>
          </cell>
          <cell r="E204" t="b">
            <v>0</v>
          </cell>
        </row>
        <row r="205">
          <cell r="A205" t="str">
            <v>5825</v>
          </cell>
          <cell r="B205" t="str">
            <v>OTHER MISC EXPENSE</v>
          </cell>
          <cell r="C205" t="str">
            <v>IS</v>
          </cell>
          <cell r="D205">
            <v>7774.72</v>
          </cell>
          <cell r="E205" t="b">
            <v>0</v>
          </cell>
        </row>
        <row r="206">
          <cell r="A206" t="str">
            <v>5855</v>
          </cell>
          <cell r="B206" t="str">
            <v>ANSWERING SERVICE</v>
          </cell>
          <cell r="C206" t="str">
            <v>IS</v>
          </cell>
          <cell r="D206">
            <v>3809</v>
          </cell>
          <cell r="E206" t="b">
            <v>0</v>
          </cell>
        </row>
        <row r="207">
          <cell r="A207" t="str">
            <v>5860</v>
          </cell>
          <cell r="B207" t="str">
            <v>CLEANING SUPPLIES</v>
          </cell>
          <cell r="C207" t="str">
            <v>IS</v>
          </cell>
          <cell r="D207">
            <v>276.19</v>
          </cell>
          <cell r="E207" t="b">
            <v>0</v>
          </cell>
        </row>
        <row r="208">
          <cell r="A208" t="str">
            <v>5865</v>
          </cell>
          <cell r="B208" t="str">
            <v>COPY MACHINE</v>
          </cell>
          <cell r="C208" t="str">
            <v>IS</v>
          </cell>
          <cell r="D208">
            <v>3465</v>
          </cell>
          <cell r="E208" t="b">
            <v>0</v>
          </cell>
        </row>
        <row r="209">
          <cell r="A209" t="str">
            <v>5880</v>
          </cell>
          <cell r="B209" t="str">
            <v>OFFICE SUPPLY STORES</v>
          </cell>
          <cell r="C209" t="str">
            <v>IS</v>
          </cell>
          <cell r="D209">
            <v>3869</v>
          </cell>
          <cell r="E209" t="b">
            <v>0</v>
          </cell>
        </row>
        <row r="210">
          <cell r="A210" t="str">
            <v>5885</v>
          </cell>
          <cell r="B210" t="str">
            <v>PRINTING/BLUEPRINTS</v>
          </cell>
          <cell r="C210" t="str">
            <v>IS</v>
          </cell>
          <cell r="D210">
            <v>1729.01</v>
          </cell>
          <cell r="E210" t="b">
            <v>0</v>
          </cell>
        </row>
        <row r="211">
          <cell r="A211" t="str">
            <v>5890</v>
          </cell>
          <cell r="B211" t="str">
            <v>PUBL SUBSCRIPTIONS/TAPES</v>
          </cell>
          <cell r="C211" t="str">
            <v>IS</v>
          </cell>
          <cell r="D211">
            <v>1291.44</v>
          </cell>
          <cell r="E211" t="b">
            <v>0</v>
          </cell>
        </row>
        <row r="212">
          <cell r="A212" t="str">
            <v>5895</v>
          </cell>
          <cell r="B212" t="str">
            <v>SHIPPING CHARGES</v>
          </cell>
          <cell r="C212" t="str">
            <v>IS</v>
          </cell>
          <cell r="D212">
            <v>7466.77</v>
          </cell>
          <cell r="E212" t="b">
            <v>0</v>
          </cell>
        </row>
        <row r="213">
          <cell r="A213" t="str">
            <v>5900</v>
          </cell>
          <cell r="B213" t="str">
            <v>OTHER OFFICE EXPENSES</v>
          </cell>
          <cell r="C213" t="str">
            <v>IS</v>
          </cell>
          <cell r="D213">
            <v>25701.32</v>
          </cell>
          <cell r="E213" t="b">
            <v>0</v>
          </cell>
        </row>
        <row r="214">
          <cell r="A214" t="str">
            <v>5930</v>
          </cell>
          <cell r="B214" t="str">
            <v>OFFICE ELECTRIC</v>
          </cell>
          <cell r="C214" t="str">
            <v>IS</v>
          </cell>
          <cell r="D214">
            <v>3532.48</v>
          </cell>
          <cell r="E214" t="b">
            <v>0</v>
          </cell>
        </row>
        <row r="215">
          <cell r="A215" t="str">
            <v>5935</v>
          </cell>
          <cell r="B215" t="str">
            <v>OFFICE GAS</v>
          </cell>
          <cell r="C215" t="str">
            <v>IS</v>
          </cell>
          <cell r="D215">
            <v>1070.56</v>
          </cell>
          <cell r="E215" t="b">
            <v>0</v>
          </cell>
        </row>
        <row r="216">
          <cell r="A216" t="str">
            <v>5940</v>
          </cell>
          <cell r="B216" t="str">
            <v>OFFICE WATER</v>
          </cell>
          <cell r="C216" t="str">
            <v>IS</v>
          </cell>
          <cell r="D216">
            <v>120</v>
          </cell>
          <cell r="E216" t="b">
            <v>0</v>
          </cell>
        </row>
        <row r="217">
          <cell r="A217" t="str">
            <v>5945</v>
          </cell>
          <cell r="B217" t="str">
            <v>OFFICE TELECOM</v>
          </cell>
          <cell r="C217" t="str">
            <v>IS</v>
          </cell>
          <cell r="D217">
            <v>52337.29</v>
          </cell>
          <cell r="E217" t="b">
            <v>0</v>
          </cell>
        </row>
        <row r="218">
          <cell r="A218" t="str">
            <v>5950</v>
          </cell>
          <cell r="B218" t="str">
            <v>OFFICE GARBAGE REMOVAL</v>
          </cell>
          <cell r="C218" t="str">
            <v>IS</v>
          </cell>
          <cell r="D218">
            <v>5453.61</v>
          </cell>
          <cell r="E218" t="b">
            <v>0</v>
          </cell>
        </row>
        <row r="219">
          <cell r="A219" t="str">
            <v>5955</v>
          </cell>
          <cell r="B219" t="str">
            <v>OFFICE LANDSCAPE / MOW / PLOW</v>
          </cell>
          <cell r="C219" t="str">
            <v>IS</v>
          </cell>
          <cell r="D219">
            <v>39959</v>
          </cell>
          <cell r="E219" t="b">
            <v>0</v>
          </cell>
        </row>
        <row r="220">
          <cell r="A220" t="str">
            <v>5960</v>
          </cell>
          <cell r="B220" t="str">
            <v>OFFICE ALARM SYS PHONE EXP</v>
          </cell>
          <cell r="C220" t="str">
            <v>IS</v>
          </cell>
          <cell r="D220">
            <v>5646.87</v>
          </cell>
          <cell r="E220" t="b">
            <v>0</v>
          </cell>
        </row>
        <row r="221">
          <cell r="A221" t="str">
            <v>5965</v>
          </cell>
          <cell r="B221" t="str">
            <v>OFFICE MAINTENANCE</v>
          </cell>
          <cell r="C221" t="str">
            <v>IS</v>
          </cell>
          <cell r="D221">
            <v>3670</v>
          </cell>
          <cell r="E221" t="b">
            <v>0</v>
          </cell>
        </row>
        <row r="222">
          <cell r="A222" t="str">
            <v>5970</v>
          </cell>
          <cell r="B222" t="str">
            <v>OFFICE CLEANING SERVICE</v>
          </cell>
          <cell r="C222" t="str">
            <v>IS</v>
          </cell>
          <cell r="D222">
            <v>2902</v>
          </cell>
          <cell r="E222" t="b">
            <v>0</v>
          </cell>
        </row>
        <row r="223">
          <cell r="A223" t="str">
            <v>5975</v>
          </cell>
          <cell r="B223" t="str">
            <v>OFFICE MACHINE/HEAT&amp;COOL</v>
          </cell>
          <cell r="C223" t="str">
            <v>IS</v>
          </cell>
          <cell r="D223">
            <v>245</v>
          </cell>
          <cell r="E223" t="b">
            <v>0</v>
          </cell>
        </row>
        <row r="224">
          <cell r="A224" t="str">
            <v>5985</v>
          </cell>
          <cell r="B224" t="str">
            <v>TELEMETERING PHONE EXPENSE</v>
          </cell>
          <cell r="C224" t="str">
            <v>IS</v>
          </cell>
          <cell r="D224">
            <v>2222</v>
          </cell>
          <cell r="E224" t="b">
            <v>0</v>
          </cell>
        </row>
        <row r="225">
          <cell r="A225" t="str">
            <v>6005</v>
          </cell>
          <cell r="B225" t="str">
            <v>ACCOUNTING STUDIES</v>
          </cell>
          <cell r="C225" t="str">
            <v>IS</v>
          </cell>
          <cell r="D225">
            <v>6826</v>
          </cell>
          <cell r="E225" t="b">
            <v>0</v>
          </cell>
        </row>
        <row r="226">
          <cell r="A226" t="str">
            <v>6010</v>
          </cell>
          <cell r="B226" t="str">
            <v>AUDIT FEES</v>
          </cell>
          <cell r="C226" t="str">
            <v>IS</v>
          </cell>
          <cell r="D226">
            <v>7890</v>
          </cell>
          <cell r="E226" t="b">
            <v>0</v>
          </cell>
        </row>
        <row r="227">
          <cell r="A227" t="str">
            <v>6015</v>
          </cell>
          <cell r="B227" t="str">
            <v>EMPLOY FINDER FEES</v>
          </cell>
          <cell r="C227" t="str">
            <v>IS</v>
          </cell>
          <cell r="D227">
            <v>14522</v>
          </cell>
          <cell r="E227" t="b">
            <v>0</v>
          </cell>
        </row>
        <row r="228">
          <cell r="A228" t="str">
            <v>6020</v>
          </cell>
          <cell r="B228" t="str">
            <v>ENGINEERING FEES</v>
          </cell>
          <cell r="C228" t="str">
            <v>IS</v>
          </cell>
          <cell r="D228">
            <v>138.75</v>
          </cell>
          <cell r="E228" t="b">
            <v>0</v>
          </cell>
        </row>
        <row r="229">
          <cell r="A229" t="str">
            <v>6025</v>
          </cell>
          <cell r="B229" t="str">
            <v>LEGAL FEES</v>
          </cell>
          <cell r="C229" t="str">
            <v>IS</v>
          </cell>
          <cell r="D229">
            <v>5044.5</v>
          </cell>
          <cell r="E229" t="b">
            <v>0</v>
          </cell>
        </row>
        <row r="230">
          <cell r="A230" t="str">
            <v>6035</v>
          </cell>
          <cell r="B230" t="str">
            <v>PAYROLL SERVICES</v>
          </cell>
          <cell r="C230" t="str">
            <v>IS</v>
          </cell>
          <cell r="D230">
            <v>2665</v>
          </cell>
          <cell r="E230" t="b">
            <v>0</v>
          </cell>
        </row>
        <row r="231">
          <cell r="A231" t="str">
            <v>6040</v>
          </cell>
          <cell r="B231" t="str">
            <v>TAX RETURN REVIEW</v>
          </cell>
          <cell r="C231" t="str">
            <v>IS</v>
          </cell>
          <cell r="D231">
            <v>2035</v>
          </cell>
          <cell r="E231" t="b">
            <v>0</v>
          </cell>
        </row>
        <row r="232">
          <cell r="A232" t="str">
            <v>6045</v>
          </cell>
          <cell r="B232" t="str">
            <v>TEMP EMPLOY - CLERICAL</v>
          </cell>
          <cell r="C232" t="str">
            <v>IS</v>
          </cell>
          <cell r="D232">
            <v>16490</v>
          </cell>
          <cell r="E232" t="b">
            <v>0</v>
          </cell>
        </row>
        <row r="233">
          <cell r="A233" t="str">
            <v>6050</v>
          </cell>
          <cell r="B233" t="str">
            <v>OTHER OUTSIDE SERVICES</v>
          </cell>
          <cell r="C233" t="str">
            <v>IS</v>
          </cell>
          <cell r="D233">
            <v>2846</v>
          </cell>
          <cell r="E233" t="b">
            <v>0</v>
          </cell>
        </row>
        <row r="234">
          <cell r="A234" t="str">
            <v>6065</v>
          </cell>
          <cell r="B234" t="str">
            <v>RATE CASE AMORT EXPENSE</v>
          </cell>
          <cell r="C234" t="str">
            <v>IS</v>
          </cell>
          <cell r="D234">
            <v>280.22000000000003</v>
          </cell>
          <cell r="E234" t="b">
            <v>0</v>
          </cell>
        </row>
        <row r="235">
          <cell r="A235" t="str">
            <v>6090</v>
          </cell>
          <cell r="B235" t="str">
            <v>RENT</v>
          </cell>
          <cell r="C235" t="str">
            <v>IS</v>
          </cell>
          <cell r="D235">
            <v>34077.879999999997</v>
          </cell>
          <cell r="E235" t="b">
            <v>0</v>
          </cell>
        </row>
        <row r="236">
          <cell r="A236" t="str">
            <v>6105</v>
          </cell>
          <cell r="B236" t="str">
            <v>SALARIES-SYSTEM PROJECT</v>
          </cell>
          <cell r="C236" t="str">
            <v>IS</v>
          </cell>
          <cell r="D236">
            <v>16150</v>
          </cell>
          <cell r="E236" t="b">
            <v>0</v>
          </cell>
        </row>
        <row r="237">
          <cell r="A237" t="str">
            <v>6110</v>
          </cell>
          <cell r="B237" t="str">
            <v>SALARIES-ACCTG/FINANCE</v>
          </cell>
          <cell r="C237" t="str">
            <v>IS</v>
          </cell>
          <cell r="D237">
            <v>39554</v>
          </cell>
          <cell r="E237" t="b">
            <v>0</v>
          </cell>
        </row>
        <row r="238">
          <cell r="A238" t="str">
            <v>6115</v>
          </cell>
          <cell r="B238" t="str">
            <v>SALARIES-ADMIN</v>
          </cell>
          <cell r="C238" t="str">
            <v>IS</v>
          </cell>
          <cell r="D238">
            <v>9578</v>
          </cell>
          <cell r="E238" t="b">
            <v>0</v>
          </cell>
        </row>
        <row r="239">
          <cell r="A239" t="str">
            <v>6120</v>
          </cell>
          <cell r="B239" t="str">
            <v>SALARIES-OFFICERS/STKHLDR</v>
          </cell>
          <cell r="C239" t="str">
            <v>IS</v>
          </cell>
          <cell r="D239">
            <v>40809</v>
          </cell>
          <cell r="E239" t="b">
            <v>0</v>
          </cell>
        </row>
        <row r="240">
          <cell r="A240" t="str">
            <v>6125</v>
          </cell>
          <cell r="B240" t="str">
            <v>SALARIES-HR</v>
          </cell>
          <cell r="C240" t="str">
            <v>IS</v>
          </cell>
          <cell r="D240">
            <v>15655</v>
          </cell>
          <cell r="E240" t="b">
            <v>0</v>
          </cell>
        </row>
        <row r="241">
          <cell r="A241" t="str">
            <v>6130</v>
          </cell>
          <cell r="B241" t="str">
            <v>SALARIES-MIS</v>
          </cell>
          <cell r="C241" t="str">
            <v>IS</v>
          </cell>
          <cell r="D241">
            <v>13147</v>
          </cell>
          <cell r="E241" t="b">
            <v>0</v>
          </cell>
        </row>
        <row r="242">
          <cell r="A242" t="str">
            <v>6135</v>
          </cell>
          <cell r="B242" t="str">
            <v>SALARIES-LEADERSHIP OPS</v>
          </cell>
          <cell r="C242" t="str">
            <v>IS</v>
          </cell>
          <cell r="D242">
            <v>12732</v>
          </cell>
          <cell r="E242" t="b">
            <v>0</v>
          </cell>
        </row>
        <row r="243">
          <cell r="A243" t="str">
            <v>6140</v>
          </cell>
          <cell r="B243" t="str">
            <v>SALARIES-REGULATORY</v>
          </cell>
          <cell r="C243" t="str">
            <v>IS</v>
          </cell>
          <cell r="D243">
            <v>31715</v>
          </cell>
          <cell r="E243" t="b">
            <v>0</v>
          </cell>
        </row>
        <row r="244">
          <cell r="A244" t="str">
            <v>6145</v>
          </cell>
          <cell r="B244" t="str">
            <v>SALARIES-CUSTOMER SERVICE</v>
          </cell>
          <cell r="C244" t="str">
            <v>IS</v>
          </cell>
          <cell r="D244">
            <v>245</v>
          </cell>
          <cell r="E244" t="b">
            <v>0</v>
          </cell>
        </row>
        <row r="245">
          <cell r="A245" t="str">
            <v>6150</v>
          </cell>
          <cell r="B245" t="str">
            <v>SALARIES-OPERATIONS FIELD</v>
          </cell>
          <cell r="C245" t="str">
            <v>IS</v>
          </cell>
          <cell r="D245">
            <v>451427</v>
          </cell>
          <cell r="E245" t="b">
            <v>0</v>
          </cell>
        </row>
        <row r="246">
          <cell r="A246" t="str">
            <v>6155</v>
          </cell>
          <cell r="B246" t="str">
            <v>SALARIES-OPERATIONS OFFICE</v>
          </cell>
          <cell r="C246" t="str">
            <v>IS</v>
          </cell>
          <cell r="D246">
            <v>93948</v>
          </cell>
          <cell r="E246" t="b">
            <v>0</v>
          </cell>
        </row>
        <row r="247">
          <cell r="A247" t="str">
            <v>6160</v>
          </cell>
          <cell r="B247" t="str">
            <v>SALARIES-CHGD TO PLT-WSC</v>
          </cell>
          <cell r="C247" t="str">
            <v>IS</v>
          </cell>
          <cell r="D247">
            <v>-110584.68</v>
          </cell>
          <cell r="E247" t="b">
            <v>0</v>
          </cell>
        </row>
        <row r="248">
          <cell r="A248" t="str">
            <v>6165</v>
          </cell>
          <cell r="B248" t="str">
            <v>CAPITALIZED TIME ADJUSTMENT</v>
          </cell>
          <cell r="C248" t="str">
            <v>IS</v>
          </cell>
          <cell r="D248">
            <v>-2222.35</v>
          </cell>
          <cell r="E248" t="b">
            <v>0</v>
          </cell>
        </row>
        <row r="249">
          <cell r="A249" t="str">
            <v>6185</v>
          </cell>
          <cell r="B249" t="str">
            <v>MARKETING: TRAVELS/LODGING</v>
          </cell>
          <cell r="C249" t="str">
            <v>IS</v>
          </cell>
          <cell r="D249">
            <v>10112.68</v>
          </cell>
          <cell r="E249" t="b">
            <v>0</v>
          </cell>
        </row>
        <row r="250">
          <cell r="A250" t="str">
            <v>6200</v>
          </cell>
          <cell r="B250" t="str">
            <v>MARKETING: MEALS &amp; RELATED EXP</v>
          </cell>
          <cell r="C250" t="str">
            <v>IS</v>
          </cell>
          <cell r="D250">
            <v>2277.9</v>
          </cell>
          <cell r="E250" t="b">
            <v>0</v>
          </cell>
        </row>
        <row r="251">
          <cell r="A251" t="str">
            <v>6215</v>
          </cell>
          <cell r="B251" t="str">
            <v>FUEL</v>
          </cell>
          <cell r="C251" t="str">
            <v>IS</v>
          </cell>
          <cell r="D251">
            <v>30973.66</v>
          </cell>
          <cell r="E251" t="b">
            <v>0</v>
          </cell>
        </row>
        <row r="252">
          <cell r="A252" t="str">
            <v>6220</v>
          </cell>
          <cell r="B252" t="str">
            <v>AUTO REPAIR/TIRES</v>
          </cell>
          <cell r="C252" t="str">
            <v>IS</v>
          </cell>
          <cell r="D252">
            <v>12446.35</v>
          </cell>
          <cell r="E252" t="b">
            <v>0</v>
          </cell>
        </row>
        <row r="253">
          <cell r="A253" t="str">
            <v>6225</v>
          </cell>
          <cell r="B253" t="str">
            <v>AUTO LICENSES</v>
          </cell>
          <cell r="C253" t="str">
            <v>IS</v>
          </cell>
          <cell r="D253">
            <v>2560.3000000000002</v>
          </cell>
          <cell r="E253" t="b">
            <v>0</v>
          </cell>
        </row>
        <row r="254">
          <cell r="A254" t="str">
            <v>6230</v>
          </cell>
          <cell r="B254" t="str">
            <v>OTHER TRANS EXPENSES</v>
          </cell>
          <cell r="C254" t="str">
            <v>IS</v>
          </cell>
          <cell r="D254">
            <v>917</v>
          </cell>
          <cell r="E254" t="b">
            <v>0</v>
          </cell>
        </row>
        <row r="255">
          <cell r="A255" t="str">
            <v>6255</v>
          </cell>
          <cell r="B255" t="str">
            <v>TEST-WATER</v>
          </cell>
          <cell r="C255" t="str">
            <v>IS</v>
          </cell>
          <cell r="D255">
            <v>32727.37</v>
          </cell>
          <cell r="E255" t="b">
            <v>0</v>
          </cell>
        </row>
        <row r="256">
          <cell r="A256" t="str">
            <v>6260</v>
          </cell>
          <cell r="B256" t="str">
            <v>TEST-EQUIP/CHEMICAL</v>
          </cell>
          <cell r="C256" t="str">
            <v>IS</v>
          </cell>
          <cell r="D256">
            <v>9462.18</v>
          </cell>
          <cell r="E256" t="b">
            <v>0</v>
          </cell>
        </row>
        <row r="257">
          <cell r="A257" t="str">
            <v>6270</v>
          </cell>
          <cell r="B257" t="str">
            <v>TEST-SEWER</v>
          </cell>
          <cell r="C257" t="str">
            <v>IS</v>
          </cell>
          <cell r="D257">
            <v>13522</v>
          </cell>
          <cell r="E257" t="b">
            <v>0</v>
          </cell>
        </row>
        <row r="258">
          <cell r="A258" t="str">
            <v>6285</v>
          </cell>
          <cell r="B258" t="str">
            <v>WATER-MAINT SUPPLIES</v>
          </cell>
          <cell r="C258" t="str">
            <v>IS</v>
          </cell>
          <cell r="D258">
            <v>7256.43</v>
          </cell>
          <cell r="E258" t="b">
            <v>0</v>
          </cell>
        </row>
        <row r="259">
          <cell r="A259" t="str">
            <v>6290</v>
          </cell>
          <cell r="B259" t="str">
            <v>WATER-MAINT REPAIRS</v>
          </cell>
          <cell r="C259" t="str">
            <v>IS</v>
          </cell>
          <cell r="D259">
            <v>32511.13</v>
          </cell>
          <cell r="E259" t="b">
            <v>0</v>
          </cell>
        </row>
        <row r="260">
          <cell r="A260" t="str">
            <v>6295</v>
          </cell>
          <cell r="B260" t="str">
            <v>WATER-MAIN BREAKS</v>
          </cell>
          <cell r="C260" t="str">
            <v>IS</v>
          </cell>
          <cell r="D260">
            <v>9266.1</v>
          </cell>
          <cell r="E260" t="b">
            <v>0</v>
          </cell>
        </row>
        <row r="261">
          <cell r="A261" t="str">
            <v>6300</v>
          </cell>
          <cell r="B261" t="str">
            <v>WATER-ELEC EQUIPT REPAIR</v>
          </cell>
          <cell r="C261" t="str">
            <v>IS</v>
          </cell>
          <cell r="D261">
            <v>6185.92</v>
          </cell>
          <cell r="E261" t="b">
            <v>0</v>
          </cell>
        </row>
        <row r="262">
          <cell r="A262" t="str">
            <v>6305</v>
          </cell>
          <cell r="B262" t="str">
            <v>WATER-PERMITS</v>
          </cell>
          <cell r="C262" t="str">
            <v>IS</v>
          </cell>
          <cell r="D262">
            <v>17421</v>
          </cell>
          <cell r="E262" t="b">
            <v>0</v>
          </cell>
        </row>
        <row r="263">
          <cell r="A263" t="str">
            <v>6310</v>
          </cell>
          <cell r="B263" t="str">
            <v>WATER-OTHER MAINT EXP</v>
          </cell>
          <cell r="C263" t="str">
            <v>IS</v>
          </cell>
          <cell r="D263">
            <v>19800.23</v>
          </cell>
          <cell r="E263" t="b">
            <v>0</v>
          </cell>
        </row>
        <row r="264">
          <cell r="A264" t="str">
            <v>6320</v>
          </cell>
          <cell r="B264" t="str">
            <v>SEWER-MAINT SUPPLIES</v>
          </cell>
          <cell r="C264" t="str">
            <v>IS</v>
          </cell>
          <cell r="D264">
            <v>1269.28</v>
          </cell>
          <cell r="E264" t="b">
            <v>0</v>
          </cell>
        </row>
        <row r="265">
          <cell r="A265" t="str">
            <v>6325</v>
          </cell>
          <cell r="B265" t="str">
            <v>SEWER-MAINT REPAIRS</v>
          </cell>
          <cell r="C265" t="str">
            <v>IS</v>
          </cell>
          <cell r="D265">
            <v>2810.49</v>
          </cell>
          <cell r="E265" t="b">
            <v>0</v>
          </cell>
        </row>
        <row r="266">
          <cell r="A266" t="str">
            <v>6330</v>
          </cell>
          <cell r="B266" t="str">
            <v>SEWER-MAIN BREAKS</v>
          </cell>
          <cell r="C266" t="str">
            <v>IS</v>
          </cell>
          <cell r="D266">
            <v>3277.64</v>
          </cell>
          <cell r="E266" t="b">
            <v>0</v>
          </cell>
        </row>
        <row r="267">
          <cell r="A267" t="str">
            <v>6335</v>
          </cell>
          <cell r="B267" t="str">
            <v>SEWER-ELEC EQUIPT REPAIR</v>
          </cell>
          <cell r="C267" t="str">
            <v>IS</v>
          </cell>
          <cell r="D267">
            <v>7034.48</v>
          </cell>
          <cell r="E267" t="b">
            <v>0</v>
          </cell>
        </row>
        <row r="268">
          <cell r="A268" t="str">
            <v>6340</v>
          </cell>
          <cell r="B268" t="str">
            <v>SEWER-PERMITS</v>
          </cell>
          <cell r="C268" t="str">
            <v>IS</v>
          </cell>
          <cell r="D268">
            <v>3070</v>
          </cell>
          <cell r="E268" t="b">
            <v>0</v>
          </cell>
        </row>
        <row r="269">
          <cell r="A269" t="str">
            <v>6345</v>
          </cell>
          <cell r="B269" t="str">
            <v>SEWER-OTHER MAINT EXP</v>
          </cell>
          <cell r="C269" t="str">
            <v>IS</v>
          </cell>
          <cell r="D269">
            <v>12004.53</v>
          </cell>
          <cell r="E269" t="b">
            <v>0</v>
          </cell>
        </row>
        <row r="270">
          <cell r="A270" t="str">
            <v>6355</v>
          </cell>
          <cell r="B270" t="str">
            <v>DEFERRED MAINT EXPENSE</v>
          </cell>
          <cell r="C270" t="str">
            <v>IS</v>
          </cell>
          <cell r="D270">
            <v>35318.660000000003</v>
          </cell>
          <cell r="E270" t="b">
            <v>0</v>
          </cell>
        </row>
        <row r="271">
          <cell r="A271" t="str">
            <v>6360</v>
          </cell>
          <cell r="B271" t="str">
            <v>COMMUNICATION EXPENSE</v>
          </cell>
          <cell r="C271" t="str">
            <v>IS</v>
          </cell>
          <cell r="D271">
            <v>21088.61</v>
          </cell>
          <cell r="E271" t="b">
            <v>0</v>
          </cell>
        </row>
        <row r="272">
          <cell r="A272" t="str">
            <v>6370</v>
          </cell>
          <cell r="B272" t="str">
            <v>OPER CONTRACTED WORKERS</v>
          </cell>
          <cell r="C272" t="str">
            <v>IS</v>
          </cell>
          <cell r="D272">
            <v>4275</v>
          </cell>
          <cell r="E272" t="b">
            <v>0</v>
          </cell>
        </row>
        <row r="273">
          <cell r="A273" t="str">
            <v>6385</v>
          </cell>
          <cell r="B273" t="str">
            <v>UNIFORMS</v>
          </cell>
          <cell r="C273" t="str">
            <v>IS</v>
          </cell>
          <cell r="D273">
            <v>1756.13</v>
          </cell>
          <cell r="E273" t="b">
            <v>0</v>
          </cell>
        </row>
        <row r="274">
          <cell r="A274" t="str">
            <v>6390</v>
          </cell>
          <cell r="B274" t="str">
            <v>WEATHER/HURRICANE COSTS</v>
          </cell>
          <cell r="C274" t="str">
            <v>IS</v>
          </cell>
          <cell r="D274">
            <v>125.98</v>
          </cell>
          <cell r="E274" t="b">
            <v>0</v>
          </cell>
        </row>
        <row r="275">
          <cell r="A275" t="str">
            <v>6400</v>
          </cell>
          <cell r="B275" t="str">
            <v>SEWER RODDING</v>
          </cell>
          <cell r="C275" t="str">
            <v>IS</v>
          </cell>
          <cell r="D275">
            <v>9235</v>
          </cell>
          <cell r="E275" t="b">
            <v>0</v>
          </cell>
        </row>
        <row r="276">
          <cell r="A276" t="str">
            <v>6410</v>
          </cell>
          <cell r="B276" t="str">
            <v>SLUDGE HAULING</v>
          </cell>
          <cell r="C276" t="str">
            <v>IS</v>
          </cell>
          <cell r="D276">
            <v>44332</v>
          </cell>
          <cell r="E276" t="b">
            <v>0</v>
          </cell>
        </row>
        <row r="277">
          <cell r="A277" t="str">
            <v>6445</v>
          </cell>
          <cell r="B277" t="str">
            <v>DEPREC-WATER PLANT</v>
          </cell>
          <cell r="C277" t="str">
            <v>IS</v>
          </cell>
          <cell r="D277">
            <v>6644.58</v>
          </cell>
          <cell r="E277" t="b">
            <v>0</v>
          </cell>
        </row>
        <row r="278">
          <cell r="A278" t="str">
            <v>6455</v>
          </cell>
          <cell r="B278" t="str">
            <v>DEPREC-STRUCT &amp; IMPRV SRC SUPPLY</v>
          </cell>
          <cell r="C278" t="str">
            <v>IS</v>
          </cell>
          <cell r="D278">
            <v>8343.48</v>
          </cell>
          <cell r="E278" t="b">
            <v>0</v>
          </cell>
        </row>
        <row r="279">
          <cell r="A279" t="str">
            <v>6460</v>
          </cell>
          <cell r="B279" t="str">
            <v>DEPREC-STRUCT &amp; IMPRV WTP</v>
          </cell>
          <cell r="C279" t="str">
            <v>IS</v>
          </cell>
          <cell r="D279">
            <v>3483.69</v>
          </cell>
          <cell r="E279" t="b">
            <v>0</v>
          </cell>
        </row>
        <row r="280">
          <cell r="A280" t="str">
            <v>6485</v>
          </cell>
          <cell r="B280" t="str">
            <v>DEPREC-WELLS &amp; SPRINGS</v>
          </cell>
          <cell r="C280" t="str">
            <v>IS</v>
          </cell>
          <cell r="D280">
            <v>32258.79</v>
          </cell>
          <cell r="E280" t="b">
            <v>0</v>
          </cell>
        </row>
        <row r="281">
          <cell r="A281" t="str">
            <v>6505</v>
          </cell>
          <cell r="B281" t="str">
            <v>DEPREC-ELEC PUMP EQP SRC PUMP</v>
          </cell>
          <cell r="C281" t="str">
            <v>IS</v>
          </cell>
          <cell r="D281">
            <v>-595.17999999999995</v>
          </cell>
          <cell r="E281" t="b">
            <v>0</v>
          </cell>
        </row>
        <row r="282">
          <cell r="A282" t="str">
            <v>6510</v>
          </cell>
          <cell r="B282" t="str">
            <v>DEPREC-ELEC PUMP EQP WTP</v>
          </cell>
          <cell r="C282" t="str">
            <v>IS</v>
          </cell>
          <cell r="D282">
            <v>18535.57</v>
          </cell>
          <cell r="E282" t="b">
            <v>0</v>
          </cell>
        </row>
        <row r="283">
          <cell r="A283" t="str">
            <v>6520</v>
          </cell>
          <cell r="B283" t="str">
            <v>DEPREC-WATER TREATMENT EQPT</v>
          </cell>
          <cell r="C283" t="str">
            <v>IS</v>
          </cell>
          <cell r="D283">
            <v>5880.47</v>
          </cell>
          <cell r="E283" t="b">
            <v>0</v>
          </cell>
        </row>
        <row r="284">
          <cell r="A284" t="str">
            <v>6525</v>
          </cell>
          <cell r="B284" t="str">
            <v>DEPREC-DIST RESV &amp; STANDPIPES</v>
          </cell>
          <cell r="C284" t="str">
            <v>IS</v>
          </cell>
          <cell r="D284">
            <v>21995.84</v>
          </cell>
          <cell r="E284" t="b">
            <v>0</v>
          </cell>
        </row>
        <row r="285">
          <cell r="A285" t="str">
            <v>6530</v>
          </cell>
          <cell r="B285" t="str">
            <v>DEPREC-TRANS &amp; DISTR MAINS</v>
          </cell>
          <cell r="C285" t="str">
            <v>IS</v>
          </cell>
          <cell r="D285">
            <v>88386.58</v>
          </cell>
          <cell r="E285" t="b">
            <v>0</v>
          </cell>
        </row>
        <row r="286">
          <cell r="A286" t="str">
            <v>6535</v>
          </cell>
          <cell r="B286" t="str">
            <v>DEPREC-SERVICE LINES</v>
          </cell>
          <cell r="C286" t="str">
            <v>IS</v>
          </cell>
          <cell r="D286">
            <v>26065.77</v>
          </cell>
          <cell r="E286" t="b">
            <v>0</v>
          </cell>
        </row>
        <row r="287">
          <cell r="A287" t="str">
            <v>6540</v>
          </cell>
          <cell r="B287" t="str">
            <v>DEPREC-METERS</v>
          </cell>
          <cell r="C287" t="str">
            <v>IS</v>
          </cell>
          <cell r="D287">
            <v>7213.06</v>
          </cell>
          <cell r="E287" t="b">
            <v>0</v>
          </cell>
        </row>
        <row r="288">
          <cell r="A288" t="str">
            <v>6545</v>
          </cell>
          <cell r="B288" t="str">
            <v>DEPREC-METER INSTALLS</v>
          </cell>
          <cell r="C288" t="str">
            <v>IS</v>
          </cell>
          <cell r="D288">
            <v>1763.55</v>
          </cell>
          <cell r="E288" t="b">
            <v>0</v>
          </cell>
        </row>
        <row r="289">
          <cell r="A289" t="str">
            <v>6550</v>
          </cell>
          <cell r="B289" t="str">
            <v>DEPREC-HYDRANTS</v>
          </cell>
          <cell r="C289" t="str">
            <v>IS</v>
          </cell>
          <cell r="D289">
            <v>4489.3999999999996</v>
          </cell>
          <cell r="E289" t="b">
            <v>0</v>
          </cell>
        </row>
        <row r="290">
          <cell r="A290" t="str">
            <v>6580</v>
          </cell>
          <cell r="B290" t="str">
            <v>DEPREC-OFFICE STRUCTURE</v>
          </cell>
          <cell r="C290" t="str">
            <v>IS</v>
          </cell>
          <cell r="D290">
            <v>2280</v>
          </cell>
          <cell r="E290" t="b">
            <v>0</v>
          </cell>
        </row>
        <row r="291">
          <cell r="A291" t="str">
            <v>6585</v>
          </cell>
          <cell r="B291" t="str">
            <v>DEPREC-OFFICE FURN/EQPT</v>
          </cell>
          <cell r="C291" t="str">
            <v>IS</v>
          </cell>
          <cell r="D291">
            <v>847.4</v>
          </cell>
          <cell r="E291" t="b">
            <v>0</v>
          </cell>
        </row>
        <row r="292">
          <cell r="A292" t="str">
            <v>6595</v>
          </cell>
          <cell r="B292" t="str">
            <v>DEPREC-TOOL SHOP &amp; MISC EQPT</v>
          </cell>
          <cell r="C292" t="str">
            <v>IS</v>
          </cell>
          <cell r="D292">
            <v>3730.18</v>
          </cell>
          <cell r="E292" t="b">
            <v>0</v>
          </cell>
        </row>
        <row r="293">
          <cell r="A293" t="str">
            <v>6600</v>
          </cell>
          <cell r="B293" t="str">
            <v>DEPREC-LABORATORY EQUIPMENT</v>
          </cell>
          <cell r="C293" t="str">
            <v>IS</v>
          </cell>
          <cell r="D293">
            <v>175.88</v>
          </cell>
          <cell r="E293" t="b">
            <v>0</v>
          </cell>
        </row>
        <row r="294">
          <cell r="A294" t="str">
            <v>6610</v>
          </cell>
          <cell r="B294" t="str">
            <v>DEPREC-COMMUNICATION EQPT</v>
          </cell>
          <cell r="C294" t="str">
            <v>IS</v>
          </cell>
          <cell r="D294">
            <v>552.08000000000004</v>
          </cell>
          <cell r="E294" t="b">
            <v>0</v>
          </cell>
        </row>
        <row r="295">
          <cell r="A295" t="str">
            <v>6640</v>
          </cell>
          <cell r="B295" t="str">
            <v>DEPREC-ORGANIZATION</v>
          </cell>
          <cell r="C295" t="str">
            <v>IS</v>
          </cell>
          <cell r="D295">
            <v>389.8</v>
          </cell>
          <cell r="E295" t="b">
            <v>0</v>
          </cell>
        </row>
        <row r="296">
          <cell r="A296" t="str">
            <v>6660</v>
          </cell>
          <cell r="B296" t="str">
            <v>DEPREC-STRUCT/IMPRV PUMP</v>
          </cell>
          <cell r="C296" t="str">
            <v>IS</v>
          </cell>
          <cell r="D296">
            <v>14702.52</v>
          </cell>
          <cell r="E296" t="b">
            <v>0</v>
          </cell>
        </row>
        <row r="297">
          <cell r="A297" t="str">
            <v>6680</v>
          </cell>
          <cell r="B297" t="str">
            <v>DEPREC-STRUCT/IMPRV GEN PLT</v>
          </cell>
          <cell r="C297" t="str">
            <v>IS</v>
          </cell>
          <cell r="D297">
            <v>2776.85</v>
          </cell>
          <cell r="E297" t="b">
            <v>0</v>
          </cell>
        </row>
        <row r="298">
          <cell r="A298" t="str">
            <v>6710</v>
          </cell>
          <cell r="B298" t="str">
            <v>DEPREC-SEWER FORCE MAIN/SRVC</v>
          </cell>
          <cell r="C298" t="str">
            <v>IS</v>
          </cell>
          <cell r="D298">
            <v>10786.75</v>
          </cell>
          <cell r="E298" t="b">
            <v>0</v>
          </cell>
        </row>
        <row r="299">
          <cell r="A299" t="str">
            <v>6715</v>
          </cell>
          <cell r="B299" t="str">
            <v>DEPREC-SEWER GRAVITY MAIN/MANH</v>
          </cell>
          <cell r="C299" t="str">
            <v>IS</v>
          </cell>
          <cell r="D299">
            <v>74899.59</v>
          </cell>
          <cell r="E299" t="b">
            <v>0</v>
          </cell>
        </row>
        <row r="300">
          <cell r="A300" t="str">
            <v>6765</v>
          </cell>
          <cell r="B300" t="str">
            <v>DEPREC-TREAT/DISP EQ TRT PLT</v>
          </cell>
          <cell r="C300" t="str">
            <v>IS</v>
          </cell>
          <cell r="D300">
            <v>47227.26</v>
          </cell>
          <cell r="E300" t="b">
            <v>0</v>
          </cell>
        </row>
        <row r="301">
          <cell r="A301" t="str">
            <v>6835</v>
          </cell>
          <cell r="B301" t="str">
            <v>DEPREC-TOOL SHOP &amp; MISC EQPT</v>
          </cell>
          <cell r="C301" t="str">
            <v>IS</v>
          </cell>
          <cell r="D301">
            <v>399.99</v>
          </cell>
          <cell r="E301" t="b">
            <v>0</v>
          </cell>
        </row>
        <row r="302">
          <cell r="A302" t="str">
            <v>6905</v>
          </cell>
          <cell r="B302" t="str">
            <v>DEPREC-AUTO TRANS</v>
          </cell>
          <cell r="C302" t="str">
            <v>IS</v>
          </cell>
          <cell r="D302">
            <v>3074.99</v>
          </cell>
          <cell r="E302" t="b">
            <v>0</v>
          </cell>
        </row>
        <row r="303">
          <cell r="A303" t="str">
            <v>6920</v>
          </cell>
          <cell r="B303" t="str">
            <v xml:space="preserve">DEPREC-COMPUTER </v>
          </cell>
          <cell r="C303" t="str">
            <v>IS</v>
          </cell>
          <cell r="D303">
            <v>15586</v>
          </cell>
          <cell r="E303" t="b">
            <v>0</v>
          </cell>
        </row>
        <row r="304">
          <cell r="A304" t="str">
            <v>6960</v>
          </cell>
          <cell r="B304" t="str">
            <v>AMORT OF UTIL PAA-WATER</v>
          </cell>
          <cell r="C304" t="str">
            <v>IS</v>
          </cell>
          <cell r="D304">
            <v>-6270.2</v>
          </cell>
          <cell r="E304" t="b">
            <v>0</v>
          </cell>
        </row>
        <row r="305">
          <cell r="A305" t="str">
            <v>6965</v>
          </cell>
          <cell r="B305" t="str">
            <v>AMORT OF UTIL PAA-SEWER</v>
          </cell>
          <cell r="C305" t="str">
            <v>IS</v>
          </cell>
          <cell r="D305">
            <v>-1278.94</v>
          </cell>
          <cell r="E305" t="b">
            <v>0</v>
          </cell>
        </row>
        <row r="306">
          <cell r="A306" t="str">
            <v>6985</v>
          </cell>
          <cell r="B306" t="str">
            <v>AMORT EXP-CIA-WATER</v>
          </cell>
          <cell r="C306" t="str">
            <v>IS</v>
          </cell>
          <cell r="D306">
            <v>-72.709999999999994</v>
          </cell>
          <cell r="E306" t="b">
            <v>0</v>
          </cell>
        </row>
        <row r="307">
          <cell r="A307" t="str">
            <v>7160</v>
          </cell>
          <cell r="B307" t="str">
            <v>AMORT-OTHER TANGIBLE PLT WATER</v>
          </cell>
          <cell r="C307" t="str">
            <v>IS</v>
          </cell>
          <cell r="D307">
            <v>-99796.18</v>
          </cell>
          <cell r="E307" t="b">
            <v>0</v>
          </cell>
        </row>
        <row r="308">
          <cell r="A308" t="str">
            <v>7165</v>
          </cell>
          <cell r="B308" t="str">
            <v>AMORT-WATER-TAP</v>
          </cell>
          <cell r="C308" t="str">
            <v>IS</v>
          </cell>
          <cell r="D308">
            <v>-22374.09</v>
          </cell>
          <cell r="E308" t="b">
            <v>0</v>
          </cell>
        </row>
        <row r="309">
          <cell r="A309" t="str">
            <v>7180</v>
          </cell>
          <cell r="B309" t="str">
            <v>AMORT-WTR PLT MOD FEE</v>
          </cell>
          <cell r="C309" t="str">
            <v>IS</v>
          </cell>
          <cell r="D309">
            <v>-3094.26</v>
          </cell>
          <cell r="E309" t="b">
            <v>0</v>
          </cell>
        </row>
        <row r="310">
          <cell r="A310" t="str">
            <v>7185</v>
          </cell>
          <cell r="B310" t="str">
            <v>AMORT-WTR PLT MTR FEE</v>
          </cell>
          <cell r="C310" t="str">
            <v>IS</v>
          </cell>
          <cell r="D310">
            <v>-574.28</v>
          </cell>
          <cell r="E310" t="b">
            <v>0</v>
          </cell>
        </row>
        <row r="311">
          <cell r="A311" t="str">
            <v>7205</v>
          </cell>
          <cell r="B311" t="str">
            <v>AMORT-ORGANIZATION</v>
          </cell>
          <cell r="C311" t="str">
            <v>IS</v>
          </cell>
          <cell r="D311">
            <v>0</v>
          </cell>
          <cell r="E311" t="b">
            <v>0</v>
          </cell>
        </row>
        <row r="312">
          <cell r="A312" t="str">
            <v>7245</v>
          </cell>
          <cell r="B312" t="str">
            <v>AMORT-STRUCT/IMPRV GEN PLT</v>
          </cell>
          <cell r="C312" t="str">
            <v>IS</v>
          </cell>
          <cell r="D312">
            <v>-122587.09</v>
          </cell>
          <cell r="E312" t="b">
            <v>0</v>
          </cell>
        </row>
        <row r="313">
          <cell r="A313" t="str">
            <v>7430</v>
          </cell>
          <cell r="B313" t="str">
            <v>AMORT-SEWER-TAP</v>
          </cell>
          <cell r="C313" t="str">
            <v>IS</v>
          </cell>
          <cell r="D313">
            <v>-21055.82</v>
          </cell>
          <cell r="E313" t="b">
            <v>0</v>
          </cell>
        </row>
        <row r="314">
          <cell r="A314" t="str">
            <v>7445</v>
          </cell>
          <cell r="B314" t="str">
            <v>AMORT-SWR PLT MOD FEE</v>
          </cell>
          <cell r="C314" t="str">
            <v>IS</v>
          </cell>
          <cell r="D314">
            <v>-4561.0200000000004</v>
          </cell>
          <cell r="E314" t="b">
            <v>0</v>
          </cell>
        </row>
        <row r="315">
          <cell r="A315" t="str">
            <v>7510</v>
          </cell>
          <cell r="B315" t="str">
            <v>FICA EXPENSE</v>
          </cell>
          <cell r="C315" t="str">
            <v>IS</v>
          </cell>
          <cell r="D315">
            <v>55868</v>
          </cell>
          <cell r="E315" t="b">
            <v>0</v>
          </cell>
        </row>
        <row r="316">
          <cell r="A316" t="str">
            <v>7515</v>
          </cell>
          <cell r="B316" t="str">
            <v>FEDERAL UNEMPLOYMENT TAX</v>
          </cell>
          <cell r="C316" t="str">
            <v>IS</v>
          </cell>
          <cell r="D316">
            <v>1318</v>
          </cell>
          <cell r="E316" t="b">
            <v>0</v>
          </cell>
        </row>
        <row r="317">
          <cell r="A317" t="str">
            <v>7520</v>
          </cell>
          <cell r="B317" t="str">
            <v>STATE UNEMPLOYMENT TAX</v>
          </cell>
          <cell r="C317" t="str">
            <v>IS</v>
          </cell>
          <cell r="D317">
            <v>4893</v>
          </cell>
          <cell r="E317" t="b">
            <v>0</v>
          </cell>
        </row>
        <row r="318">
          <cell r="A318" t="str">
            <v>7540</v>
          </cell>
          <cell r="B318" t="str">
            <v>GROSS RECEIPTS TAX</v>
          </cell>
          <cell r="C318" t="str">
            <v>IS</v>
          </cell>
          <cell r="D318">
            <v>141261</v>
          </cell>
          <cell r="E318" t="b">
            <v>0</v>
          </cell>
        </row>
        <row r="319">
          <cell r="A319" t="str">
            <v>7545</v>
          </cell>
          <cell r="B319" t="str">
            <v>PERSONAL PROPERTY/ICT TAX</v>
          </cell>
          <cell r="C319" t="str">
            <v>IS</v>
          </cell>
          <cell r="D319">
            <v>10340.540000000001</v>
          </cell>
          <cell r="E319" t="b">
            <v>0</v>
          </cell>
        </row>
        <row r="320">
          <cell r="A320" t="str">
            <v>7550</v>
          </cell>
          <cell r="B320" t="str">
            <v>PROPERTY/OTHER GENERAL TAX</v>
          </cell>
          <cell r="C320" t="str">
            <v>IS</v>
          </cell>
          <cell r="D320">
            <v>5072.16</v>
          </cell>
          <cell r="E320" t="b">
            <v>0</v>
          </cell>
        </row>
        <row r="321">
          <cell r="A321" t="str">
            <v>7555</v>
          </cell>
          <cell r="B321" t="str">
            <v>REAL ESTATE TAX</v>
          </cell>
          <cell r="C321" t="str">
            <v>IS</v>
          </cell>
          <cell r="D321">
            <v>8990.58</v>
          </cell>
          <cell r="E321" t="b">
            <v>0</v>
          </cell>
        </row>
        <row r="322">
          <cell r="A322" t="str">
            <v>7560</v>
          </cell>
          <cell r="B322" t="str">
            <v>SALES/USE TAX EXPENSE</v>
          </cell>
          <cell r="C322" t="str">
            <v>IS</v>
          </cell>
          <cell r="D322">
            <v>418.17</v>
          </cell>
          <cell r="E322" t="b">
            <v>0</v>
          </cell>
        </row>
        <row r="323">
          <cell r="A323" t="str">
            <v>7570</v>
          </cell>
          <cell r="B323" t="str">
            <v>UTILITY/COMMISSION TAX</v>
          </cell>
          <cell r="C323" t="str">
            <v>IS</v>
          </cell>
          <cell r="D323">
            <v>3556.72</v>
          </cell>
          <cell r="E323" t="b">
            <v>0</v>
          </cell>
        </row>
        <row r="324">
          <cell r="A324" t="str">
            <v>7610</v>
          </cell>
          <cell r="B324" t="str">
            <v>INCOME TAXES-STATE</v>
          </cell>
          <cell r="C324" t="str">
            <v>IS</v>
          </cell>
          <cell r="D324">
            <v>0</v>
          </cell>
          <cell r="E324" t="b">
            <v>0</v>
          </cell>
        </row>
        <row r="325">
          <cell r="A325" t="str">
            <v>7691</v>
          </cell>
          <cell r="B325" t="str">
            <v>NET BOOK VALUE-DISPOSAL</v>
          </cell>
          <cell r="C325" t="str">
            <v>IS</v>
          </cell>
          <cell r="D325">
            <v>0</v>
          </cell>
          <cell r="E325" t="b">
            <v>0</v>
          </cell>
        </row>
        <row r="326">
          <cell r="A326" t="str">
            <v>7710</v>
          </cell>
          <cell r="B326" t="str">
            <v>INTEREST EXPENSE-INTERCO</v>
          </cell>
          <cell r="C326" t="str">
            <v>IS</v>
          </cell>
          <cell r="D326">
            <v>242307.5</v>
          </cell>
          <cell r="E326" t="b">
            <v>0</v>
          </cell>
        </row>
        <row r="327">
          <cell r="A327" t="str">
            <v>7735</v>
          </cell>
          <cell r="B327" t="str">
            <v>S/T INT EXP BANK ONE</v>
          </cell>
          <cell r="C327" t="str">
            <v>IS</v>
          </cell>
          <cell r="D327">
            <v>5379.91</v>
          </cell>
          <cell r="E327" t="b">
            <v>0</v>
          </cell>
        </row>
        <row r="328">
          <cell r="A328" t="str">
            <v>7750</v>
          </cell>
          <cell r="B328" t="str">
            <v>INTEREST DURING CONSTRUCTION</v>
          </cell>
          <cell r="C328" t="str">
            <v>IS</v>
          </cell>
          <cell r="D328">
            <v>-27361.35</v>
          </cell>
          <cell r="E328" t="b">
            <v>0</v>
          </cell>
        </row>
        <row r="329">
          <cell r="D329">
            <v>0</v>
          </cell>
        </row>
        <row r="330">
          <cell r="A330" t="str">
            <v>Trial balance variance</v>
          </cell>
          <cell r="D330">
            <v>-1.6552803572267294E-9</v>
          </cell>
        </row>
        <row r="332">
          <cell r="A332" t="str">
            <v>Balance Sheet</v>
          </cell>
          <cell r="C332" t="str">
            <v>BS</v>
          </cell>
          <cell r="D332">
            <v>420906.28999999817</v>
          </cell>
        </row>
        <row r="333">
          <cell r="A333" t="str">
            <v>Income Statement</v>
          </cell>
          <cell r="C333" t="str">
            <v>IS</v>
          </cell>
          <cell r="D333">
            <v>-420906.29000000126</v>
          </cell>
        </row>
        <row r="334">
          <cell r="A334" t="str">
            <v>Trial balance variance</v>
          </cell>
          <cell r="D334">
            <v>-3.0850060284137726E-9</v>
          </cell>
        </row>
      </sheetData>
      <sheetData sheetId="3" refreshError="1">
        <row r="531">
          <cell r="B531" t="str">
            <v>CUSTOMERS</v>
          </cell>
          <cell r="C531">
            <v>8658</v>
          </cell>
          <cell r="D531">
            <v>4085.7</v>
          </cell>
          <cell r="E531">
            <v>12743.7</v>
          </cell>
          <cell r="F531">
            <v>0.67939452435320979</v>
          </cell>
          <cell r="G531">
            <v>0.32060547564679015</v>
          </cell>
          <cell r="H531">
            <v>1</v>
          </cell>
        </row>
        <row r="532">
          <cell r="B532" t="str">
            <v>REVENUES</v>
          </cell>
          <cell r="C532">
            <v>-1865504.31</v>
          </cell>
          <cell r="D532">
            <v>-1099676.6199999999</v>
          </cell>
          <cell r="E532">
            <v>-2965180.9299999997</v>
          </cell>
          <cell r="F532">
            <v>0.62913675557734017</v>
          </cell>
          <cell r="G532">
            <v>0.37086324442265989</v>
          </cell>
          <cell r="H532">
            <v>1</v>
          </cell>
        </row>
        <row r="533">
          <cell r="B533" t="str">
            <v>PLANT IN SERVICE</v>
          </cell>
          <cell r="C533">
            <v>12644194.970000001</v>
          </cell>
          <cell r="D533">
            <v>9232681.9499999993</v>
          </cell>
          <cell r="E533">
            <v>21876876.920000002</v>
          </cell>
          <cell r="F533">
            <v>0.57797075040636103</v>
          </cell>
          <cell r="G533">
            <v>0.42202924959363891</v>
          </cell>
          <cell r="H533">
            <v>1</v>
          </cell>
        </row>
        <row r="534">
          <cell r="B534" t="str">
            <v>NET PLANT</v>
          </cell>
          <cell r="C534">
            <v>10036803.390000001</v>
          </cell>
          <cell r="D534">
            <v>7414222.0199999996</v>
          </cell>
          <cell r="E534">
            <v>17451025.41</v>
          </cell>
          <cell r="F534">
            <v>0.5751411824916941</v>
          </cell>
          <cell r="G534">
            <v>0.4248588175083059</v>
          </cell>
          <cell r="H534">
            <v>1</v>
          </cell>
        </row>
        <row r="535">
          <cell r="B535" t="str">
            <v>DEFERRED MAINTENANCE</v>
          </cell>
          <cell r="C535">
            <v>33967.245631959326</v>
          </cell>
          <cell r="D535">
            <v>11523.37436804069</v>
          </cell>
          <cell r="E535">
            <v>45490.620000000017</v>
          </cell>
          <cell r="F535">
            <v>0.74668680338846372</v>
          </cell>
          <cell r="G535">
            <v>0.25331319661153628</v>
          </cell>
          <cell r="H535">
            <v>1</v>
          </cell>
        </row>
        <row r="536">
          <cell r="B536" t="str">
            <v>CIAC</v>
          </cell>
          <cell r="C536">
            <v>-5211024.95</v>
          </cell>
          <cell r="D536">
            <v>-5898388.8700000001</v>
          </cell>
          <cell r="E536">
            <v>-11109413.82</v>
          </cell>
          <cell r="F536">
            <v>0.46906389791860326</v>
          </cell>
          <cell r="G536">
            <v>0.53093610208139674</v>
          </cell>
          <cell r="H53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- Return - RB"/>
      <sheetName val="Sewer - Return - RB"/>
      <sheetName val="Combined  Rate Base"/>
      <sheetName val="Water Rate Base"/>
      <sheetName val="Sewer Rate Base "/>
      <sheetName val="Plant Adj"/>
      <sheetName val="Total accum. deprec."/>
      <sheetName val="transfer accum. deprec."/>
      <sheetName val="accum. deprec."/>
      <sheetName val="CIAC"/>
      <sheetName val="WSC RB"/>
      <sheetName val="CWS Off RB"/>
      <sheetName val="Deferred Charges-rate base"/>
      <sheetName val="ADIT"/>
      <sheetName val="Combined noi"/>
      <sheetName val="Water noi"/>
      <sheetName val="Water footnotes"/>
      <sheetName val="Sewer noi"/>
      <sheetName val="Sewer footnotes"/>
      <sheetName val="Uncollect"/>
      <sheetName val="Adj-Exp"/>
      <sheetName val="Power"/>
      <sheetName val="Salaries"/>
      <sheetName val="Maint - Common"/>
      <sheetName val="Trans"/>
      <sheetName val="Rate Case"/>
      <sheetName val="WSC Exp"/>
      <sheetName val="WSC Exp Adj"/>
      <sheetName val="WSC Adj Factors"/>
      <sheetName val="CWS Off Exp"/>
      <sheetName val="CWS Off Factor"/>
      <sheetName val="Water Inc. Taxes"/>
      <sheetName val="Prod Deduct"/>
      <sheetName val="Sewer Inc. Taxes"/>
      <sheetName val="Water Rev. Req."/>
      <sheetName val="Sewer Rev. Req."/>
      <sheetName val="Water - Return - OR"/>
      <sheetName val="Water Ratios"/>
      <sheetName val="Sewer - Return - OR"/>
      <sheetName val="Sewer Ratios"/>
      <sheetName val="Plant Detail"/>
      <sheetName val="Book Expenses"/>
      <sheetName val="Vehicles"/>
      <sheetName val="WSC Salary"/>
      <sheetName val="Cust Equiv"/>
      <sheetName val="WSC Detail"/>
      <sheetName val="WSC Detail-PS"/>
      <sheetName val="WSC RB Compare"/>
      <sheetName val="Out Svc"/>
      <sheetName val="Insur"/>
      <sheetName val="Rents"/>
      <sheetName val="Prop Tax"/>
      <sheetName val="Amortization"/>
      <sheetName val="Misc Rev"/>
    </sheetNames>
    <sheetDataSet>
      <sheetData sheetId="0">
        <row r="2">
          <cell r="C2" t="str">
            <v>TRANSYLVANIA UTILITIES, INC.</v>
          </cell>
        </row>
        <row r="5">
          <cell r="C5" t="str">
            <v xml:space="preserve">  </v>
          </cell>
        </row>
      </sheetData>
      <sheetData sheetId="1"/>
      <sheetData sheetId="2"/>
      <sheetData sheetId="3"/>
      <sheetData sheetId="4">
        <row r="12">
          <cell r="I12">
            <v>4145611</v>
          </cell>
        </row>
      </sheetData>
      <sheetData sheetId="5"/>
      <sheetData sheetId="6"/>
      <sheetData sheetId="7"/>
      <sheetData sheetId="8">
        <row r="16">
          <cell r="E16">
            <v>2800232</v>
          </cell>
        </row>
      </sheetData>
      <sheetData sheetId="9">
        <row r="17">
          <cell r="G17">
            <v>368529</v>
          </cell>
        </row>
      </sheetData>
      <sheetData sheetId="10">
        <row r="117">
          <cell r="D117">
            <v>1406993</v>
          </cell>
        </row>
      </sheetData>
      <sheetData sheetId="11">
        <row r="34">
          <cell r="E34">
            <v>-310890</v>
          </cell>
        </row>
      </sheetData>
      <sheetData sheetId="12">
        <row r="48">
          <cell r="J48">
            <v>7631</v>
          </cell>
        </row>
      </sheetData>
      <sheetData sheetId="13">
        <row r="26">
          <cell r="H26">
            <v>12615</v>
          </cell>
        </row>
      </sheetData>
      <sheetData sheetId="14">
        <row r="21">
          <cell r="E21">
            <v>48293</v>
          </cell>
        </row>
      </sheetData>
      <sheetData sheetId="15">
        <row r="21">
          <cell r="I21">
            <v>-247366</v>
          </cell>
        </row>
      </sheetData>
      <sheetData sheetId="16"/>
      <sheetData sheetId="17">
        <row r="44">
          <cell r="I44">
            <v>288289</v>
          </cell>
        </row>
      </sheetData>
      <sheetData sheetId="18"/>
      <sheetData sheetId="19">
        <row r="44">
          <cell r="I44">
            <v>243099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wp.a-uncoll"/>
      <sheetName val="wp-b salary"/>
      <sheetName val="wp-b salary2"/>
      <sheetName val="wp-b3 calc of health and other "/>
      <sheetName val="wp-c-def charges"/>
      <sheetName val="wp-c2-calc of def charges"/>
      <sheetName val="wp-c3-acc def inc taxes"/>
      <sheetName val="wp-c3a-adj acc def inc taxes"/>
      <sheetName val="wp-c3b-adit vehicle"/>
      <sheetName val="wp-c3c-adit computers"/>
      <sheetName val="wp-c3d-adit gross plant"/>
      <sheetName val="wp-3e-calc intial basis"/>
      <sheetName val="wp-d-rc.exp"/>
      <sheetName val="wp-e-toi"/>
      <sheetName val="wp-f-depr"/>
      <sheetName val="wp-f2 depr recal"/>
      <sheetName val="wp f3 plant held for future use"/>
      <sheetName val="wp-f4"/>
      <sheetName val="CP COA"/>
      <sheetName val="wp-g-inc.tx"/>
      <sheetName val="wp.h-cap.struc"/>
      <sheetName val="wp-i-wc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wp-appendix"/>
      <sheetName val="xxxRate-Rev Comp"/>
      <sheetName val="Consumption Data"/>
      <sheetName val="ERC Count NB 12-07"/>
      <sheetName val="93008 ERC with avail adjust  "/>
      <sheetName val="Allocation data summary"/>
      <sheetName val="Allocation data"/>
      <sheetName val="wp-b2-ops charged to plant"/>
      <sheetName val="wp-o-project phoenix "/>
      <sheetName val="wp-p6-closed office exp"/>
      <sheetName val="wp-u-Insurance Exp"/>
      <sheetName val="wp-p2 Allocated Rate Base"/>
      <sheetName val="wp-px Allocation of Exp"/>
      <sheetName val="COAs"/>
      <sheetName val="wp-m-penalties"/>
      <sheetName val="wp-p1-allocation of vehicles"/>
      <sheetName val="wp-px Allocation of Vehicles"/>
      <sheetName val="wp-px Allocation of Trans Exp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</sheetNames>
    <sheetDataSet>
      <sheetData sheetId="0" refreshError="1">
        <row r="39">
          <cell r="D39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MRP0015"/>
      <sheetName val="CMRP0016"/>
      <sheetName val="CMRP0017"/>
      <sheetName val="5-8&quot;-Clinton-W-C"/>
      <sheetName val="5-8&quot;-H-R"/>
      <sheetName val="5-8&quot;-IH-R"/>
      <sheetName val="1&quot;-SS-R"/>
      <sheetName val="1.5&quot;-SS-R"/>
      <sheetName val="2&quot;-SS-R"/>
      <sheetName val="3&quot;-SS-R"/>
      <sheetName val="3-4&quot;-SS-R"/>
      <sheetName val="4&quot;-SS-R"/>
      <sheetName val="5-8&quot;-SS-R"/>
      <sheetName val="6&quot;-SS-R"/>
      <sheetName val="5-8&quot;-S-R"/>
      <sheetName val="5-8&quot;-SNG-R"/>
      <sheetName val="5-8&quot;-Clinton-W-C-E14"/>
      <sheetName val="Summary"/>
      <sheetName val="5-8&quot;-WR-C"/>
      <sheetName val="5-8&quot;-WR-C-E14"/>
      <sheetName val="5-8&quot;-W-R"/>
      <sheetName val="5-8&quot;-W-R-E14"/>
      <sheetName val="5-8&quot;-W-C"/>
      <sheetName val="5-8&quot;-W-C-E14"/>
      <sheetName val="5-8&quot;-WC-R"/>
      <sheetName val="5-8&quot;-WC-R-E14"/>
      <sheetName val="5-8&quot;-WG-R"/>
      <sheetName val="5-8&quot;-WG-R-E14"/>
      <sheetName val="5-8&quot;-W-Ind"/>
      <sheetName val="5-8&quot;-W-Ind-E14"/>
      <sheetName val="3-4&quot;-W-C"/>
      <sheetName val="3-4&quot;-W-C-E14"/>
      <sheetName val="1&quot;-W-R"/>
      <sheetName val="1&quot;-W-R-E14"/>
      <sheetName val="1&quot;-W-C"/>
      <sheetName val="1&quot;-W-C-E14"/>
      <sheetName val="1&quot;-WC-R"/>
      <sheetName val="1&quot;-WC-R-E14"/>
      <sheetName val="1&quot;-WG-R"/>
      <sheetName val="1&quot;-WG-R-E14"/>
      <sheetName val="1&quot;-W-Ind"/>
      <sheetName val="1&quot;-W-IND-E14"/>
      <sheetName val="1.5&quot;-W-C"/>
      <sheetName val="1.5&quot;-W-C-E14"/>
      <sheetName val="1.5&quot;-WG-R"/>
      <sheetName val="1.5&quot;-WG-R-E14"/>
      <sheetName val="1.5&quot;-W-Ind"/>
      <sheetName val="1.5&quot;-W-IND-E14"/>
      <sheetName val="2&quot;-W-C"/>
      <sheetName val="2&quot;-W-C-E14"/>
      <sheetName val="2&quot;-W-Ind"/>
      <sheetName val="2&quot;-W-Ind-E14"/>
      <sheetName val="2&quot;-Ind"/>
      <sheetName val="2&quot;-IND-E14"/>
      <sheetName val="2&quot;-WG-R"/>
      <sheetName val="2&quot;-WG-R-E14"/>
      <sheetName val="3&quot;-W-C"/>
      <sheetName val="3&quot;-W-C-E14"/>
      <sheetName val="3&quot;-WG-R"/>
      <sheetName val="3&quot;-WG-R-E14"/>
      <sheetName val="3&quot;-W-Ind"/>
      <sheetName val="3&quot;-W-Ind-E14"/>
      <sheetName val="4&quot;-W-C"/>
      <sheetName val="4&quot;-W-C-E14"/>
      <sheetName val="4&quot;-WG-R"/>
      <sheetName val="4&quot;-WG-R-E14"/>
      <sheetName val="4&quot;-W-Ind"/>
      <sheetName val="4&quot;-W-Ind-E14"/>
      <sheetName val="6&quot;-W-C"/>
      <sheetName val="6&quot;-W-C-E14"/>
      <sheetName val="6&quot;-W-Ind"/>
      <sheetName val="6&quot;-W-Ind-E14"/>
      <sheetName val="Fire Protection"/>
      <sheetName val="Fire - E14"/>
      <sheetName val="1&quot;-SS-R(2)"/>
      <sheetName val="2&quot;-SS-R(2)"/>
      <sheetName val="3&quot;-SS-R(2)"/>
      <sheetName val="5-8&quot;-SS-R(2)"/>
      <sheetName val="5-8&quot;-Sprink-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5">
          <cell r="H35">
            <v>1722595.2415333339</v>
          </cell>
        </row>
      </sheetData>
      <sheetData sheetId="18">
        <row r="25">
          <cell r="I25">
            <v>36160</v>
          </cell>
        </row>
      </sheetData>
      <sheetData sheetId="19">
        <row r="2">
          <cell r="U2">
            <v>6.74</v>
          </cell>
        </row>
      </sheetData>
      <sheetData sheetId="20">
        <row r="98">
          <cell r="I98">
            <v>25901660.399999999</v>
          </cell>
        </row>
      </sheetData>
      <sheetData sheetId="21">
        <row r="111">
          <cell r="U111">
            <v>6427.8666666666677</v>
          </cell>
        </row>
      </sheetData>
      <sheetData sheetId="22">
        <row r="98">
          <cell r="I98">
            <v>2867512.1333333333</v>
          </cell>
        </row>
      </sheetData>
      <sheetData sheetId="23">
        <row r="2">
          <cell r="AG2">
            <v>8.6999999999999993</v>
          </cell>
        </row>
      </sheetData>
      <sheetData sheetId="24">
        <row r="19">
          <cell r="I19">
            <v>15786.666666666668</v>
          </cell>
        </row>
      </sheetData>
      <sheetData sheetId="25">
        <row r="2">
          <cell r="U2">
            <v>6.74</v>
          </cell>
        </row>
      </sheetData>
      <sheetData sheetId="26">
        <row r="32">
          <cell r="I32">
            <v>228333</v>
          </cell>
        </row>
      </sheetData>
      <sheetData sheetId="27">
        <row r="2">
          <cell r="U2">
            <v>6.74</v>
          </cell>
        </row>
      </sheetData>
      <sheetData sheetId="28">
        <row r="28">
          <cell r="I28">
            <v>61640</v>
          </cell>
        </row>
      </sheetData>
      <sheetData sheetId="29">
        <row r="2">
          <cell r="U2">
            <v>6.74</v>
          </cell>
        </row>
      </sheetData>
      <sheetData sheetId="30">
        <row r="12">
          <cell r="I12">
            <v>4146.666666666667</v>
          </cell>
        </row>
      </sheetData>
      <sheetData sheetId="31">
        <row r="2">
          <cell r="U2">
            <v>6.74</v>
          </cell>
        </row>
      </sheetData>
      <sheetData sheetId="32">
        <row r="30">
          <cell r="I30">
            <v>181113.33333333334</v>
          </cell>
        </row>
      </sheetData>
      <sheetData sheetId="33">
        <row r="2">
          <cell r="U2">
            <v>20.29</v>
          </cell>
        </row>
      </sheetData>
      <sheetData sheetId="34">
        <row r="83">
          <cell r="I83">
            <v>1267114.5333333332</v>
          </cell>
        </row>
      </sheetData>
      <sheetData sheetId="35">
        <row r="2">
          <cell r="U2">
            <v>20.29</v>
          </cell>
        </row>
      </sheetData>
      <sheetData sheetId="36">
        <row r="16">
          <cell r="I16">
            <v>133133.33333333334</v>
          </cell>
        </row>
      </sheetData>
      <sheetData sheetId="37">
        <row r="27">
          <cell r="U27">
            <v>1.2666666666666668</v>
          </cell>
        </row>
      </sheetData>
      <sheetData sheetId="38">
        <row r="19">
          <cell r="I19">
            <v>49973.333333333336</v>
          </cell>
        </row>
      </sheetData>
      <sheetData sheetId="39">
        <row r="2">
          <cell r="U2">
            <v>20.29</v>
          </cell>
        </row>
      </sheetData>
      <sheetData sheetId="40">
        <row r="8">
          <cell r="I8">
            <v>3786.6666666666665</v>
          </cell>
        </row>
      </sheetData>
      <sheetData sheetId="41">
        <row r="2">
          <cell r="U2">
            <v>20.29</v>
          </cell>
        </row>
      </sheetData>
      <sheetData sheetId="42">
        <row r="99">
          <cell r="I99">
            <v>1028506.6666666666</v>
          </cell>
        </row>
      </sheetData>
      <sheetData sheetId="43">
        <row r="2">
          <cell r="U2">
            <v>38.54</v>
          </cell>
        </row>
      </sheetData>
      <sheetData sheetId="44">
        <row r="35">
          <cell r="I35">
            <v>265786.66666666669</v>
          </cell>
        </row>
      </sheetData>
      <sheetData sheetId="45">
        <row r="2">
          <cell r="U2">
            <v>38.54</v>
          </cell>
        </row>
      </sheetData>
      <sheetData sheetId="46">
        <row r="26">
          <cell r="I26">
            <v>109533.33333333333</v>
          </cell>
        </row>
      </sheetData>
      <sheetData sheetId="47">
        <row r="2">
          <cell r="U2">
            <v>38.54</v>
          </cell>
        </row>
      </sheetData>
      <sheetData sheetId="48">
        <row r="139">
          <cell r="I139">
            <v>2289900</v>
          </cell>
        </row>
      </sheetData>
      <sheetData sheetId="49">
        <row r="2">
          <cell r="U2">
            <v>59.29</v>
          </cell>
        </row>
      </sheetData>
      <sheetData sheetId="50">
        <row r="24">
          <cell r="I24">
            <v>67653.333333333328</v>
          </cell>
        </row>
      </sheetData>
      <sheetData sheetId="51">
        <row r="2">
          <cell r="U2">
            <v>59.29</v>
          </cell>
        </row>
      </sheetData>
      <sheetData sheetId="52">
        <row r="9">
          <cell r="I9">
            <v>5706.666666666667</v>
          </cell>
        </row>
      </sheetData>
      <sheetData sheetId="53">
        <row r="20">
          <cell r="U20">
            <v>1.2666666666666668</v>
          </cell>
        </row>
      </sheetData>
      <sheetData sheetId="54">
        <row r="88">
          <cell r="I88">
            <v>840173.33333333337</v>
          </cell>
        </row>
      </sheetData>
      <sheetData sheetId="55">
        <row r="2">
          <cell r="U2">
            <v>59.29</v>
          </cell>
        </row>
      </sheetData>
      <sheetData sheetId="56">
        <row r="32">
          <cell r="I32">
            <v>391795.53333333333</v>
          </cell>
        </row>
      </sheetData>
      <sheetData sheetId="57">
        <row r="2">
          <cell r="U2">
            <v>165.57</v>
          </cell>
        </row>
      </sheetData>
      <sheetData sheetId="58">
        <row r="39">
          <cell r="I39">
            <v>404663.93333333335</v>
          </cell>
        </row>
      </sheetData>
      <sheetData sheetId="59">
        <row r="2">
          <cell r="U2">
            <v>165.57</v>
          </cell>
        </row>
      </sheetData>
      <sheetData sheetId="60">
        <row r="17">
          <cell r="I17">
            <v>1931826.6666666667</v>
          </cell>
        </row>
      </sheetData>
      <sheetData sheetId="61">
        <row r="2">
          <cell r="U2">
            <v>165.57</v>
          </cell>
        </row>
      </sheetData>
      <sheetData sheetId="62">
        <row r="15">
          <cell r="I15">
            <v>143960</v>
          </cell>
        </row>
      </sheetData>
      <sheetData sheetId="63">
        <row r="2">
          <cell r="U2">
            <v>284.73</v>
          </cell>
        </row>
      </sheetData>
      <sheetData sheetId="64">
        <row r="17">
          <cell r="I17">
            <v>36866.666666666664</v>
          </cell>
        </row>
      </sheetData>
      <sheetData sheetId="65">
        <row r="2">
          <cell r="U2">
            <v>284.73</v>
          </cell>
        </row>
      </sheetData>
      <sheetData sheetId="66">
        <row r="17">
          <cell r="I17">
            <v>112733.33333333333</v>
          </cell>
        </row>
      </sheetData>
      <sheetData sheetId="67">
        <row r="2">
          <cell r="U2">
            <v>284.73</v>
          </cell>
        </row>
      </sheetData>
      <sheetData sheetId="68">
        <row r="27">
          <cell r="I27">
            <v>175440</v>
          </cell>
        </row>
      </sheetData>
      <sheetData sheetId="69">
        <row r="2">
          <cell r="U2">
            <v>580.41</v>
          </cell>
        </row>
      </sheetData>
      <sheetData sheetId="70">
        <row r="17">
          <cell r="I17">
            <v>3330600</v>
          </cell>
        </row>
      </sheetData>
      <sheetData sheetId="71">
        <row r="2">
          <cell r="U2">
            <v>580.41</v>
          </cell>
        </row>
      </sheetData>
      <sheetData sheetId="72" refreshError="1"/>
      <sheetData sheetId="73">
        <row r="4">
          <cell r="B4">
            <v>351.79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MRP0015"/>
      <sheetName val="CMRP0016"/>
      <sheetName val="CMRO0017"/>
      <sheetName val="Summary"/>
      <sheetName val="5-8&quot;-W-R"/>
      <sheetName val="5-8&quot;-W-R-E14"/>
      <sheetName val="5-8&quot;-W-C"/>
      <sheetName val="5-8&quot;-W-C-E14"/>
      <sheetName val="5-8&quot;-W-G"/>
      <sheetName val="5-8&quot;-W-G-E14"/>
      <sheetName val="3-4&quot;-W-R"/>
      <sheetName val="3-4&quot;-W-R-E14"/>
      <sheetName val="3-4&quot;-W-C"/>
      <sheetName val="3-4&quot;-W-C-E14"/>
      <sheetName val="3-4&quot;-W-G"/>
      <sheetName val="3-4&quot;-W-G-E14"/>
      <sheetName val="1&quot;-W-MRS"/>
      <sheetName val="1&quot;-W-MRS-E14"/>
      <sheetName val="1&quot;-W-C"/>
      <sheetName val="1&quot;-W-C-E14"/>
      <sheetName val="1&quot;-W-G"/>
      <sheetName val="1&quot;-W-G-E14"/>
      <sheetName val="1.5&quot;-W-C"/>
      <sheetName val="1.5&quot;-W-C-E14"/>
      <sheetName val="1.5&quot;-W-G"/>
      <sheetName val="1.5&quot;-W-G-E14"/>
      <sheetName val="2&quot;-W-MRS"/>
      <sheetName val="2&quot;-W-MRS-E14"/>
      <sheetName val="2&quot;-W-C"/>
      <sheetName val="2&quot;-W-C-E14"/>
      <sheetName val="2&quot;-W-G"/>
      <sheetName val="2&quot;-W-G-E14"/>
      <sheetName val="Fire Protection"/>
      <sheetName val="Fire - E14"/>
      <sheetName val="5-8&quot;-S-City"/>
      <sheetName val="1&quot;-S-CMT"/>
      <sheetName val="1.5&quot;-S-CMT"/>
      <sheetName val="2&quot;-S-CMT"/>
      <sheetName val="3-4&quot;-S-CMT"/>
      <sheetName val="5-8&quot;-S-CMT"/>
      <sheetName val="1&quot;-S-RMT"/>
      <sheetName val="2&quot;-S-RMT"/>
      <sheetName val="3-4&quot;-S-RMT"/>
      <sheetName val="5-8&quot;-S-RMT"/>
    </sheetNames>
    <sheetDataSet>
      <sheetData sheetId="0"/>
      <sheetData sheetId="1"/>
      <sheetData sheetId="2"/>
      <sheetData sheetId="3">
        <row r="28">
          <cell r="I28">
            <v>277645.8670666666</v>
          </cell>
        </row>
      </sheetData>
      <sheetData sheetId="4">
        <row r="19">
          <cell r="I19">
            <v>67800</v>
          </cell>
        </row>
      </sheetData>
      <sheetData sheetId="5">
        <row r="2">
          <cell r="U2">
            <v>9.02</v>
          </cell>
        </row>
      </sheetData>
      <sheetData sheetId="6">
        <row r="16">
          <cell r="I16">
            <v>24613.333333333332</v>
          </cell>
        </row>
      </sheetData>
      <sheetData sheetId="7">
        <row r="2">
          <cell r="U2">
            <v>9.02</v>
          </cell>
        </row>
      </sheetData>
      <sheetData sheetId="8">
        <row r="7">
          <cell r="I7">
            <v>1400</v>
          </cell>
        </row>
      </sheetData>
      <sheetData sheetId="9">
        <row r="2">
          <cell r="U2">
            <v>9.02</v>
          </cell>
        </row>
      </sheetData>
      <sheetData sheetId="10">
        <row r="41">
          <cell r="I41">
            <v>1977632.5333333332</v>
          </cell>
        </row>
      </sheetData>
      <sheetData sheetId="11">
        <row r="2">
          <cell r="U2">
            <v>9.02</v>
          </cell>
        </row>
      </sheetData>
      <sheetData sheetId="12">
        <row r="31">
          <cell r="I31">
            <v>202860</v>
          </cell>
        </row>
      </sheetData>
      <sheetData sheetId="13">
        <row r="2">
          <cell r="U2">
            <v>9.02</v>
          </cell>
        </row>
      </sheetData>
      <sheetData sheetId="14">
        <row r="12">
          <cell r="I12">
            <v>22280</v>
          </cell>
        </row>
      </sheetData>
      <sheetData sheetId="15">
        <row r="2">
          <cell r="U2">
            <v>9.02</v>
          </cell>
        </row>
      </sheetData>
      <sheetData sheetId="16">
        <row r="29">
          <cell r="I29">
            <v>148573.33333333334</v>
          </cell>
        </row>
      </sheetData>
      <sheetData sheetId="17">
        <row r="2">
          <cell r="U2">
            <v>30.99</v>
          </cell>
        </row>
      </sheetData>
      <sheetData sheetId="18">
        <row r="19">
          <cell r="I19">
            <v>15620</v>
          </cell>
        </row>
      </sheetData>
      <sheetData sheetId="19">
        <row r="2">
          <cell r="U2">
            <v>30.99</v>
          </cell>
        </row>
      </sheetData>
      <sheetData sheetId="20">
        <row r="15">
          <cell r="I15">
            <v>48053.333333333336</v>
          </cell>
        </row>
      </sheetData>
      <sheetData sheetId="21">
        <row r="2">
          <cell r="U2">
            <v>30.99</v>
          </cell>
        </row>
      </sheetData>
      <sheetData sheetId="22">
        <row r="25">
          <cell r="I25">
            <v>112220</v>
          </cell>
        </row>
      </sheetData>
      <sheetData sheetId="23">
        <row r="2">
          <cell r="U2">
            <v>60.64</v>
          </cell>
        </row>
      </sheetData>
      <sheetData sheetId="24">
        <row r="22">
          <cell r="I22">
            <v>145246.66666666666</v>
          </cell>
        </row>
      </sheetData>
      <sheetData sheetId="25">
        <row r="2">
          <cell r="U2">
            <v>60.64</v>
          </cell>
        </row>
      </sheetData>
      <sheetData sheetId="26">
        <row r="16">
          <cell r="I16">
            <v>58420</v>
          </cell>
        </row>
      </sheetData>
      <sheetData sheetId="27">
        <row r="2">
          <cell r="U2">
            <v>90.65</v>
          </cell>
        </row>
      </sheetData>
      <sheetData sheetId="28">
        <row r="17">
          <cell r="I17">
            <v>713200</v>
          </cell>
        </row>
      </sheetData>
      <sheetData sheetId="29">
        <row r="2">
          <cell r="U2">
            <v>90.65</v>
          </cell>
        </row>
      </sheetData>
      <sheetData sheetId="30">
        <row r="43">
          <cell r="I43">
            <v>298566.66666666669</v>
          </cell>
        </row>
      </sheetData>
      <sheetData sheetId="31">
        <row r="2">
          <cell r="U2">
            <v>90.65</v>
          </cell>
        </row>
      </sheetData>
      <sheetData sheetId="32"/>
      <sheetData sheetId="33">
        <row r="4">
          <cell r="B4">
            <v>68.58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Sch.C-R.B"/>
      <sheetName val="Schedule D"/>
      <sheetName val="xxxRate-Rev Comp"/>
      <sheetName val="Sch.E ORM "/>
      <sheetName val="wp.a-uncoll"/>
      <sheetName val="Wp b - salary"/>
      <sheetName val="wp b1"/>
      <sheetName val="Wp b - Captime"/>
      <sheetName val="wp b - CSR"/>
      <sheetName val="Wp b - WSC"/>
      <sheetName val="wp-d-rc.exp"/>
      <sheetName val="wp-e-toi"/>
      <sheetName val="wp-f-depr"/>
      <sheetName val="wp(g)-inc.tx"/>
      <sheetName val="wp.h-cap.struc"/>
      <sheetName val="wp-i-wc"/>
      <sheetName val="wp-o-restate-acq"/>
      <sheetName val="wp-p-restate(audit)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Revenue Requirement"/>
      <sheetName val="Allocation Calc"/>
      <sheetName val="Operators allocation"/>
    </sheetNames>
    <sheetDataSet>
      <sheetData sheetId="0"/>
      <sheetData sheetId="1"/>
      <sheetData sheetId="2">
        <row r="655">
          <cell r="B655" t="str">
            <v>CUSTOMERS</v>
          </cell>
          <cell r="C655">
            <v>7348.7</v>
          </cell>
          <cell r="D655">
            <v>0</v>
          </cell>
          <cell r="E655">
            <v>7348.7</v>
          </cell>
          <cell r="F655">
            <v>1</v>
          </cell>
          <cell r="G655">
            <v>0</v>
          </cell>
          <cell r="H655">
            <v>1</v>
          </cell>
        </row>
        <row r="656">
          <cell r="B656" t="str">
            <v>REVENUES</v>
          </cell>
          <cell r="C656">
            <v>-2117934.4900000002</v>
          </cell>
          <cell r="D656">
            <v>0</v>
          </cell>
          <cell r="E656">
            <v>-2117934.4900000002</v>
          </cell>
          <cell r="F656">
            <v>1</v>
          </cell>
          <cell r="G656">
            <v>0</v>
          </cell>
          <cell r="H656">
            <v>1</v>
          </cell>
        </row>
        <row r="657">
          <cell r="B657" t="str">
            <v>PLANT IN SERVICE</v>
          </cell>
          <cell r="C657">
            <v>8810588.2100000009</v>
          </cell>
          <cell r="D657">
            <v>2104.48</v>
          </cell>
          <cell r="E657">
            <v>8812692.6900000013</v>
          </cell>
          <cell r="F657">
            <v>0.99976119898037652</v>
          </cell>
          <cell r="G657">
            <v>2.3880101962343584E-4</v>
          </cell>
          <cell r="H657">
            <v>1</v>
          </cell>
        </row>
        <row r="658">
          <cell r="B658" t="str">
            <v>NET PLANT</v>
          </cell>
          <cell r="C658">
            <v>4898128.8900000006</v>
          </cell>
          <cell r="D658">
            <v>-452173.94999999995</v>
          </cell>
          <cell r="E658">
            <v>4445954.9400000004</v>
          </cell>
          <cell r="F658">
            <v>1.1017045732811679</v>
          </cell>
          <cell r="G658">
            <v>-0.10170457328116778</v>
          </cell>
          <cell r="H658">
            <v>1</v>
          </cell>
        </row>
        <row r="659">
          <cell r="B659" t="str">
            <v>DEFERRED MAINTENANCE</v>
          </cell>
          <cell r="C659">
            <v>125482.56</v>
          </cell>
          <cell r="D659">
            <v>0</v>
          </cell>
          <cell r="E659">
            <v>125482.56</v>
          </cell>
          <cell r="F659">
            <v>1</v>
          </cell>
          <cell r="G659">
            <v>0</v>
          </cell>
          <cell r="H659">
            <v>1</v>
          </cell>
        </row>
        <row r="660">
          <cell r="B660" t="str">
            <v>CIAC</v>
          </cell>
          <cell r="C660">
            <v>-68702.05</v>
          </cell>
          <cell r="D660">
            <v>0</v>
          </cell>
          <cell r="E660">
            <v>-68702.05</v>
          </cell>
          <cell r="F660">
            <v>1</v>
          </cell>
          <cell r="G660">
            <v>0</v>
          </cell>
          <cell r="H660">
            <v>1</v>
          </cell>
        </row>
        <row r="661">
          <cell r="B661" t="str">
            <v>CAP STRUCTURE</v>
          </cell>
          <cell r="C661">
            <v>33123.9845027626</v>
          </cell>
          <cell r="D661">
            <v>562518.17549723748</v>
          </cell>
          <cell r="E661">
            <v>595642.16</v>
          </cell>
          <cell r="F661">
            <v>5.5610543925840639E-2</v>
          </cell>
          <cell r="G661">
            <v>0.94438945607415947</v>
          </cell>
          <cell r="H661">
            <v>1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</sheetData>
      <sheetData sheetId="3"/>
      <sheetData sheetId="4">
        <row r="8">
          <cell r="N8">
            <v>2497595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  <sheetName val="Schedule D"/>
      <sheetName val="5-8&quot; W C"/>
      <sheetName val="5-8&quot; W C E14"/>
      <sheetName val="5-8&quot; W-R Com"/>
      <sheetName val="5-8&quot; W-R Com E14"/>
      <sheetName val="5-8&quot; W R"/>
      <sheetName val="5-8&quot; W R E14"/>
      <sheetName val="5-8&quot; ResCom"/>
      <sheetName val="5-8&quot; ResCom E14"/>
      <sheetName val="5-8&quot; W Gov"/>
      <sheetName val="5-8&quot; W Gov E14"/>
      <sheetName val="5-8&quot; W Ind"/>
      <sheetName val="5-8&quot; W Ind E14"/>
      <sheetName val="3-4&quot; W C"/>
      <sheetName val="3-4&quot; W C E14"/>
      <sheetName val="1&quot; W C"/>
      <sheetName val="1&quot; W C E14"/>
      <sheetName val="1&quot; W ResCom"/>
      <sheetName val="1&quot; W ResCom E14"/>
      <sheetName val="1&quot; W Gov"/>
      <sheetName val="1&quot; W Gov E14"/>
      <sheetName val="1&quot; W Ind"/>
      <sheetName val="1&quot; W Ind E14"/>
      <sheetName val="1&quot; W R"/>
      <sheetName val="1&quot; W R E14"/>
      <sheetName val="1.5&quot; W C"/>
      <sheetName val="1.5&quot; W C E14"/>
      <sheetName val="1.5&quot; W Gov"/>
      <sheetName val="1.5&quot; W Gov E14"/>
      <sheetName val="1.5&quot; W Ind"/>
      <sheetName val="1.5&quot; W Ind E14"/>
      <sheetName val="2&quot; W C"/>
      <sheetName val="2&quot; W C E14"/>
      <sheetName val="2&quot; W Ind 2"/>
      <sheetName val="2&quot; W Ind 2 E14"/>
      <sheetName val="2&quot; W Ind"/>
      <sheetName val="2&quot; W Ind E14"/>
      <sheetName val="2&quot; W Gov"/>
      <sheetName val="2&quot; W Gov E14"/>
      <sheetName val="3&quot; W C"/>
      <sheetName val="3&quot; W C E14"/>
      <sheetName val="3&quot; W Ind"/>
      <sheetName val="3&quot; W Ind E14"/>
      <sheetName val="3&quot; W Pine"/>
      <sheetName val="3&quot; W Pine E14"/>
      <sheetName val="3&quot; W Gov"/>
      <sheetName val="3&quot; W Gov E14"/>
      <sheetName val="4&quot; W C"/>
      <sheetName val="4&quot; W C E14"/>
      <sheetName val="4&quot; W Gov"/>
      <sheetName val="4&quot; W Gov E14"/>
      <sheetName val="4&quot; W Ind"/>
      <sheetName val="4&quot; W Ind E14"/>
      <sheetName val="6&quot; W C"/>
      <sheetName val="6&quot; W C E14"/>
      <sheetName val="6&quot; W Ind"/>
      <sheetName val="6&quot; W Ind E14"/>
    </sheetNames>
    <sheetDataSet>
      <sheetData sheetId="0"/>
      <sheetData sheetId="1"/>
      <sheetData sheetId="2"/>
      <sheetData sheetId="3">
        <row r="2">
          <cell r="S2">
            <v>8.9600000000000009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102">
          <cell r="I102">
            <v>25629000</v>
          </cell>
        </row>
        <row r="106">
          <cell r="S106">
            <v>6298.9999999999918</v>
          </cell>
          <cell r="V106">
            <v>12803.999999999998</v>
          </cell>
          <cell r="W106">
            <v>3968.0000000000055</v>
          </cell>
          <cell r="X106">
            <v>2280</v>
          </cell>
          <cell r="Y106">
            <v>1588.9999999999998</v>
          </cell>
          <cell r="Z106">
            <v>267</v>
          </cell>
        </row>
      </sheetData>
      <sheetData sheetId="4"/>
      <sheetData sheetId="5">
        <row r="28">
          <cell r="I28">
            <v>413000</v>
          </cell>
        </row>
        <row r="32">
          <cell r="S32">
            <v>131</v>
          </cell>
          <cell r="V32">
            <v>279.00000000000006</v>
          </cell>
          <cell r="W32">
            <v>49</v>
          </cell>
        </row>
      </sheetData>
      <sheetData sheetId="6"/>
      <sheetData sheetId="7">
        <row r="2">
          <cell r="S2">
            <v>8.9600000000000009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95">
          <cell r="I95">
            <v>239739000</v>
          </cell>
        </row>
        <row r="99">
          <cell r="S99">
            <v>60521.999999999913</v>
          </cell>
          <cell r="V99">
            <v>167250.99999999985</v>
          </cell>
          <cell r="W99">
            <v>12428.999999999984</v>
          </cell>
          <cell r="X99">
            <v>2520</v>
          </cell>
          <cell r="Y99">
            <v>1104</v>
          </cell>
          <cell r="Z99">
            <v>508.99999999999994</v>
          </cell>
        </row>
      </sheetData>
      <sheetData sheetId="8"/>
      <sheetData sheetId="9">
        <row r="35">
          <cell r="I35">
            <v>658000</v>
          </cell>
        </row>
        <row r="39">
          <cell r="S39">
            <v>68.000000000000014</v>
          </cell>
          <cell r="V39">
            <v>359.00000000000006</v>
          </cell>
          <cell r="W39">
            <v>163.00000000000003</v>
          </cell>
          <cell r="X39">
            <v>64</v>
          </cell>
          <cell r="Y39">
            <v>14</v>
          </cell>
        </row>
      </sheetData>
      <sheetData sheetId="10"/>
      <sheetData sheetId="11">
        <row r="2">
          <cell r="S2">
            <v>8.9600000000000009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39">
          <cell r="I39">
            <v>1877000</v>
          </cell>
        </row>
        <row r="43">
          <cell r="S43">
            <v>160.00000000000011</v>
          </cell>
          <cell r="V43">
            <v>405.00000000000006</v>
          </cell>
          <cell r="W43">
            <v>291.00000000000006</v>
          </cell>
          <cell r="X43">
            <v>375</v>
          </cell>
          <cell r="Y43">
            <v>580</v>
          </cell>
          <cell r="Z43">
            <v>119</v>
          </cell>
        </row>
      </sheetData>
      <sheetData sheetId="12"/>
      <sheetData sheetId="13">
        <row r="2">
          <cell r="S2">
            <v>8.9600000000000009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37">
          <cell r="I37">
            <v>1414000</v>
          </cell>
        </row>
        <row r="41">
          <cell r="S41">
            <v>93.000000000000057</v>
          </cell>
          <cell r="V41">
            <v>317.00000000000006</v>
          </cell>
          <cell r="W41">
            <v>195.00000000000003</v>
          </cell>
          <cell r="X41">
            <v>300</v>
          </cell>
          <cell r="Y41">
            <v>430</v>
          </cell>
          <cell r="Z41">
            <v>91</v>
          </cell>
        </row>
      </sheetData>
      <sheetData sheetId="14"/>
      <sheetData sheetId="15">
        <row r="2">
          <cell r="S2">
            <v>8.9600000000000009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12">
          <cell r="I12">
            <v>144</v>
          </cell>
        </row>
        <row r="14">
          <cell r="S14">
            <v>12</v>
          </cell>
        </row>
      </sheetData>
      <sheetData sheetId="16"/>
      <sheetData sheetId="17">
        <row r="83">
          <cell r="I83">
            <v>12030000</v>
          </cell>
        </row>
        <row r="87">
          <cell r="S87">
            <v>802.00000000000034</v>
          </cell>
          <cell r="V87">
            <v>1687.9999999999984</v>
          </cell>
          <cell r="W87">
            <v>3720.0000000000014</v>
          </cell>
          <cell r="X87">
            <v>2213</v>
          </cell>
          <cell r="Y87">
            <v>597</v>
          </cell>
          <cell r="Z87">
            <v>17</v>
          </cell>
        </row>
      </sheetData>
      <sheetData sheetId="18"/>
      <sheetData sheetId="19">
        <row r="2">
          <cell r="S2">
            <v>26.97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21">
          <cell r="I21">
            <v>924000</v>
          </cell>
        </row>
        <row r="25">
          <cell r="S25">
            <v>12</v>
          </cell>
          <cell r="V25">
            <v>48</v>
          </cell>
          <cell r="W25">
            <v>180.00000000000006</v>
          </cell>
          <cell r="X25">
            <v>268.26923076923077</v>
          </cell>
          <cell r="Y25">
            <v>318</v>
          </cell>
          <cell r="Z25">
            <v>6</v>
          </cell>
        </row>
      </sheetData>
      <sheetData sheetId="20"/>
      <sheetData sheetId="21">
        <row r="2">
          <cell r="S2">
            <v>26.97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28">
          <cell r="I28">
            <v>541000</v>
          </cell>
        </row>
        <row r="32">
          <cell r="S32">
            <v>36.000000000000007</v>
          </cell>
          <cell r="V32">
            <v>92.999999999999986</v>
          </cell>
          <cell r="W32">
            <v>217.00000000000006</v>
          </cell>
          <cell r="X32">
            <v>50</v>
          </cell>
          <cell r="Y32">
            <v>0</v>
          </cell>
          <cell r="Z32">
            <v>0</v>
          </cell>
        </row>
      </sheetData>
      <sheetData sheetId="22"/>
      <sheetData sheetId="23">
        <row r="2">
          <cell r="S2">
            <v>26.97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17">
          <cell r="I17">
            <v>161000</v>
          </cell>
        </row>
        <row r="21">
          <cell r="S21">
            <v>12</v>
          </cell>
          <cell r="V21">
            <v>12</v>
          </cell>
          <cell r="W21">
            <v>37</v>
          </cell>
          <cell r="X21">
            <v>40</v>
          </cell>
          <cell r="Y21">
            <v>19</v>
          </cell>
        </row>
      </sheetData>
      <sheetData sheetId="24"/>
      <sheetData sheetId="25">
        <row r="2">
          <cell r="S2">
            <v>26.97</v>
          </cell>
        </row>
        <row r="4">
          <cell r="S4">
            <v>3.61</v>
          </cell>
        </row>
        <row r="5">
          <cell r="S5">
            <v>3.29</v>
          </cell>
        </row>
        <row r="6">
          <cell r="S6">
            <v>3.12</v>
          </cell>
        </row>
        <row r="7">
          <cell r="S7">
            <v>2.79</v>
          </cell>
        </row>
        <row r="8">
          <cell r="S8">
            <v>2.5499999999999998</v>
          </cell>
        </row>
        <row r="45">
          <cell r="I45">
            <v>3118000</v>
          </cell>
        </row>
        <row r="49">
          <cell r="S49">
            <v>276.00000000000006</v>
          </cell>
          <cell r="V49">
            <v>404.00000000000023</v>
          </cell>
          <cell r="W49">
            <v>424.99999999999983</v>
          </cell>
          <cell r="X49">
            <v>209</v>
          </cell>
          <cell r="Y49">
            <v>232.99999999999997</v>
          </cell>
          <cell r="Z49">
            <v>643</v>
          </cell>
        </row>
      </sheetData>
      <sheetData sheetId="26"/>
      <sheetData sheetId="27">
        <row r="2">
          <cell r="S2">
            <v>51.22</v>
          </cell>
        </row>
        <row r="4">
          <cell r="S4">
            <v>3.29</v>
          </cell>
        </row>
        <row r="5">
          <cell r="S5">
            <v>3.12</v>
          </cell>
        </row>
        <row r="6">
          <cell r="S6">
            <v>2.79</v>
          </cell>
        </row>
        <row r="7">
          <cell r="S7">
            <v>2.5499999999999998</v>
          </cell>
        </row>
        <row r="100">
          <cell r="I100">
            <v>8956000</v>
          </cell>
        </row>
        <row r="104">
          <cell r="S104">
            <v>210.99999999999972</v>
          </cell>
          <cell r="V104">
            <v>1431.9999999999986</v>
          </cell>
          <cell r="W104">
            <v>2460</v>
          </cell>
          <cell r="X104">
            <v>1986.0000000000002</v>
          </cell>
          <cell r="Y104">
            <v>1088</v>
          </cell>
        </row>
      </sheetData>
      <sheetData sheetId="28"/>
      <sheetData sheetId="29">
        <row r="2">
          <cell r="S2">
            <v>51.22</v>
          </cell>
        </row>
        <row r="4">
          <cell r="S4">
            <v>3.29</v>
          </cell>
        </row>
        <row r="5">
          <cell r="S5">
            <v>3.12</v>
          </cell>
        </row>
        <row r="6">
          <cell r="S6">
            <v>2.79</v>
          </cell>
        </row>
        <row r="7">
          <cell r="S7">
            <v>2.5499999999999998</v>
          </cell>
        </row>
        <row r="50">
          <cell r="I50">
            <v>2887000</v>
          </cell>
        </row>
        <row r="54">
          <cell r="S54">
            <v>59.999999999999936</v>
          </cell>
          <cell r="V54">
            <v>344.00000000000011</v>
          </cell>
          <cell r="W54">
            <v>602</v>
          </cell>
          <cell r="X54">
            <v>553</v>
          </cell>
          <cell r="Y54">
            <v>911</v>
          </cell>
        </row>
      </sheetData>
      <sheetData sheetId="30"/>
      <sheetData sheetId="31">
        <row r="2">
          <cell r="S2">
            <v>51.22</v>
          </cell>
        </row>
        <row r="4">
          <cell r="S4">
            <v>3.29</v>
          </cell>
        </row>
        <row r="5">
          <cell r="S5">
            <v>3.12</v>
          </cell>
        </row>
        <row r="6">
          <cell r="S6">
            <v>2.79</v>
          </cell>
        </row>
        <row r="7">
          <cell r="S7">
            <v>2.5499999999999998</v>
          </cell>
        </row>
        <row r="30">
          <cell r="I30">
            <v>1187000</v>
          </cell>
        </row>
        <row r="34">
          <cell r="S34">
            <v>24.000000000000007</v>
          </cell>
          <cell r="V34">
            <v>267.00000000000011</v>
          </cell>
          <cell r="W34">
            <v>385</v>
          </cell>
          <cell r="X34">
            <v>170</v>
          </cell>
          <cell r="Y34">
            <v>56</v>
          </cell>
        </row>
      </sheetData>
      <sheetData sheetId="32"/>
      <sheetData sheetId="33">
        <row r="2">
          <cell r="S2">
            <v>78.8</v>
          </cell>
        </row>
        <row r="4">
          <cell r="S4">
            <v>3.29</v>
          </cell>
        </row>
        <row r="5">
          <cell r="S5">
            <v>3.12</v>
          </cell>
        </row>
        <row r="6">
          <cell r="S6">
            <v>2.79</v>
          </cell>
        </row>
        <row r="7">
          <cell r="S7">
            <v>2.5499999999999998</v>
          </cell>
        </row>
        <row r="152">
          <cell r="I152">
            <v>26670000</v>
          </cell>
        </row>
        <row r="156">
          <cell r="S156">
            <v>344.99999999999898</v>
          </cell>
          <cell r="V156">
            <v>791.99999999999898</v>
          </cell>
          <cell r="W156">
            <v>3752</v>
          </cell>
          <cell r="X156">
            <v>5230</v>
          </cell>
          <cell r="Y156">
            <v>11395.999999999998</v>
          </cell>
        </row>
      </sheetData>
      <sheetData sheetId="34"/>
      <sheetData sheetId="35">
        <row r="16">
          <cell r="I16">
            <v>25000</v>
          </cell>
        </row>
        <row r="20">
          <cell r="S20">
            <v>12</v>
          </cell>
        </row>
      </sheetData>
      <sheetData sheetId="36"/>
      <sheetData sheetId="37">
        <row r="2">
          <cell r="S2">
            <v>78.8</v>
          </cell>
        </row>
        <row r="4">
          <cell r="S4">
            <v>3.29</v>
          </cell>
        </row>
        <row r="5">
          <cell r="S5">
            <v>3.12</v>
          </cell>
        </row>
        <row r="6">
          <cell r="S6">
            <v>2.79</v>
          </cell>
        </row>
        <row r="7">
          <cell r="S7">
            <v>2.5499999999999998</v>
          </cell>
        </row>
        <row r="28">
          <cell r="I28">
            <v>810000</v>
          </cell>
        </row>
        <row r="32">
          <cell r="S32">
            <v>36.000000000000021</v>
          </cell>
          <cell r="V32">
            <v>42.999999999999993</v>
          </cell>
          <cell r="W32">
            <v>212</v>
          </cell>
          <cell r="X32">
            <v>238</v>
          </cell>
          <cell r="Y32">
            <v>8</v>
          </cell>
        </row>
      </sheetData>
      <sheetData sheetId="38"/>
      <sheetData sheetId="39">
        <row r="2">
          <cell r="S2">
            <v>78.8</v>
          </cell>
        </row>
        <row r="4">
          <cell r="S4">
            <v>3.29</v>
          </cell>
        </row>
        <row r="5">
          <cell r="S5">
            <v>3.12</v>
          </cell>
        </row>
        <row r="6">
          <cell r="S6">
            <v>2.79</v>
          </cell>
        </row>
        <row r="7">
          <cell r="S7">
            <v>2.5499999999999998</v>
          </cell>
        </row>
        <row r="83">
          <cell r="I83">
            <v>6537000</v>
          </cell>
        </row>
        <row r="87">
          <cell r="S87">
            <v>191.99999999999963</v>
          </cell>
          <cell r="V87">
            <v>292.99999999999994</v>
          </cell>
          <cell r="W87">
            <v>1521</v>
          </cell>
          <cell r="X87">
            <v>1595.0000000000005</v>
          </cell>
          <cell r="Y87">
            <v>1019</v>
          </cell>
        </row>
      </sheetData>
      <sheetData sheetId="40"/>
      <sheetData sheetId="41">
        <row r="2">
          <cell r="S2">
            <v>220.05</v>
          </cell>
        </row>
        <row r="4">
          <cell r="S4">
            <v>2.79</v>
          </cell>
        </row>
        <row r="5">
          <cell r="S5">
            <v>2.5499999999999998</v>
          </cell>
        </row>
        <row r="39">
          <cell r="I39">
            <v>4137000</v>
          </cell>
        </row>
        <row r="43">
          <cell r="S43">
            <v>36.000000000000021</v>
          </cell>
          <cell r="V43">
            <v>768.00000000000011</v>
          </cell>
          <cell r="W43">
            <v>1480.9999999999998</v>
          </cell>
        </row>
      </sheetData>
      <sheetData sheetId="42"/>
      <sheetData sheetId="43">
        <row r="2">
          <cell r="S2">
            <v>220.05</v>
          </cell>
        </row>
        <row r="4">
          <cell r="S4">
            <v>2.79</v>
          </cell>
        </row>
        <row r="5">
          <cell r="S5">
            <v>2.5499999999999998</v>
          </cell>
        </row>
        <row r="23">
          <cell r="I23">
            <v>8953000</v>
          </cell>
        </row>
        <row r="27">
          <cell r="S27">
            <v>12.000000000000002</v>
          </cell>
          <cell r="V27">
            <v>383.99999999999994</v>
          </cell>
          <cell r="W27">
            <v>7753</v>
          </cell>
        </row>
      </sheetData>
      <sheetData sheetId="44"/>
      <sheetData sheetId="45">
        <row r="13">
          <cell r="I13">
            <v>7559000</v>
          </cell>
        </row>
        <row r="17">
          <cell r="S17">
            <v>2</v>
          </cell>
          <cell r="V17">
            <v>64</v>
          </cell>
          <cell r="W17">
            <v>7358.9999999999991</v>
          </cell>
        </row>
      </sheetData>
      <sheetData sheetId="46"/>
      <sheetData sheetId="47">
        <row r="2">
          <cell r="S2">
            <v>220.05</v>
          </cell>
        </row>
        <row r="4">
          <cell r="S4">
            <v>2.79</v>
          </cell>
        </row>
        <row r="5">
          <cell r="S5">
            <v>2.5499999999999998</v>
          </cell>
        </row>
        <row r="37">
          <cell r="I37">
            <v>4067000</v>
          </cell>
        </row>
        <row r="41">
          <cell r="S41">
            <v>47.999999999999972</v>
          </cell>
          <cell r="V41">
            <v>383.99999999999994</v>
          </cell>
          <cell r="W41">
            <v>2600</v>
          </cell>
        </row>
      </sheetData>
      <sheetData sheetId="48"/>
      <sheetData sheetId="49">
        <row r="2">
          <cell r="S2">
            <v>378.43</v>
          </cell>
        </row>
        <row r="4">
          <cell r="S4">
            <v>2.5499999999999998</v>
          </cell>
        </row>
        <row r="22">
          <cell r="I22">
            <v>1930000</v>
          </cell>
        </row>
        <row r="26">
          <cell r="S26">
            <v>12</v>
          </cell>
          <cell r="V26">
            <v>438</v>
          </cell>
        </row>
      </sheetData>
      <sheetData sheetId="50"/>
      <sheetData sheetId="51">
        <row r="2">
          <cell r="S2">
            <v>378.43</v>
          </cell>
        </row>
        <row r="4">
          <cell r="S4">
            <v>2.5499999999999998</v>
          </cell>
        </row>
        <row r="20">
          <cell r="I20">
            <v>373000</v>
          </cell>
        </row>
        <row r="24">
          <cell r="S24">
            <v>12</v>
          </cell>
        </row>
      </sheetData>
      <sheetData sheetId="52"/>
      <sheetData sheetId="53">
        <row r="2">
          <cell r="S2">
            <v>378.43</v>
          </cell>
        </row>
        <row r="4">
          <cell r="S4">
            <v>2.5499999999999998</v>
          </cell>
        </row>
        <row r="23">
          <cell r="I23">
            <v>1258000</v>
          </cell>
        </row>
        <row r="27">
          <cell r="S27">
            <v>12</v>
          </cell>
          <cell r="V27">
            <v>20</v>
          </cell>
        </row>
      </sheetData>
      <sheetData sheetId="54"/>
      <sheetData sheetId="55">
        <row r="2">
          <cell r="S2">
            <v>771.41</v>
          </cell>
        </row>
        <row r="4">
          <cell r="S4">
            <v>2.5499999999999998</v>
          </cell>
        </row>
        <row r="30">
          <cell r="I30">
            <v>1809000</v>
          </cell>
        </row>
        <row r="34">
          <cell r="S34">
            <v>24</v>
          </cell>
        </row>
      </sheetData>
      <sheetData sheetId="56"/>
      <sheetData sheetId="57">
        <row r="2">
          <cell r="S2">
            <v>771.41</v>
          </cell>
        </row>
        <row r="4">
          <cell r="S4">
            <v>2.5499999999999998</v>
          </cell>
        </row>
        <row r="23">
          <cell r="I23">
            <v>40289000</v>
          </cell>
        </row>
        <row r="27">
          <cell r="S27">
            <v>12</v>
          </cell>
          <cell r="V27">
            <v>36911.000000000007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16"/>
      <sheetName val="17"/>
      <sheetName val="5-8&quot; W Coml"/>
      <sheetName val="5-8&quot; W Coml E14"/>
      <sheetName val="5-8&quot; W Gov"/>
      <sheetName val="5-8&quot; W Gov E14"/>
      <sheetName val="5-8&quot; W Res"/>
      <sheetName val="5-8&quot; W Res E14"/>
      <sheetName val="3-4&quot; W Coml"/>
      <sheetName val="3-4&quot; W Coml E14"/>
      <sheetName val="3-4&quot; W ResCom"/>
      <sheetName val="3-4&quot; W ResCom E14"/>
      <sheetName val="3-4&quot; W Gov"/>
      <sheetName val="3-4&quot; W Gov E14"/>
      <sheetName val="3-4&quot; W Res"/>
      <sheetName val="3-4&quot; W Res E14"/>
      <sheetName val="1&quot; W Coml"/>
      <sheetName val="1&quot; W Coml E14"/>
      <sheetName val="1&quot; W Gov"/>
      <sheetName val="1&quot; W Gov E14"/>
      <sheetName val="1&quot; W MR"/>
      <sheetName val="1&quot; W MR E14"/>
      <sheetName val="1.5&quot; W Coml"/>
      <sheetName val="1.5&quot; W Coml E14"/>
      <sheetName val="1.5&quot; W Gov"/>
      <sheetName val="1.5&quot; W Gov E14"/>
      <sheetName val="2&quot; W Coml"/>
      <sheetName val="2&quot; W Coml E14"/>
      <sheetName val="2&quot; W Gov"/>
      <sheetName val="2&quot; W Gov E14"/>
      <sheetName val="2&quot; W MR"/>
      <sheetName val="2&quot; W MR E14"/>
    </sheetNames>
    <sheetDataSet>
      <sheetData sheetId="0"/>
      <sheetData sheetId="1"/>
      <sheetData sheetId="2"/>
      <sheetData sheetId="3"/>
      <sheetData sheetId="4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21">
          <cell r="I21">
            <v>254000</v>
          </cell>
        </row>
        <row r="25">
          <cell r="S25">
            <v>48</v>
          </cell>
          <cell r="V25">
            <v>185.99999999999997</v>
          </cell>
          <cell r="W25">
            <v>20</v>
          </cell>
        </row>
      </sheetData>
      <sheetData sheetId="5"/>
      <sheetData sheetId="6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15">
          <cell r="I15">
            <v>321000</v>
          </cell>
        </row>
        <row r="19">
          <cell r="S19">
            <v>114.99999999999999</v>
          </cell>
          <cell r="V19">
            <v>209.00000000000003</v>
          </cell>
        </row>
      </sheetData>
      <sheetData sheetId="7"/>
      <sheetData sheetId="8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23">
          <cell r="I23">
            <v>836000</v>
          </cell>
        </row>
        <row r="27">
          <cell r="S27">
            <v>227.99999999999994</v>
          </cell>
          <cell r="V27">
            <v>591</v>
          </cell>
          <cell r="W27">
            <v>17</v>
          </cell>
          <cell r="X27">
            <v>3</v>
          </cell>
        </row>
      </sheetData>
      <sheetData sheetId="9"/>
      <sheetData sheetId="10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44">
          <cell r="I44">
            <v>2204000</v>
          </cell>
        </row>
        <row r="48">
          <cell r="S48">
            <v>702.99999999999966</v>
          </cell>
          <cell r="V48">
            <v>1205</v>
          </cell>
          <cell r="W48">
            <v>426.00000000000006</v>
          </cell>
          <cell r="X48">
            <v>129.99999999999997</v>
          </cell>
        </row>
      </sheetData>
      <sheetData sheetId="11"/>
      <sheetData sheetId="12">
        <row r="15">
          <cell r="I15">
            <v>2740000</v>
          </cell>
        </row>
        <row r="19">
          <cell r="S19">
            <v>541</v>
          </cell>
          <cell r="V19">
            <v>1419</v>
          </cell>
        </row>
      </sheetData>
      <sheetData sheetId="13"/>
      <sheetData sheetId="14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22">
          <cell r="I22">
            <v>198000</v>
          </cell>
        </row>
        <row r="26">
          <cell r="S26">
            <v>97.000000000000014</v>
          </cell>
          <cell r="V26">
            <v>130</v>
          </cell>
          <cell r="W26">
            <v>13</v>
          </cell>
        </row>
      </sheetData>
      <sheetData sheetId="15"/>
      <sheetData sheetId="16">
        <row r="2">
          <cell r="S2">
            <v>11.99</v>
          </cell>
        </row>
        <row r="4">
          <cell r="S4">
            <v>6.79</v>
          </cell>
        </row>
        <row r="5">
          <cell r="S5">
            <v>6.23</v>
          </cell>
        </row>
        <row r="6">
          <cell r="S6">
            <v>5.68</v>
          </cell>
        </row>
        <row r="7">
          <cell r="S7">
            <v>5.04</v>
          </cell>
        </row>
        <row r="8">
          <cell r="S8">
            <v>4.4000000000000004</v>
          </cell>
        </row>
        <row r="50">
          <cell r="I50">
            <v>19446000</v>
          </cell>
        </row>
        <row r="54">
          <cell r="S54">
            <v>5797.0000000000045</v>
          </cell>
          <cell r="V54">
            <v>12932.000000000004</v>
          </cell>
          <cell r="W54">
            <v>773.99999999999977</v>
          </cell>
          <cell r="X54">
            <v>250</v>
          </cell>
          <cell r="Y54">
            <v>177</v>
          </cell>
          <cell r="Z54">
            <v>41</v>
          </cell>
        </row>
      </sheetData>
      <sheetData sheetId="17"/>
      <sheetData sheetId="18">
        <row r="1">
          <cell r="S1">
            <v>41.19</v>
          </cell>
        </row>
        <row r="3">
          <cell r="S3">
            <v>6.79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6">
          <cell r="I26">
            <v>379000</v>
          </cell>
        </row>
        <row r="30">
          <cell r="S30">
            <v>36.000000000000014</v>
          </cell>
          <cell r="V30">
            <v>48.999999999999986</v>
          </cell>
          <cell r="W30">
            <v>102</v>
          </cell>
          <cell r="X30">
            <v>89</v>
          </cell>
          <cell r="Y30">
            <v>21</v>
          </cell>
        </row>
      </sheetData>
      <sheetData sheetId="19"/>
      <sheetData sheetId="20">
        <row r="1">
          <cell r="S1">
            <v>41.19</v>
          </cell>
        </row>
        <row r="3">
          <cell r="S3">
            <v>6.79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2">
          <cell r="I22">
            <v>211000</v>
          </cell>
        </row>
        <row r="26">
          <cell r="S26">
            <v>36.000000000000007</v>
          </cell>
          <cell r="V26">
            <v>58</v>
          </cell>
          <cell r="W26">
            <v>41.999999999999993</v>
          </cell>
        </row>
      </sheetData>
      <sheetData sheetId="21"/>
      <sheetData sheetId="22">
        <row r="1">
          <cell r="S1">
            <v>41.19</v>
          </cell>
        </row>
        <row r="3">
          <cell r="S3">
            <v>6.79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38">
          <cell r="I38">
            <v>1234000</v>
          </cell>
        </row>
        <row r="42">
          <cell r="S42">
            <v>84.000000000000014</v>
          </cell>
          <cell r="V42">
            <v>589</v>
          </cell>
          <cell r="W42">
            <v>329</v>
          </cell>
          <cell r="X42">
            <v>104.00000000000001</v>
          </cell>
          <cell r="Y42">
            <v>53</v>
          </cell>
        </row>
      </sheetData>
      <sheetData sheetId="23"/>
      <sheetData sheetId="24">
        <row r="2">
          <cell r="S2">
            <v>80.59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3">
          <cell r="I23">
            <v>199000</v>
          </cell>
        </row>
        <row r="27">
          <cell r="S27">
            <v>23.999999999999993</v>
          </cell>
          <cell r="V27">
            <v>36</v>
          </cell>
          <cell r="W27">
            <v>25</v>
          </cell>
          <cell r="X27">
            <v>6</v>
          </cell>
        </row>
      </sheetData>
      <sheetData sheetId="25"/>
      <sheetData sheetId="26">
        <row r="2">
          <cell r="S2">
            <v>80.59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4">
          <cell r="I24">
            <v>1761000</v>
          </cell>
        </row>
        <row r="28">
          <cell r="S28">
            <v>23.999999999999993</v>
          </cell>
          <cell r="V28">
            <v>168</v>
          </cell>
          <cell r="W28">
            <v>300</v>
          </cell>
          <cell r="X28">
            <v>600</v>
          </cell>
          <cell r="Y28">
            <v>530.00000000000011</v>
          </cell>
        </row>
      </sheetData>
      <sheetData sheetId="27"/>
      <sheetData sheetId="28">
        <row r="2">
          <cell r="S2">
            <v>120.48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6">
          <cell r="I26">
            <v>1471000</v>
          </cell>
        </row>
        <row r="30">
          <cell r="S30">
            <v>16</v>
          </cell>
          <cell r="V30">
            <v>72</v>
          </cell>
          <cell r="W30">
            <v>225</v>
          </cell>
          <cell r="X30">
            <v>319</v>
          </cell>
          <cell r="Y30">
            <v>649</v>
          </cell>
        </row>
      </sheetData>
      <sheetData sheetId="29"/>
      <sheetData sheetId="30">
        <row r="2">
          <cell r="S2">
            <v>120.48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52">
          <cell r="I52">
            <v>4157000</v>
          </cell>
        </row>
        <row r="56">
          <cell r="S56">
            <v>59.999999999999915</v>
          </cell>
          <cell r="V56">
            <v>287.99999999999989</v>
          </cell>
          <cell r="W56">
            <v>846</v>
          </cell>
          <cell r="X56">
            <v>1395</v>
          </cell>
          <cell r="Y56">
            <v>947.00000000000023</v>
          </cell>
        </row>
      </sheetData>
      <sheetData sheetId="31"/>
      <sheetData sheetId="32">
        <row r="2">
          <cell r="S2">
            <v>120.48</v>
          </cell>
        </row>
        <row r="4">
          <cell r="S4">
            <v>6.23</v>
          </cell>
        </row>
        <row r="5">
          <cell r="S5">
            <v>5.68</v>
          </cell>
        </row>
        <row r="6">
          <cell r="S6">
            <v>5.04</v>
          </cell>
        </row>
        <row r="7">
          <cell r="S7">
            <v>4.4000000000000004</v>
          </cell>
        </row>
        <row r="20">
          <cell r="I20">
            <v>304000</v>
          </cell>
        </row>
        <row r="24">
          <cell r="S24">
            <v>12</v>
          </cell>
          <cell r="V24">
            <v>72</v>
          </cell>
          <cell r="W24">
            <v>29.999999999999996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12.31.11 ERC avail adjust  "/>
      <sheetName val="Control Panel"/>
      <sheetName val="Sheet1"/>
      <sheetName val="COPY ELECTRONIC TB HERE"/>
      <sheetName val="Linked TB"/>
      <sheetName val="Sch.A-B.S"/>
      <sheetName val="wp-f-depr"/>
      <sheetName val="Sch.B-I.S"/>
      <sheetName val="Sch.C-R.B"/>
      <sheetName val="Sch.D&amp;E-REV"/>
      <sheetName val="xxxRate-Rev Comp"/>
      <sheetName val="Consumption Data"/>
      <sheetName val="wp-appendix"/>
      <sheetName val="wp.a-uncoll"/>
      <sheetName val="Wp-b Salary"/>
      <sheetName val="wp-b1 Allocation of Staff"/>
      <sheetName val="Wp-b Salary Captime"/>
      <sheetName val="wp-b3 Calc of Health and Other "/>
      <sheetName val="wp-b4 office salaries"/>
      <sheetName val="WSC Salaries"/>
      <sheetName val="wp-c-def charges"/>
      <sheetName val="wp-c2-calc of def charges"/>
      <sheetName val="wp-c3-acc def inc taxes"/>
      <sheetName val="wp-c3a-adj acc def inc taxes"/>
      <sheetName val="wp-c3d-diff between tax and boo"/>
      <sheetName val="wp-d-rc.exp"/>
      <sheetName val="wp-e-toi"/>
      <sheetName val="wp-g-inc.tx"/>
      <sheetName val="WP g-2 Calculation of DPFD %"/>
      <sheetName val="WP g-3 Calculation of DPFD"/>
      <sheetName val="wp.h-cap.struc"/>
      <sheetName val="wp-i-wc1"/>
      <sheetName val="wp-i-wc2"/>
      <sheetName val="wp-j-pf.plant"/>
      <sheetName val="wp k Water Ex. Cap."/>
      <sheetName val="wp-l-GL additions"/>
      <sheetName val="wp-m-penalties"/>
      <sheetName val="wp-n-CPI"/>
      <sheetName val="Wp-o-repression adjustment"/>
      <sheetName val="wp-p1 Allocation of Expenses"/>
      <sheetName val="Wp-p1 foot notes"/>
      <sheetName val="wp-p1a Allocation of Rate base"/>
      <sheetName val="wp-p1a foot notes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Fairfield Harbour Bill Sheet"/>
      <sheetName val="wp-r  Insurance"/>
      <sheetName val="Sheet2"/>
    </sheetNames>
    <sheetDataSet>
      <sheetData sheetId="0">
        <row r="3">
          <cell r="C3" t="str">
            <v>CWS Systems</v>
          </cell>
        </row>
        <row r="5">
          <cell r="C5" t="str">
            <v>Fairfield Harbour</v>
          </cell>
        </row>
        <row r="7">
          <cell r="C7" t="str">
            <v>W-778, Sub 89</v>
          </cell>
        </row>
        <row r="9">
          <cell r="C9">
            <v>40908</v>
          </cell>
        </row>
        <row r="13">
          <cell r="C13">
            <v>2021.1999999999998</v>
          </cell>
          <cell r="D13">
            <v>0.50711929045450554</v>
          </cell>
        </row>
        <row r="14">
          <cell r="C14">
            <v>1964.4499999999998</v>
          </cell>
          <cell r="D14">
            <v>0.49288070954549446</v>
          </cell>
        </row>
        <row r="15">
          <cell r="C15">
            <v>3985.6499999999996</v>
          </cell>
        </row>
        <row r="18">
          <cell r="D18">
            <v>1.5483715923995551E-2</v>
          </cell>
        </row>
        <row r="19">
          <cell r="D19">
            <v>4.0121486368871848E-2</v>
          </cell>
        </row>
        <row r="20">
          <cell r="D20">
            <v>5.9637350324936889E-2</v>
          </cell>
        </row>
        <row r="21">
          <cell r="D21">
            <v>8.0576473606461571E-2</v>
          </cell>
        </row>
        <row r="29">
          <cell r="C29">
            <v>1.8499999999999999E-2</v>
          </cell>
          <cell r="D29">
            <v>1.6299999999999999E-2</v>
          </cell>
        </row>
        <row r="30">
          <cell r="C30">
            <v>0.125</v>
          </cell>
        </row>
        <row r="31">
          <cell r="C31">
            <v>0.25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1020</v>
          </cell>
          <cell r="B2" t="str">
            <v xml:space="preserve">     ORGANIZATION</v>
          </cell>
          <cell r="L2">
            <v>0</v>
          </cell>
        </row>
        <row r="3">
          <cell r="A3">
            <v>1025</v>
          </cell>
          <cell r="B3" t="str">
            <v xml:space="preserve">     FRANCHISES</v>
          </cell>
          <cell r="L3">
            <v>0</v>
          </cell>
        </row>
        <row r="4">
          <cell r="A4">
            <v>1030</v>
          </cell>
          <cell r="B4" t="str">
            <v xml:space="preserve">     LAND &amp; LAND RIGHTS PUMP</v>
          </cell>
          <cell r="L4">
            <v>0</v>
          </cell>
        </row>
        <row r="5">
          <cell r="A5">
            <v>1035</v>
          </cell>
          <cell r="B5" t="str">
            <v xml:space="preserve">     LAND &amp; LAND RIGHTS WTR TR</v>
          </cell>
          <cell r="L5">
            <v>0</v>
          </cell>
        </row>
        <row r="6">
          <cell r="A6">
            <v>1040</v>
          </cell>
          <cell r="B6" t="str">
            <v xml:space="preserve">     LAND &amp; LAND RIGHTS TRANS</v>
          </cell>
          <cell r="L6">
            <v>0</v>
          </cell>
        </row>
        <row r="7">
          <cell r="A7">
            <v>1045</v>
          </cell>
          <cell r="B7" t="str">
            <v xml:space="preserve">     LAND &amp; LAND RIGHTS GEN PL</v>
          </cell>
          <cell r="L7">
            <v>0</v>
          </cell>
        </row>
        <row r="8">
          <cell r="A8">
            <v>1050</v>
          </cell>
          <cell r="B8" t="str">
            <v xml:space="preserve">     STRUCT &amp; IMPRV SRC SUPPLY</v>
          </cell>
          <cell r="L8">
            <v>0</v>
          </cell>
        </row>
        <row r="9">
          <cell r="A9">
            <v>1055</v>
          </cell>
          <cell r="B9" t="str">
            <v xml:space="preserve">     STRUCT &amp; IMPRV WTR TRT PL</v>
          </cell>
          <cell r="L9">
            <v>0</v>
          </cell>
        </row>
        <row r="10">
          <cell r="A10">
            <v>1060</v>
          </cell>
          <cell r="B10" t="str">
            <v xml:space="preserve">     STRUCT &amp; IMPRV TRANS DIST</v>
          </cell>
          <cell r="L10">
            <v>0</v>
          </cell>
        </row>
        <row r="11">
          <cell r="A11">
            <v>1065</v>
          </cell>
          <cell r="B11" t="str">
            <v xml:space="preserve">     STRUCT &amp; IMPRV GEN PLT</v>
          </cell>
          <cell r="L11">
            <v>0</v>
          </cell>
        </row>
        <row r="12">
          <cell r="A12">
            <v>1080</v>
          </cell>
          <cell r="B12" t="str">
            <v xml:space="preserve">     WELLS &amp; SPRINGS</v>
          </cell>
          <cell r="L12">
            <v>0</v>
          </cell>
        </row>
        <row r="13">
          <cell r="A13">
            <v>1085</v>
          </cell>
          <cell r="B13" t="str">
            <v xml:space="preserve">     INFILTRATION GALLERY</v>
          </cell>
          <cell r="L13">
            <v>0</v>
          </cell>
        </row>
        <row r="14">
          <cell r="A14">
            <v>1090</v>
          </cell>
          <cell r="B14" t="str">
            <v xml:space="preserve">     SUPPLY MAINS</v>
          </cell>
          <cell r="L14">
            <v>0</v>
          </cell>
        </row>
        <row r="15">
          <cell r="A15">
            <v>1095</v>
          </cell>
          <cell r="B15" t="str">
            <v xml:space="preserve">     POWER GENERATION EQUIP</v>
          </cell>
          <cell r="L15">
            <v>0</v>
          </cell>
        </row>
        <row r="16">
          <cell r="A16">
            <v>1100</v>
          </cell>
          <cell r="B16" t="str">
            <v xml:space="preserve">     ELECTRIC PUMP EQUIP SRC P</v>
          </cell>
          <cell r="L16">
            <v>0</v>
          </cell>
        </row>
        <row r="17">
          <cell r="A17">
            <v>1105</v>
          </cell>
          <cell r="B17" t="str">
            <v xml:space="preserve">     ELECTRIC PUMP EQUIP WTP</v>
          </cell>
          <cell r="L17">
            <v>0</v>
          </cell>
        </row>
        <row r="18">
          <cell r="A18">
            <v>1110</v>
          </cell>
          <cell r="B18" t="str">
            <v xml:space="preserve">     ELECTRIC PUMP EQUIP TRANS</v>
          </cell>
          <cell r="L18">
            <v>0</v>
          </cell>
        </row>
        <row r="19">
          <cell r="A19">
            <v>1115</v>
          </cell>
          <cell r="B19" t="str">
            <v xml:space="preserve">     WATER TREATMENT EQPT</v>
          </cell>
          <cell r="L19">
            <v>0</v>
          </cell>
        </row>
        <row r="20">
          <cell r="A20">
            <v>1120</v>
          </cell>
          <cell r="B20" t="str">
            <v xml:space="preserve">     DIST RESV &amp; STANDPIPES</v>
          </cell>
          <cell r="L20">
            <v>0</v>
          </cell>
        </row>
        <row r="21">
          <cell r="A21">
            <v>1125</v>
          </cell>
          <cell r="B21" t="str">
            <v xml:space="preserve">     TRANS &amp; DISTR MAINS</v>
          </cell>
          <cell r="L21">
            <v>0</v>
          </cell>
        </row>
        <row r="22">
          <cell r="A22">
            <v>1130</v>
          </cell>
          <cell r="B22" t="str">
            <v xml:space="preserve">     SERVICE LINES</v>
          </cell>
          <cell r="L22">
            <v>0</v>
          </cell>
        </row>
        <row r="23">
          <cell r="A23">
            <v>1135</v>
          </cell>
          <cell r="B23" t="str">
            <v xml:space="preserve">     METERS</v>
          </cell>
          <cell r="L23">
            <v>0</v>
          </cell>
        </row>
        <row r="24">
          <cell r="A24">
            <v>1140</v>
          </cell>
          <cell r="B24" t="str">
            <v xml:space="preserve">     METER INSTALLATIONS</v>
          </cell>
          <cell r="L24">
            <v>0</v>
          </cell>
        </row>
        <row r="25">
          <cell r="A25">
            <v>1145</v>
          </cell>
          <cell r="B25" t="str">
            <v xml:space="preserve">     HYDRANTS</v>
          </cell>
          <cell r="L25">
            <v>0</v>
          </cell>
        </row>
        <row r="26">
          <cell r="A26">
            <v>1150</v>
          </cell>
          <cell r="B26" t="str">
            <v xml:space="preserve">     BACKFLOW PREVENTION DEVIC</v>
          </cell>
          <cell r="L26">
            <v>0</v>
          </cell>
        </row>
        <row r="27">
          <cell r="A27">
            <v>1160</v>
          </cell>
          <cell r="B27" t="str">
            <v xml:space="preserve">     OTH PLT&amp;MISC EQUIP SRC SU</v>
          </cell>
          <cell r="L27">
            <v>0</v>
          </cell>
        </row>
        <row r="28">
          <cell r="A28">
            <v>1165</v>
          </cell>
          <cell r="B28" t="str">
            <v xml:space="preserve">     OTH PLT&amp;MISC EQUIP WTP</v>
          </cell>
          <cell r="L28">
            <v>0</v>
          </cell>
        </row>
        <row r="29">
          <cell r="A29">
            <v>1175</v>
          </cell>
          <cell r="B29" t="str">
            <v xml:space="preserve">     OFFICE STRUCT &amp; IMPRV</v>
          </cell>
          <cell r="L29">
            <v>0</v>
          </cell>
        </row>
        <row r="30">
          <cell r="A30">
            <v>1180</v>
          </cell>
          <cell r="B30" t="str">
            <v xml:space="preserve">     OFFICE FURN &amp; EQPT</v>
          </cell>
          <cell r="L30">
            <v>0</v>
          </cell>
        </row>
        <row r="31">
          <cell r="A31">
            <v>1185</v>
          </cell>
          <cell r="B31" t="str">
            <v xml:space="preserve">     STORES EQUIPMENT</v>
          </cell>
          <cell r="L31">
            <v>0</v>
          </cell>
        </row>
        <row r="32">
          <cell r="A32">
            <v>1190</v>
          </cell>
          <cell r="B32" t="str">
            <v xml:space="preserve">     TOOL SHOP &amp; MISC EQPT</v>
          </cell>
          <cell r="L32">
            <v>0</v>
          </cell>
        </row>
        <row r="33">
          <cell r="A33">
            <v>1195</v>
          </cell>
          <cell r="B33" t="str">
            <v xml:space="preserve">     LABORATORY EQUIPMENT</v>
          </cell>
          <cell r="L33">
            <v>0</v>
          </cell>
        </row>
        <row r="34">
          <cell r="A34">
            <v>1200</v>
          </cell>
          <cell r="B34" t="str">
            <v xml:space="preserve">     POWER OPERATED EQUIP</v>
          </cell>
          <cell r="L34">
            <v>0</v>
          </cell>
        </row>
        <row r="35">
          <cell r="A35">
            <v>1205</v>
          </cell>
          <cell r="B35" t="str">
            <v xml:space="preserve">     COMMUNICATION EQPT</v>
          </cell>
          <cell r="L35">
            <v>0</v>
          </cell>
        </row>
        <row r="36">
          <cell r="A36">
            <v>1210</v>
          </cell>
          <cell r="B36" t="str">
            <v xml:space="preserve">     MISC EQUIPMENT</v>
          </cell>
          <cell r="L36">
            <v>0</v>
          </cell>
        </row>
        <row r="37">
          <cell r="A37">
            <v>1215</v>
          </cell>
          <cell r="B37" t="str">
            <v xml:space="preserve">     WATER PLANT ALLOCATED</v>
          </cell>
          <cell r="L37">
            <v>0</v>
          </cell>
        </row>
        <row r="38">
          <cell r="A38">
            <v>1220</v>
          </cell>
          <cell r="B38" t="str">
            <v xml:space="preserve">     OTHER TANGIBLE PLT WATER</v>
          </cell>
          <cell r="L38">
            <v>0</v>
          </cell>
        </row>
        <row r="39">
          <cell r="A39">
            <v>1245</v>
          </cell>
          <cell r="B39" t="str">
            <v xml:space="preserve">     ORGANIZATION</v>
          </cell>
          <cell r="L39">
            <v>0</v>
          </cell>
        </row>
        <row r="40">
          <cell r="A40">
            <v>1250</v>
          </cell>
          <cell r="B40" t="str">
            <v xml:space="preserve">     FRANCHISES INTANG PLT</v>
          </cell>
          <cell r="L40">
            <v>0</v>
          </cell>
        </row>
        <row r="41">
          <cell r="A41">
            <v>1275</v>
          </cell>
          <cell r="B41" t="str">
            <v xml:space="preserve">     LAND &amp; LAND RIGHTS RECLAI</v>
          </cell>
          <cell r="L41">
            <v>0</v>
          </cell>
        </row>
        <row r="42">
          <cell r="A42">
            <v>1285</v>
          </cell>
          <cell r="B42" t="str">
            <v xml:space="preserve">     LAND &amp; LAND RIGHTS GEN PL</v>
          </cell>
          <cell r="L42">
            <v>0</v>
          </cell>
        </row>
        <row r="43">
          <cell r="A43">
            <v>1290</v>
          </cell>
          <cell r="B43" t="str">
            <v xml:space="preserve">     STRUCT/IMPRV COLL PLT</v>
          </cell>
          <cell r="L43">
            <v>0</v>
          </cell>
        </row>
        <row r="44">
          <cell r="A44">
            <v>1295</v>
          </cell>
          <cell r="B44" t="str">
            <v xml:space="preserve">     STRUCT/IMPRV PUMP PLT LS</v>
          </cell>
          <cell r="L44">
            <v>0</v>
          </cell>
        </row>
        <row r="45">
          <cell r="A45">
            <v>1300</v>
          </cell>
          <cell r="B45" t="str">
            <v xml:space="preserve">     STRUCT/IMPRV TREAT PLT</v>
          </cell>
          <cell r="L45">
            <v>0</v>
          </cell>
        </row>
        <row r="46">
          <cell r="A46">
            <v>1305</v>
          </cell>
          <cell r="B46" t="str">
            <v xml:space="preserve">     STRUCT/IMPRV RECLAIM WTP</v>
          </cell>
          <cell r="L46">
            <v>0</v>
          </cell>
        </row>
        <row r="47">
          <cell r="A47">
            <v>1310</v>
          </cell>
          <cell r="B47" t="str">
            <v xml:space="preserve">     STRUCT/IMPRV RECLAIM WTR</v>
          </cell>
          <cell r="L47">
            <v>0</v>
          </cell>
        </row>
        <row r="48">
          <cell r="A48">
            <v>1315</v>
          </cell>
          <cell r="B48" t="str">
            <v xml:space="preserve">     STRUCT/IMPRV GEN PLT</v>
          </cell>
          <cell r="L48">
            <v>0</v>
          </cell>
        </row>
        <row r="49">
          <cell r="A49">
            <v>1320</v>
          </cell>
          <cell r="B49" t="str">
            <v xml:space="preserve">     POWER GEN EQUIP COLL PLT</v>
          </cell>
          <cell r="L49">
            <v>0</v>
          </cell>
        </row>
        <row r="50">
          <cell r="A50">
            <v>1325</v>
          </cell>
          <cell r="B50" t="str">
            <v xml:space="preserve">     POWER GEN EQUIP PUMP PLT</v>
          </cell>
          <cell r="L50">
            <v>0</v>
          </cell>
        </row>
        <row r="51">
          <cell r="A51">
            <v>1330</v>
          </cell>
          <cell r="B51" t="str">
            <v xml:space="preserve">     POWER GEN EQUIP TREAT PLT</v>
          </cell>
          <cell r="L51">
            <v>0</v>
          </cell>
        </row>
        <row r="52">
          <cell r="A52">
            <v>1345</v>
          </cell>
          <cell r="B52" t="str">
            <v xml:space="preserve">     SEWER FORCE MAIN</v>
          </cell>
          <cell r="L52">
            <v>0</v>
          </cell>
        </row>
        <row r="53">
          <cell r="A53">
            <v>1350</v>
          </cell>
          <cell r="B53" t="str">
            <v xml:space="preserve">     SEWER GRAVITY MAIN</v>
          </cell>
          <cell r="L53">
            <v>0</v>
          </cell>
        </row>
        <row r="54">
          <cell r="A54">
            <v>1353</v>
          </cell>
          <cell r="B54" t="str">
            <v xml:space="preserve">     MANHOLES</v>
          </cell>
          <cell r="L54">
            <v>0</v>
          </cell>
        </row>
        <row r="55">
          <cell r="A55">
            <v>1355</v>
          </cell>
          <cell r="B55" t="str">
            <v xml:space="preserve">     SPECIAL COLL STRUCTURES</v>
          </cell>
          <cell r="L55">
            <v>0</v>
          </cell>
        </row>
        <row r="56">
          <cell r="A56">
            <v>1360</v>
          </cell>
          <cell r="B56" t="str">
            <v xml:space="preserve">     SERVICES TO CUSTOMERS</v>
          </cell>
          <cell r="L56">
            <v>0</v>
          </cell>
        </row>
        <row r="57">
          <cell r="A57">
            <v>1365</v>
          </cell>
          <cell r="B57" t="str">
            <v xml:space="preserve">     FLOW MEASURE DEVICES</v>
          </cell>
          <cell r="L57">
            <v>0</v>
          </cell>
        </row>
        <row r="58">
          <cell r="A58">
            <v>1370</v>
          </cell>
          <cell r="B58" t="str">
            <v xml:space="preserve">     FLOW MEASURE INSTALL</v>
          </cell>
          <cell r="L58">
            <v>0</v>
          </cell>
        </row>
        <row r="59">
          <cell r="A59">
            <v>1375</v>
          </cell>
          <cell r="B59" t="str">
            <v xml:space="preserve">     RECEIVING WELLS</v>
          </cell>
          <cell r="L59">
            <v>0</v>
          </cell>
        </row>
        <row r="60">
          <cell r="A60">
            <v>1380</v>
          </cell>
          <cell r="B60" t="str">
            <v xml:space="preserve">     PUMPING EQUIPMENT PUMP PL</v>
          </cell>
          <cell r="L60">
            <v>0</v>
          </cell>
        </row>
        <row r="61">
          <cell r="A61">
            <v>1385</v>
          </cell>
          <cell r="B61" t="str">
            <v xml:space="preserve">     PUMPING EQUIPMENT RECLAIM</v>
          </cell>
          <cell r="L61">
            <v>0</v>
          </cell>
        </row>
        <row r="62">
          <cell r="A62">
            <v>1390</v>
          </cell>
          <cell r="B62" t="str">
            <v xml:space="preserve">     PUMPING EQUIPMENT RCL WTR</v>
          </cell>
          <cell r="L62">
            <v>0</v>
          </cell>
        </row>
        <row r="63">
          <cell r="A63">
            <v>1395</v>
          </cell>
          <cell r="B63" t="str">
            <v xml:space="preserve">     TREAT/DISP EQUIP LAGOON</v>
          </cell>
          <cell r="L63">
            <v>0</v>
          </cell>
        </row>
        <row r="64">
          <cell r="A64">
            <v>1400</v>
          </cell>
          <cell r="B64" t="str">
            <v xml:space="preserve">     TREAT/DISP EQUIP TRT PLT</v>
          </cell>
          <cell r="L64">
            <v>0</v>
          </cell>
        </row>
        <row r="65">
          <cell r="A65">
            <v>1405</v>
          </cell>
          <cell r="B65" t="str">
            <v xml:space="preserve">     TREAT/DISP EQUIP RCL WTP</v>
          </cell>
          <cell r="L65">
            <v>0</v>
          </cell>
        </row>
        <row r="66">
          <cell r="A66">
            <v>1410</v>
          </cell>
          <cell r="B66" t="str">
            <v xml:space="preserve">     PLANT SEWERS TRTMT PLT</v>
          </cell>
          <cell r="L66">
            <v>0</v>
          </cell>
        </row>
        <row r="67">
          <cell r="A67">
            <v>1415</v>
          </cell>
          <cell r="B67" t="str">
            <v xml:space="preserve">     PLANT SEWERS RECLAIM WTP</v>
          </cell>
          <cell r="L67">
            <v>0</v>
          </cell>
        </row>
        <row r="68">
          <cell r="A68">
            <v>1420</v>
          </cell>
          <cell r="B68" t="str">
            <v xml:space="preserve">     OUTFALL LINES</v>
          </cell>
          <cell r="L68">
            <v>0</v>
          </cell>
        </row>
        <row r="69">
          <cell r="A69">
            <v>1425</v>
          </cell>
          <cell r="B69" t="str">
            <v xml:space="preserve">     OTHER PLT TANGIBLE</v>
          </cell>
          <cell r="L69">
            <v>0</v>
          </cell>
        </row>
        <row r="70">
          <cell r="A70">
            <v>1430</v>
          </cell>
          <cell r="B70" t="str">
            <v xml:space="preserve">     OTHER PLT COLLECTION</v>
          </cell>
          <cell r="L70">
            <v>0</v>
          </cell>
        </row>
        <row r="71">
          <cell r="A71">
            <v>1435</v>
          </cell>
          <cell r="B71" t="str">
            <v xml:space="preserve">     OTHER PLT PUMP</v>
          </cell>
          <cell r="L71">
            <v>0</v>
          </cell>
        </row>
        <row r="72">
          <cell r="A72">
            <v>1440</v>
          </cell>
          <cell r="B72" t="str">
            <v xml:space="preserve">     OTHER PLT TREATMENT</v>
          </cell>
          <cell r="L72">
            <v>0</v>
          </cell>
        </row>
        <row r="73">
          <cell r="A73">
            <v>1445</v>
          </cell>
          <cell r="B73" t="str">
            <v xml:space="preserve">     OTHER PLT RECLAIM WTR TRT</v>
          </cell>
          <cell r="L73">
            <v>0</v>
          </cell>
        </row>
        <row r="74">
          <cell r="A74">
            <v>1450</v>
          </cell>
          <cell r="B74" t="str">
            <v xml:space="preserve">     OTHER PLT RECLAIM WTR DIS</v>
          </cell>
          <cell r="L74">
            <v>0</v>
          </cell>
        </row>
        <row r="75">
          <cell r="A75">
            <v>1455</v>
          </cell>
          <cell r="B75" t="str">
            <v xml:space="preserve">     OFFICE STRUCT &amp; IMPRV</v>
          </cell>
          <cell r="L75">
            <v>0</v>
          </cell>
        </row>
        <row r="76">
          <cell r="A76">
            <v>1460</v>
          </cell>
          <cell r="B76" t="str">
            <v xml:space="preserve">     OFFICE FURN &amp; EQPT</v>
          </cell>
          <cell r="L76">
            <v>0</v>
          </cell>
        </row>
        <row r="77">
          <cell r="A77">
            <v>1465</v>
          </cell>
          <cell r="B77" t="str">
            <v xml:space="preserve">     STORES EQUIPMENT</v>
          </cell>
          <cell r="L77">
            <v>0</v>
          </cell>
        </row>
        <row r="78">
          <cell r="A78">
            <v>1470</v>
          </cell>
          <cell r="B78" t="str">
            <v xml:space="preserve">     TOOL SHOP &amp; MISC EQPT</v>
          </cell>
          <cell r="L78">
            <v>0</v>
          </cell>
        </row>
        <row r="79">
          <cell r="A79">
            <v>1475</v>
          </cell>
          <cell r="B79" t="str">
            <v xml:space="preserve">     LABORATORY EQPT</v>
          </cell>
          <cell r="L79">
            <v>0</v>
          </cell>
        </row>
        <row r="80">
          <cell r="A80">
            <v>1480</v>
          </cell>
          <cell r="B80" t="str">
            <v xml:space="preserve">     POWER OPERATED EQUIP</v>
          </cell>
          <cell r="L80">
            <v>0</v>
          </cell>
        </row>
        <row r="81">
          <cell r="A81">
            <v>1485</v>
          </cell>
          <cell r="B81" t="str">
            <v xml:space="preserve">     COMMUNICATION EQPT</v>
          </cell>
          <cell r="L81">
            <v>0</v>
          </cell>
        </row>
        <row r="82">
          <cell r="A82">
            <v>1490</v>
          </cell>
          <cell r="B82" t="str">
            <v xml:space="preserve">     MISC EQUIP SEWER</v>
          </cell>
          <cell r="L82">
            <v>0</v>
          </cell>
        </row>
        <row r="83">
          <cell r="A83">
            <v>1495</v>
          </cell>
          <cell r="B83" t="str">
            <v xml:space="preserve">     SEWER PLANT ALLOCATED</v>
          </cell>
          <cell r="L83">
            <v>0</v>
          </cell>
        </row>
        <row r="84">
          <cell r="A84">
            <v>1500</v>
          </cell>
          <cell r="B84" t="str">
            <v xml:space="preserve">     OTHER TANGIBLE PLT SEWER</v>
          </cell>
          <cell r="L84">
            <v>0</v>
          </cell>
        </row>
        <row r="85">
          <cell r="A85">
            <v>1535</v>
          </cell>
          <cell r="B85" t="str">
            <v xml:space="preserve">     REUSE DIST RESERVOIRS</v>
          </cell>
          <cell r="L85">
            <v>0</v>
          </cell>
        </row>
        <row r="86">
          <cell r="A86">
            <v>1540</v>
          </cell>
          <cell r="B86" t="str">
            <v xml:space="preserve">     REUSE TRANMISSION &amp; DIST</v>
          </cell>
          <cell r="L86">
            <v>0</v>
          </cell>
        </row>
        <row r="87">
          <cell r="B87" t="str">
            <v>Plant (Water)</v>
          </cell>
          <cell r="L87">
            <v>3477305.0780995362</v>
          </cell>
        </row>
        <row r="88">
          <cell r="B88" t="str">
            <v>Plant (Sewer)</v>
          </cell>
          <cell r="L88">
            <v>7912390.1987983584</v>
          </cell>
        </row>
        <row r="89">
          <cell r="A89">
            <v>1699</v>
          </cell>
          <cell r="B89" t="str">
            <v xml:space="preserve">     WATER PLANT IN PROCESS</v>
          </cell>
          <cell r="L89" t="e">
            <v>#VALUE!</v>
          </cell>
        </row>
        <row r="90">
          <cell r="A90">
            <v>1739</v>
          </cell>
          <cell r="B90" t="str">
            <v xml:space="preserve">     SEWER PLANT IN PROCESS</v>
          </cell>
          <cell r="L90" t="e">
            <v>#VALUE!</v>
          </cell>
        </row>
        <row r="91">
          <cell r="A91">
            <v>1769</v>
          </cell>
          <cell r="B91" t="str">
            <v xml:space="preserve">     OTHER PLANT IN PROCESS</v>
          </cell>
          <cell r="L91" t="e">
            <v>#VALUE!</v>
          </cell>
        </row>
        <row r="92">
          <cell r="A92">
            <v>1799</v>
          </cell>
          <cell r="B92" t="str">
            <v xml:space="preserve">     DEFERRED PLANT IN PROCESS</v>
          </cell>
          <cell r="L92" t="e">
            <v>#VALUE!</v>
          </cell>
        </row>
        <row r="93">
          <cell r="A93">
            <v>1805</v>
          </cell>
          <cell r="B93" t="str">
            <v xml:space="preserve">    PLT HELD FUTURE USE-WTR</v>
          </cell>
          <cell r="L93" t="e">
            <v>#VALUE!</v>
          </cell>
        </row>
        <row r="94">
          <cell r="A94">
            <v>1810</v>
          </cell>
          <cell r="B94" t="str">
            <v xml:space="preserve">    PLT HELD FUTURE USE-SWR</v>
          </cell>
          <cell r="L94" t="e">
            <v>#VALUE!</v>
          </cell>
        </row>
        <row r="95">
          <cell r="A95">
            <v>1835</v>
          </cell>
          <cell r="B95" t="str">
            <v xml:space="preserve">     ACC DEPR-ORGANIZATION</v>
          </cell>
          <cell r="L95">
            <v>0</v>
          </cell>
        </row>
        <row r="96">
          <cell r="A96">
            <v>1840</v>
          </cell>
          <cell r="B96" t="str">
            <v xml:space="preserve">     ACC DEPR-FRANCHISES</v>
          </cell>
          <cell r="L96">
            <v>0</v>
          </cell>
        </row>
        <row r="97">
          <cell r="A97">
            <v>1845</v>
          </cell>
          <cell r="B97" t="str">
            <v xml:space="preserve">     ACC DEPR-STRUCT&amp;IMPRV SRC</v>
          </cell>
          <cell r="L97">
            <v>0</v>
          </cell>
        </row>
        <row r="98">
          <cell r="A98">
            <v>1850</v>
          </cell>
          <cell r="B98" t="str">
            <v xml:space="preserve">     ACC DEPR-STRUCT&amp;IMPRV WTP</v>
          </cell>
          <cell r="L98">
            <v>0</v>
          </cell>
        </row>
        <row r="99">
          <cell r="A99">
            <v>1855</v>
          </cell>
          <cell r="B99" t="str">
            <v xml:space="preserve">     ACC DEPR-STRUCT&amp;IMPRV TRN</v>
          </cell>
          <cell r="L99">
            <v>0</v>
          </cell>
        </row>
        <row r="100">
          <cell r="A100">
            <v>1860</v>
          </cell>
          <cell r="B100" t="str">
            <v xml:space="preserve">     ACC DEPR-STRUCT&amp;IMPRV GEN</v>
          </cell>
          <cell r="L100">
            <v>0</v>
          </cell>
        </row>
        <row r="101">
          <cell r="A101">
            <v>1875</v>
          </cell>
          <cell r="B101" t="str">
            <v xml:space="preserve">     ACC DEPR-WELLS &amp; SPRINGS</v>
          </cell>
          <cell r="L101">
            <v>0</v>
          </cell>
        </row>
        <row r="102">
          <cell r="A102">
            <v>1880</v>
          </cell>
          <cell r="B102" t="str">
            <v xml:space="preserve">     ACC DEPR-INFILTRATION GAL</v>
          </cell>
          <cell r="L102">
            <v>0</v>
          </cell>
        </row>
        <row r="103">
          <cell r="A103">
            <v>1885</v>
          </cell>
          <cell r="B103" t="str">
            <v xml:space="preserve">     ACC DEPR-SUPPLY MAINS</v>
          </cell>
          <cell r="L103">
            <v>0</v>
          </cell>
        </row>
        <row r="104">
          <cell r="A104">
            <v>1890</v>
          </cell>
          <cell r="B104" t="str">
            <v xml:space="preserve">     ACC DEPR-POWER GENERATION</v>
          </cell>
          <cell r="L104">
            <v>0</v>
          </cell>
        </row>
        <row r="105">
          <cell r="A105">
            <v>1895</v>
          </cell>
          <cell r="B105" t="str">
            <v xml:space="preserve">     ACC DEPR-ELECT PUMP EQUIP</v>
          </cell>
          <cell r="L105">
            <v>0</v>
          </cell>
        </row>
        <row r="106">
          <cell r="A106">
            <v>1900</v>
          </cell>
          <cell r="B106" t="str">
            <v xml:space="preserve">     ACC DEPR-ELECT PUMP EQUIP</v>
          </cell>
          <cell r="L106">
            <v>0</v>
          </cell>
        </row>
        <row r="107">
          <cell r="A107">
            <v>1905</v>
          </cell>
          <cell r="B107" t="str">
            <v xml:space="preserve">     ACC DEPR-ELECT PUMP EQUIP</v>
          </cell>
          <cell r="L107">
            <v>0</v>
          </cell>
        </row>
        <row r="108">
          <cell r="A108">
            <v>1910</v>
          </cell>
          <cell r="B108" t="str">
            <v xml:space="preserve">     ACC DEPR-WATER TREATMENT</v>
          </cell>
          <cell r="L108">
            <v>0</v>
          </cell>
        </row>
        <row r="109">
          <cell r="A109">
            <v>1915</v>
          </cell>
          <cell r="B109" t="str">
            <v xml:space="preserve">     ACC DEPR-DIST RESV &amp; STAN</v>
          </cell>
          <cell r="L109">
            <v>0</v>
          </cell>
        </row>
        <row r="110">
          <cell r="A110">
            <v>1920</v>
          </cell>
          <cell r="B110" t="str">
            <v xml:space="preserve">     ACC DEPR-TRANS &amp; DISTR MA</v>
          </cell>
          <cell r="L110">
            <v>0</v>
          </cell>
        </row>
        <row r="111">
          <cell r="A111">
            <v>1925</v>
          </cell>
          <cell r="B111" t="str">
            <v xml:space="preserve">     ACC DEPR-SERVICE LINES</v>
          </cell>
          <cell r="L111">
            <v>0</v>
          </cell>
        </row>
        <row r="112">
          <cell r="A112">
            <v>1930</v>
          </cell>
          <cell r="B112" t="str">
            <v xml:space="preserve">     ACC DEPR-METERS</v>
          </cell>
          <cell r="L112">
            <v>0</v>
          </cell>
        </row>
        <row r="113">
          <cell r="A113">
            <v>1935</v>
          </cell>
          <cell r="B113" t="str">
            <v xml:space="preserve">     ACC DEPR-METER INSTALLS</v>
          </cell>
          <cell r="L113">
            <v>0</v>
          </cell>
        </row>
        <row r="114">
          <cell r="A114">
            <v>1940</v>
          </cell>
          <cell r="B114" t="str">
            <v xml:space="preserve">     ACC DEPR-HYDRANTS</v>
          </cell>
          <cell r="L114">
            <v>0</v>
          </cell>
        </row>
        <row r="115">
          <cell r="A115">
            <v>1945</v>
          </cell>
          <cell r="B115" t="str">
            <v xml:space="preserve">     ACC DEPR-BACKFLOW PREVENT</v>
          </cell>
          <cell r="L115">
            <v>0</v>
          </cell>
        </row>
        <row r="116">
          <cell r="A116">
            <v>1955</v>
          </cell>
          <cell r="B116" t="str">
            <v xml:space="preserve">     ACC DEPR-OTH PLANT&amp;MISC S</v>
          </cell>
          <cell r="L116">
            <v>0</v>
          </cell>
        </row>
        <row r="117">
          <cell r="A117">
            <v>1960</v>
          </cell>
          <cell r="B117" t="str">
            <v xml:space="preserve">     ACC DEPR-OTH PLANT&amp;MISC W</v>
          </cell>
          <cell r="L117">
            <v>0</v>
          </cell>
        </row>
        <row r="118">
          <cell r="A118">
            <v>1970</v>
          </cell>
          <cell r="B118" t="str">
            <v xml:space="preserve">     ACC DEPR-OFFICE STRUCTURE</v>
          </cell>
          <cell r="L118">
            <v>0</v>
          </cell>
        </row>
        <row r="119">
          <cell r="A119">
            <v>1975</v>
          </cell>
          <cell r="B119" t="str">
            <v xml:space="preserve">     ACC DEPR-OFFICE FURN/EQPT</v>
          </cell>
          <cell r="L119">
            <v>0</v>
          </cell>
        </row>
        <row r="120">
          <cell r="A120">
            <v>1980</v>
          </cell>
          <cell r="B120" t="str">
            <v xml:space="preserve">     ACC DEPR-STORES EQUIPMENT</v>
          </cell>
          <cell r="L120">
            <v>0</v>
          </cell>
        </row>
        <row r="121">
          <cell r="A121">
            <v>1985</v>
          </cell>
          <cell r="B121" t="str">
            <v xml:space="preserve">     ACC DEPR-TOOL SHOP &amp; MISC</v>
          </cell>
          <cell r="L121">
            <v>0</v>
          </cell>
        </row>
        <row r="122">
          <cell r="A122">
            <v>1990</v>
          </cell>
          <cell r="B122" t="str">
            <v xml:space="preserve">     ACC DEPR-LABORATORY EQUIP</v>
          </cell>
          <cell r="L122">
            <v>0</v>
          </cell>
        </row>
        <row r="123">
          <cell r="A123">
            <v>1995</v>
          </cell>
          <cell r="B123" t="str">
            <v xml:space="preserve">     ACC DEPR-POWER OPERATED E</v>
          </cell>
          <cell r="L123">
            <v>0</v>
          </cell>
        </row>
        <row r="124">
          <cell r="A124">
            <v>2000</v>
          </cell>
          <cell r="B124" t="str">
            <v xml:space="preserve">     ACC DEPR-COMMUNICATION EQ</v>
          </cell>
          <cell r="L124">
            <v>0</v>
          </cell>
        </row>
        <row r="125">
          <cell r="A125">
            <v>2005</v>
          </cell>
          <cell r="B125" t="str">
            <v xml:space="preserve">     ACC DEPR-MISC EQUIPMENT</v>
          </cell>
          <cell r="L125">
            <v>0</v>
          </cell>
        </row>
        <row r="126">
          <cell r="A126">
            <v>2010</v>
          </cell>
          <cell r="B126" t="str">
            <v xml:space="preserve">     ACC DEPR-OTHER TANG PLT W</v>
          </cell>
          <cell r="L126">
            <v>0</v>
          </cell>
        </row>
        <row r="127">
          <cell r="A127">
            <v>2030</v>
          </cell>
          <cell r="B127" t="str">
            <v xml:space="preserve">     ACC DEPR-ORGANIZATION</v>
          </cell>
          <cell r="L127">
            <v>0</v>
          </cell>
        </row>
        <row r="128">
          <cell r="A128">
            <v>2040</v>
          </cell>
          <cell r="B128" t="str">
            <v xml:space="preserve">     ACC DEPR FRANCHISES INTAN</v>
          </cell>
          <cell r="L128">
            <v>0</v>
          </cell>
        </row>
        <row r="129">
          <cell r="A129">
            <v>2050</v>
          </cell>
          <cell r="B129" t="str">
            <v xml:space="preserve">     ACC DEPR-STRUCT/IMPRV COL</v>
          </cell>
          <cell r="L129">
            <v>0</v>
          </cell>
        </row>
        <row r="130">
          <cell r="A130">
            <v>2055</v>
          </cell>
          <cell r="B130" t="str">
            <v xml:space="preserve">     ACC DEPR-STRUCT/IMPRV PUM</v>
          </cell>
          <cell r="L130">
            <v>0</v>
          </cell>
        </row>
        <row r="131">
          <cell r="A131">
            <v>2060</v>
          </cell>
          <cell r="B131" t="str">
            <v xml:space="preserve">     ACC DEPR-STRUCT/IMPRV TRE</v>
          </cell>
          <cell r="L131">
            <v>0</v>
          </cell>
        </row>
        <row r="132">
          <cell r="A132">
            <v>2065</v>
          </cell>
          <cell r="B132" t="str">
            <v xml:space="preserve">     ACC DEPR-STRUCT/IMPRV RCL</v>
          </cell>
          <cell r="L132">
            <v>0</v>
          </cell>
        </row>
        <row r="133">
          <cell r="A133">
            <v>2070</v>
          </cell>
          <cell r="B133" t="str">
            <v xml:space="preserve">     ACC DEPR-STRUCT/IMPRV RCL</v>
          </cell>
          <cell r="L133">
            <v>0</v>
          </cell>
        </row>
        <row r="134">
          <cell r="A134">
            <v>2075</v>
          </cell>
          <cell r="B134" t="str">
            <v xml:space="preserve">     ACC DEPR-STRUCT/IMPRV GEN</v>
          </cell>
          <cell r="L134">
            <v>0</v>
          </cell>
        </row>
        <row r="135">
          <cell r="A135">
            <v>2080</v>
          </cell>
          <cell r="B135" t="str">
            <v xml:space="preserve">     ACC DEPR-PWR GEN EQP COLL</v>
          </cell>
          <cell r="L135">
            <v>0</v>
          </cell>
        </row>
        <row r="136">
          <cell r="A136">
            <v>2085</v>
          </cell>
          <cell r="B136" t="str">
            <v xml:space="preserve">     ACC DEPR-PWR GEN EQP PUMP</v>
          </cell>
          <cell r="L136">
            <v>0</v>
          </cell>
        </row>
        <row r="137">
          <cell r="A137">
            <v>2090</v>
          </cell>
          <cell r="B137" t="str">
            <v xml:space="preserve">     ACC DEPR-PWR GEN EQP TRT</v>
          </cell>
          <cell r="L137">
            <v>0</v>
          </cell>
        </row>
        <row r="138">
          <cell r="A138">
            <v>2105</v>
          </cell>
          <cell r="B138" t="str">
            <v xml:space="preserve">     ACC DEPR-SEWER FORCE MAIN</v>
          </cell>
          <cell r="L138">
            <v>0</v>
          </cell>
        </row>
        <row r="139">
          <cell r="A139">
            <v>2110</v>
          </cell>
          <cell r="B139" t="str">
            <v xml:space="preserve">     ACC DEPR-SEWER GRAVITY MA</v>
          </cell>
          <cell r="L139">
            <v>0</v>
          </cell>
        </row>
        <row r="140">
          <cell r="A140">
            <v>2113</v>
          </cell>
          <cell r="B140" t="str">
            <v xml:space="preserve">     ACC DEPR-MANHOLES</v>
          </cell>
          <cell r="L140">
            <v>0</v>
          </cell>
        </row>
        <row r="141">
          <cell r="A141">
            <v>2115</v>
          </cell>
          <cell r="B141" t="str">
            <v xml:space="preserve">     ACC DEPR-SPECIAL COLL STR</v>
          </cell>
          <cell r="L141">
            <v>0</v>
          </cell>
        </row>
        <row r="142">
          <cell r="A142">
            <v>2120</v>
          </cell>
          <cell r="B142" t="str">
            <v xml:space="preserve">     ACC DEPR-SERVICES TO CUST</v>
          </cell>
          <cell r="L142">
            <v>0</v>
          </cell>
        </row>
        <row r="143">
          <cell r="A143">
            <v>2125</v>
          </cell>
          <cell r="B143" t="str">
            <v xml:space="preserve">     ACC DEPR-FLOW MEASURE DEV</v>
          </cell>
          <cell r="L143">
            <v>0</v>
          </cell>
        </row>
        <row r="144">
          <cell r="A144">
            <v>2130</v>
          </cell>
          <cell r="B144" t="str">
            <v xml:space="preserve">     ACC DEPR-FLOW MEASURE INS</v>
          </cell>
          <cell r="L144">
            <v>0</v>
          </cell>
        </row>
        <row r="145">
          <cell r="A145">
            <v>2135</v>
          </cell>
          <cell r="B145" t="str">
            <v xml:space="preserve">     ACC DEPR-RECEIVING WELLS</v>
          </cell>
          <cell r="L145">
            <v>0</v>
          </cell>
        </row>
        <row r="146">
          <cell r="A146">
            <v>2140</v>
          </cell>
          <cell r="B146" t="str">
            <v xml:space="preserve">     ACC DEPR-PUMP EQP PUMP PL</v>
          </cell>
          <cell r="L146">
            <v>0</v>
          </cell>
        </row>
        <row r="147">
          <cell r="A147">
            <v>2145</v>
          </cell>
          <cell r="B147" t="str">
            <v xml:space="preserve">     ACC DEPR-PUMP EQP RCLM WT</v>
          </cell>
          <cell r="L147">
            <v>0</v>
          </cell>
        </row>
        <row r="148">
          <cell r="A148">
            <v>2150</v>
          </cell>
          <cell r="B148" t="str">
            <v xml:space="preserve">     ACC DEPR-PUMP EQP RCLM DI</v>
          </cell>
          <cell r="L148">
            <v>0</v>
          </cell>
        </row>
        <row r="149">
          <cell r="A149">
            <v>2155</v>
          </cell>
          <cell r="B149" t="str">
            <v xml:space="preserve">     ACC DEPR-TREAT/DISP EQP L</v>
          </cell>
          <cell r="L149">
            <v>0</v>
          </cell>
        </row>
        <row r="150">
          <cell r="A150">
            <v>2160</v>
          </cell>
          <cell r="B150" t="str">
            <v xml:space="preserve">     ACC DEPR-TREAT/DISP EQP T</v>
          </cell>
          <cell r="L150">
            <v>0</v>
          </cell>
        </row>
        <row r="151">
          <cell r="A151">
            <v>2165</v>
          </cell>
          <cell r="B151" t="str">
            <v xml:space="preserve">     ACC DEPR-TREAT/DISP EQP R</v>
          </cell>
          <cell r="L151">
            <v>0</v>
          </cell>
        </row>
        <row r="152">
          <cell r="A152">
            <v>2170</v>
          </cell>
          <cell r="B152" t="str">
            <v xml:space="preserve">     ACC DEPR-PLANT SEWERS TRT</v>
          </cell>
          <cell r="L152">
            <v>0</v>
          </cell>
        </row>
        <row r="153">
          <cell r="A153">
            <v>2175</v>
          </cell>
          <cell r="B153" t="str">
            <v xml:space="preserve">     ACC DEPR-PLANT SEWERS REC</v>
          </cell>
          <cell r="L153">
            <v>0</v>
          </cell>
        </row>
        <row r="154">
          <cell r="A154">
            <v>2180</v>
          </cell>
          <cell r="B154" t="str">
            <v xml:space="preserve">     ACC DEPR-OUTFALL LINES</v>
          </cell>
          <cell r="L154">
            <v>0</v>
          </cell>
        </row>
        <row r="155">
          <cell r="A155">
            <v>2185</v>
          </cell>
          <cell r="B155" t="str">
            <v xml:space="preserve">     ACC DEPR-OTHER PLT TANGIB</v>
          </cell>
          <cell r="L155">
            <v>0</v>
          </cell>
        </row>
        <row r="156">
          <cell r="A156">
            <v>2190</v>
          </cell>
          <cell r="B156" t="str">
            <v xml:space="preserve">     ACC DEPR-OTHER PLT COLLEC</v>
          </cell>
          <cell r="L156">
            <v>0</v>
          </cell>
        </row>
        <row r="157">
          <cell r="A157">
            <v>2195</v>
          </cell>
          <cell r="B157" t="str">
            <v xml:space="preserve">     ACC DEPR-OTHER PLT PUMP</v>
          </cell>
          <cell r="L157">
            <v>0</v>
          </cell>
        </row>
        <row r="158">
          <cell r="A158">
            <v>2200</v>
          </cell>
          <cell r="B158" t="str">
            <v xml:space="preserve">     ACC DEPR-OTHER PLT TREATM</v>
          </cell>
          <cell r="L158">
            <v>0</v>
          </cell>
        </row>
        <row r="159">
          <cell r="A159">
            <v>2205</v>
          </cell>
          <cell r="B159" t="str">
            <v xml:space="preserve">     ACC DEPR-OTHER PLT RCLM W</v>
          </cell>
          <cell r="L159">
            <v>0</v>
          </cell>
        </row>
        <row r="160">
          <cell r="A160">
            <v>2210</v>
          </cell>
          <cell r="B160" t="str">
            <v xml:space="preserve">     ACC DEPR-OTHER PLT RCLM D</v>
          </cell>
          <cell r="L160">
            <v>0</v>
          </cell>
        </row>
        <row r="161">
          <cell r="A161">
            <v>2215</v>
          </cell>
          <cell r="B161" t="str">
            <v xml:space="preserve">     ACC DEPR-OFFICE STRUCTURE</v>
          </cell>
          <cell r="L161">
            <v>0</v>
          </cell>
        </row>
        <row r="162">
          <cell r="A162">
            <v>2220</v>
          </cell>
          <cell r="B162" t="str">
            <v xml:space="preserve">     ACC DEPR-OFFICE FURN/EQPT</v>
          </cell>
          <cell r="L162">
            <v>0</v>
          </cell>
        </row>
        <row r="163">
          <cell r="A163">
            <v>2225</v>
          </cell>
          <cell r="B163" t="str">
            <v xml:space="preserve">     ACC DEPR-STORES EQUIPMENT</v>
          </cell>
          <cell r="L163">
            <v>0</v>
          </cell>
        </row>
        <row r="164">
          <cell r="A164">
            <v>2230</v>
          </cell>
          <cell r="B164" t="str">
            <v xml:space="preserve">     ACC DEPR-TOOL SHOP &amp; MISC</v>
          </cell>
          <cell r="L164">
            <v>0</v>
          </cell>
        </row>
        <row r="165">
          <cell r="A165">
            <v>2235</v>
          </cell>
          <cell r="B165" t="str">
            <v xml:space="preserve">     ACC DEPR-LABORATORY EQPT</v>
          </cell>
          <cell r="L165">
            <v>0</v>
          </cell>
        </row>
        <row r="166">
          <cell r="A166">
            <v>2240</v>
          </cell>
          <cell r="B166" t="str">
            <v xml:space="preserve">     ACC DEPR-POWER OPERATED E</v>
          </cell>
          <cell r="L166">
            <v>0</v>
          </cell>
        </row>
        <row r="167">
          <cell r="A167">
            <v>2245</v>
          </cell>
          <cell r="B167" t="str">
            <v xml:space="preserve">     ACC DEPR-COMMUNICATION EQ</v>
          </cell>
          <cell r="L167">
            <v>0</v>
          </cell>
        </row>
        <row r="168">
          <cell r="A168">
            <v>2250</v>
          </cell>
          <cell r="B168" t="str">
            <v xml:space="preserve">     ACC DEPR-MISC EQUIP SEWER</v>
          </cell>
          <cell r="L168">
            <v>0</v>
          </cell>
        </row>
        <row r="169">
          <cell r="A169">
            <v>2255</v>
          </cell>
          <cell r="B169" t="str">
            <v xml:space="preserve">     ACC DEPR-OTHER TANG PLT S</v>
          </cell>
          <cell r="L169">
            <v>0</v>
          </cell>
        </row>
        <row r="170">
          <cell r="A170">
            <v>2280</v>
          </cell>
          <cell r="B170" t="str">
            <v xml:space="preserve">     ACC DEPR-REUSE DIST RESER</v>
          </cell>
          <cell r="L170">
            <v>0</v>
          </cell>
        </row>
        <row r="171">
          <cell r="A171">
            <v>2285</v>
          </cell>
          <cell r="B171" t="str">
            <v xml:space="preserve">     ACC DEPR-REUSE TRANS/DIST</v>
          </cell>
          <cell r="L171">
            <v>0</v>
          </cell>
        </row>
        <row r="172">
          <cell r="A172">
            <v>2400</v>
          </cell>
          <cell r="B172" t="str">
            <v xml:space="preserve">    UTILITY PAA WTR PLANT AMOR</v>
          </cell>
          <cell r="L172">
            <v>0</v>
          </cell>
        </row>
        <row r="173">
          <cell r="A173">
            <v>2410</v>
          </cell>
          <cell r="B173" t="str">
            <v xml:space="preserve">    UTILITY PAA SWR PLANT AMOR</v>
          </cell>
          <cell r="L173">
            <v>0</v>
          </cell>
        </row>
        <row r="174">
          <cell r="A174">
            <v>2420</v>
          </cell>
          <cell r="B174" t="str">
            <v xml:space="preserve">    ACC AMORT UTIL PAA-WATER</v>
          </cell>
          <cell r="L174">
            <v>0</v>
          </cell>
        </row>
        <row r="175">
          <cell r="A175">
            <v>2425</v>
          </cell>
          <cell r="B175" t="str">
            <v xml:space="preserve">    ACC AMORT UTIL PAA-SEWER</v>
          </cell>
          <cell r="L175">
            <v>0</v>
          </cell>
        </row>
        <row r="176">
          <cell r="B176" t="str">
            <v>Accumulated Depreciation (Water)</v>
          </cell>
          <cell r="L176">
            <v>-986141.01655429567</v>
          </cell>
        </row>
        <row r="177">
          <cell r="B177" t="str">
            <v>Accumulated Depreciation (Sewer)</v>
          </cell>
          <cell r="L177">
            <v>-2054991.9396482522</v>
          </cell>
        </row>
        <row r="178">
          <cell r="B178" t="str">
            <v>PAA (Water)</v>
          </cell>
          <cell r="L178">
            <v>-16445.1132</v>
          </cell>
        </row>
        <row r="179">
          <cell r="B179" t="str">
            <v>PAA (Sewer)</v>
          </cell>
          <cell r="L179">
            <v>-33892.22</v>
          </cell>
        </row>
        <row r="180">
          <cell r="B180" t="str">
            <v>PAA Accumulated Amortization (Water)</v>
          </cell>
          <cell r="L180">
            <v>8353.556799999993</v>
          </cell>
        </row>
        <row r="181">
          <cell r="B181" t="str">
            <v>PAA Accumulated Amortization (Sewer)</v>
          </cell>
          <cell r="L181">
            <v>17009.24000000002</v>
          </cell>
        </row>
        <row r="182">
          <cell r="A182">
            <v>2640</v>
          </cell>
          <cell r="B182" t="str">
            <v xml:space="preserve">     CASH-CHASE-WSC DISBURSEME</v>
          </cell>
          <cell r="L182" t="e">
            <v>#VALUE!</v>
          </cell>
        </row>
        <row r="183">
          <cell r="A183">
            <v>2650</v>
          </cell>
          <cell r="B183" t="str">
            <v xml:space="preserve">     CASH-WSC PETTY CASH-CHASE</v>
          </cell>
          <cell r="L183" t="e">
            <v>#VALUE!</v>
          </cell>
        </row>
        <row r="184">
          <cell r="A184">
            <v>2675</v>
          </cell>
          <cell r="B184" t="str">
            <v xml:space="preserve">     A/R-CUSTOMER TRADE CC&amp;B</v>
          </cell>
          <cell r="L184" t="e">
            <v>#VALUE!</v>
          </cell>
        </row>
        <row r="185">
          <cell r="A185">
            <v>2680</v>
          </cell>
          <cell r="B185" t="str">
            <v xml:space="preserve">     A/R-CUSTOMER ACCRUAL</v>
          </cell>
          <cell r="L185" t="e">
            <v>#VALUE!</v>
          </cell>
        </row>
        <row r="186">
          <cell r="A186">
            <v>2685</v>
          </cell>
          <cell r="B186" t="str">
            <v xml:space="preserve">     A/R-CUSTOMER REFUNDS</v>
          </cell>
          <cell r="L186" t="e">
            <v>#VALUE!</v>
          </cell>
        </row>
        <row r="187">
          <cell r="A187">
            <v>2690</v>
          </cell>
          <cell r="B187" t="str">
            <v xml:space="preserve">    ACCUM PROV UNCOLLECT ACCTS</v>
          </cell>
          <cell r="L187" t="e">
            <v>#VALUE!</v>
          </cell>
        </row>
        <row r="188">
          <cell r="A188">
            <v>2710</v>
          </cell>
          <cell r="B188" t="str">
            <v xml:space="preserve">    A/R ASSOC COS</v>
          </cell>
          <cell r="L188" t="e">
            <v>#VALUE!</v>
          </cell>
        </row>
        <row r="189">
          <cell r="A189">
            <v>2775</v>
          </cell>
          <cell r="B189" t="str">
            <v xml:space="preserve">    SPECIAL DEPOSITS</v>
          </cell>
          <cell r="L189" t="e">
            <v>#VALUE!</v>
          </cell>
        </row>
        <row r="190">
          <cell r="A190">
            <v>2856</v>
          </cell>
          <cell r="B190" t="str">
            <v xml:space="preserve">     PRELIMINARY SURVEY</v>
          </cell>
          <cell r="L190" t="e">
            <v>#VALUE!</v>
          </cell>
        </row>
        <row r="191">
          <cell r="A191">
            <v>2914</v>
          </cell>
          <cell r="B191" t="str">
            <v xml:space="preserve">     RATE CASE IN PROGRESS</v>
          </cell>
          <cell r="L191" t="e">
            <v>#VALUE!</v>
          </cell>
        </row>
        <row r="192">
          <cell r="A192">
            <v>2915</v>
          </cell>
          <cell r="B192" t="str">
            <v xml:space="preserve">     REG EXP BEING AMORT</v>
          </cell>
          <cell r="L192" t="e">
            <v>#VALUE!</v>
          </cell>
        </row>
        <row r="193">
          <cell r="A193">
            <v>2920</v>
          </cell>
          <cell r="B193" t="str">
            <v xml:space="preserve">     RATE CASE BEING AMORT</v>
          </cell>
          <cell r="L193" t="e">
            <v>#VALUE!</v>
          </cell>
        </row>
        <row r="194">
          <cell r="A194">
            <v>2925</v>
          </cell>
          <cell r="B194" t="str">
            <v xml:space="preserve">     MISC REGULATORY COMM EXP</v>
          </cell>
          <cell r="L194" t="e">
            <v>#VALUE!</v>
          </cell>
        </row>
        <row r="195">
          <cell r="A195">
            <v>2930</v>
          </cell>
          <cell r="B195" t="str">
            <v xml:space="preserve">     RATE CASE ACCUM AMORT</v>
          </cell>
          <cell r="L195" t="e">
            <v>#VALUE!</v>
          </cell>
        </row>
        <row r="196">
          <cell r="A196">
            <v>2940</v>
          </cell>
          <cell r="B196" t="str">
            <v xml:space="preserve">     ORIG COST AMORTIZATION</v>
          </cell>
          <cell r="L196" t="e">
            <v>#VALUE!</v>
          </cell>
        </row>
        <row r="197">
          <cell r="A197">
            <v>2955</v>
          </cell>
          <cell r="B197" t="str">
            <v xml:space="preserve">     DEF CHGS-CUSTOMER COMPLAI</v>
          </cell>
          <cell r="L197" t="e">
            <v>#VALUE!</v>
          </cell>
        </row>
        <row r="198">
          <cell r="A198">
            <v>2960</v>
          </cell>
          <cell r="B198" t="str">
            <v xml:space="preserve">     DEF CHGS-TANK MAINT&amp;REP W</v>
          </cell>
          <cell r="L198" t="e">
            <v>#VALUE!</v>
          </cell>
        </row>
        <row r="199">
          <cell r="A199">
            <v>2965</v>
          </cell>
          <cell r="B199" t="str">
            <v xml:space="preserve">     DEF CHGS-RELOCATION EXPEN</v>
          </cell>
          <cell r="L199" t="e">
            <v>#VALUE!</v>
          </cell>
        </row>
        <row r="200">
          <cell r="A200">
            <v>2985</v>
          </cell>
          <cell r="B200" t="str">
            <v xml:space="preserve">     DEF CHGS-OTHER</v>
          </cell>
          <cell r="L200" t="e">
            <v>#VALUE!</v>
          </cell>
        </row>
        <row r="201">
          <cell r="A201">
            <v>3005</v>
          </cell>
          <cell r="B201" t="str">
            <v xml:space="preserve">     DEF CHGS-VOC TESTING</v>
          </cell>
          <cell r="L201" t="e">
            <v>#VALUE!</v>
          </cell>
        </row>
        <row r="202">
          <cell r="A202">
            <v>3020</v>
          </cell>
          <cell r="B202" t="str">
            <v xml:space="preserve">     DEF CHGS-SLUDGE HAULING</v>
          </cell>
          <cell r="L202" t="e">
            <v>#VALUE!</v>
          </cell>
        </row>
        <row r="203">
          <cell r="A203">
            <v>3040</v>
          </cell>
          <cell r="B203" t="str">
            <v xml:space="preserve">     DEF CHGS-TANK MAINT&amp;REP S</v>
          </cell>
          <cell r="L203" t="e">
            <v>#VALUE!</v>
          </cell>
        </row>
        <row r="204">
          <cell r="A204">
            <v>3090</v>
          </cell>
          <cell r="B204" t="str">
            <v xml:space="preserve">     AMORT - CUSTOMER COMPLAIN</v>
          </cell>
          <cell r="L204" t="e">
            <v>#VALUE!</v>
          </cell>
        </row>
        <row r="205">
          <cell r="A205">
            <v>3110</v>
          </cell>
          <cell r="B205" t="str">
            <v xml:space="preserve">     AMORT - TANK MAINT&amp;REP WT</v>
          </cell>
          <cell r="L205" t="e">
            <v>#VALUE!</v>
          </cell>
        </row>
        <row r="206">
          <cell r="A206">
            <v>3120</v>
          </cell>
          <cell r="B206" t="str">
            <v xml:space="preserve">     AMORT - RELOCATION EXP</v>
          </cell>
          <cell r="L206" t="e">
            <v>#VALUE!</v>
          </cell>
        </row>
        <row r="207">
          <cell r="A207">
            <v>3140</v>
          </cell>
          <cell r="B207" t="str">
            <v xml:space="preserve">     AMORT - OTHER</v>
          </cell>
          <cell r="L207" t="e">
            <v>#VALUE!</v>
          </cell>
        </row>
        <row r="208">
          <cell r="A208">
            <v>3160</v>
          </cell>
          <cell r="B208" t="str">
            <v xml:space="preserve">     AMORT - VOC TESTING</v>
          </cell>
          <cell r="L208" t="e">
            <v>#VALUE!</v>
          </cell>
        </row>
        <row r="209">
          <cell r="A209">
            <v>3175</v>
          </cell>
          <cell r="B209" t="str">
            <v xml:space="preserve">     AMORT - SLUDGE HAULING</v>
          </cell>
          <cell r="L209" t="e">
            <v>#VALUE!</v>
          </cell>
        </row>
        <row r="210">
          <cell r="A210">
            <v>3195</v>
          </cell>
          <cell r="B210" t="str">
            <v xml:space="preserve">     AMORT - TANK MAINT&amp;REP SW</v>
          </cell>
          <cell r="L210" t="e">
            <v>#VALUE!</v>
          </cell>
        </row>
        <row r="211">
          <cell r="A211">
            <v>3225</v>
          </cell>
          <cell r="B211" t="str">
            <v xml:space="preserve">    ADV-IN-AID OF CONST-WATER</v>
          </cell>
          <cell r="L211" t="e">
            <v>#VALUE!</v>
          </cell>
        </row>
        <row r="212">
          <cell r="A212">
            <v>3230</v>
          </cell>
          <cell r="B212" t="str">
            <v xml:space="preserve">    ADV-IN-AID OF CONST-SEWER</v>
          </cell>
          <cell r="L212" t="e">
            <v>#VALUE!</v>
          </cell>
        </row>
        <row r="213">
          <cell r="A213">
            <v>3295</v>
          </cell>
          <cell r="B213" t="str">
            <v xml:space="preserve">     CIAC-WELLS &amp; SPRINGS</v>
          </cell>
          <cell r="L213">
            <v>0</v>
          </cell>
        </row>
        <row r="214">
          <cell r="A214">
            <v>3335</v>
          </cell>
          <cell r="B214" t="str">
            <v xml:space="preserve">     CIAC-DIST RESV &amp; STANDPIP</v>
          </cell>
          <cell r="L214">
            <v>0</v>
          </cell>
        </row>
        <row r="215">
          <cell r="A215">
            <v>3340</v>
          </cell>
          <cell r="B215" t="str">
            <v xml:space="preserve">     CIAC-TRANS &amp; DISTR MAINS</v>
          </cell>
          <cell r="L215">
            <v>0</v>
          </cell>
        </row>
        <row r="216">
          <cell r="A216">
            <v>3345</v>
          </cell>
          <cell r="B216" t="str">
            <v xml:space="preserve">     CIAC-SERVICE LINES</v>
          </cell>
          <cell r="L216">
            <v>0</v>
          </cell>
        </row>
        <row r="217">
          <cell r="A217">
            <v>3360</v>
          </cell>
          <cell r="B217" t="str">
            <v xml:space="preserve">     CIAC-HYDRANTS</v>
          </cell>
          <cell r="L217">
            <v>0</v>
          </cell>
        </row>
        <row r="218">
          <cell r="A218">
            <v>3430</v>
          </cell>
          <cell r="B218" t="str">
            <v xml:space="preserve">     CIAC-OTHER TANGIBLE PLT W</v>
          </cell>
          <cell r="L218">
            <v>0</v>
          </cell>
        </row>
        <row r="219">
          <cell r="A219">
            <v>3435</v>
          </cell>
          <cell r="B219" t="str">
            <v xml:space="preserve">     CIAC-WATER-TAP</v>
          </cell>
          <cell r="L219">
            <v>0</v>
          </cell>
        </row>
        <row r="220">
          <cell r="A220">
            <v>3450</v>
          </cell>
          <cell r="B220" t="str">
            <v xml:space="preserve">     CIAC-WTR PLT MOD FEE</v>
          </cell>
          <cell r="L220">
            <v>0</v>
          </cell>
        </row>
        <row r="221">
          <cell r="A221">
            <v>3455</v>
          </cell>
          <cell r="B221" t="str">
            <v xml:space="preserve">     CIAC-WTR PLT MTR FEE</v>
          </cell>
          <cell r="L221">
            <v>0</v>
          </cell>
        </row>
        <row r="222">
          <cell r="A222">
            <v>3500</v>
          </cell>
          <cell r="B222" t="str">
            <v xml:space="preserve">     CIAC-STRUCT/IMPRV PUMP PL</v>
          </cell>
          <cell r="L222">
            <v>0</v>
          </cell>
        </row>
        <row r="223">
          <cell r="A223">
            <v>3505</v>
          </cell>
          <cell r="B223" t="str">
            <v xml:space="preserve">     CIAC-STRUCT/IMPRV TREAT P</v>
          </cell>
          <cell r="L223">
            <v>0</v>
          </cell>
        </row>
        <row r="224">
          <cell r="A224">
            <v>3520</v>
          </cell>
          <cell r="B224" t="str">
            <v xml:space="preserve">     CIAC-STRUCT/IMPRV GEN PLT</v>
          </cell>
          <cell r="L224">
            <v>0</v>
          </cell>
        </row>
        <row r="225">
          <cell r="A225">
            <v>3555</v>
          </cell>
          <cell r="B225" t="str">
            <v xml:space="preserve">     CIAC-SEWER GRAVITY MAIN</v>
          </cell>
          <cell r="L225">
            <v>0</v>
          </cell>
        </row>
        <row r="226">
          <cell r="A226">
            <v>3557</v>
          </cell>
          <cell r="B226" t="str">
            <v xml:space="preserve">     CIAC-MANHOLES</v>
          </cell>
          <cell r="L226">
            <v>0</v>
          </cell>
        </row>
        <row r="227">
          <cell r="A227">
            <v>3565</v>
          </cell>
          <cell r="B227" t="str">
            <v xml:space="preserve">     CIAC-SERVICES TO CUSTOMER</v>
          </cell>
          <cell r="L227">
            <v>0</v>
          </cell>
        </row>
        <row r="228">
          <cell r="A228">
            <v>3605</v>
          </cell>
          <cell r="B228" t="str">
            <v xml:space="preserve">     CIAC-TREAT/DISP EQUIP TRT</v>
          </cell>
          <cell r="L228">
            <v>0</v>
          </cell>
        </row>
        <row r="229">
          <cell r="A229">
            <v>3705</v>
          </cell>
          <cell r="B229" t="str">
            <v xml:space="preserve">     CIAC-SEWER-TAP</v>
          </cell>
          <cell r="L229">
            <v>0</v>
          </cell>
        </row>
        <row r="230">
          <cell r="A230">
            <v>3720</v>
          </cell>
          <cell r="B230" t="str">
            <v xml:space="preserve">     CIAC-SWR PLT MOD FEE</v>
          </cell>
          <cell r="L230">
            <v>0</v>
          </cell>
        </row>
        <row r="231">
          <cell r="A231">
            <v>3800</v>
          </cell>
          <cell r="B231" t="str">
            <v xml:space="preserve">     ACC AMORT ORGANIZATION</v>
          </cell>
          <cell r="L231">
            <v>0</v>
          </cell>
        </row>
        <row r="232">
          <cell r="A232">
            <v>3840</v>
          </cell>
          <cell r="B232" t="str">
            <v xml:space="preserve">     ACC AMORT WELLS &amp; SPRINGS</v>
          </cell>
          <cell r="L232">
            <v>0</v>
          </cell>
        </row>
        <row r="233">
          <cell r="A233">
            <v>3885</v>
          </cell>
          <cell r="B233" t="str">
            <v xml:space="preserve">     ACC AMORT TRANS &amp; DISTR M</v>
          </cell>
          <cell r="L233">
            <v>0</v>
          </cell>
        </row>
        <row r="234">
          <cell r="A234">
            <v>3890</v>
          </cell>
          <cell r="B234" t="str">
            <v xml:space="preserve">     ACC AMORT SERVICE LINES</v>
          </cell>
          <cell r="L234">
            <v>0</v>
          </cell>
        </row>
        <row r="235">
          <cell r="A235">
            <v>3905</v>
          </cell>
          <cell r="B235" t="str">
            <v xml:space="preserve">     ACC AMORT HYDRANTS</v>
          </cell>
          <cell r="L235">
            <v>0</v>
          </cell>
        </row>
        <row r="236">
          <cell r="A236">
            <v>3975</v>
          </cell>
          <cell r="B236" t="str">
            <v xml:space="preserve">     ACC AMORT OTHER TANG PLT</v>
          </cell>
          <cell r="L236">
            <v>0</v>
          </cell>
        </row>
        <row r="237">
          <cell r="A237">
            <v>3980</v>
          </cell>
          <cell r="B237" t="str">
            <v xml:space="preserve">     ACC AMORT WATER-CIAC TAP</v>
          </cell>
          <cell r="L237">
            <v>0</v>
          </cell>
        </row>
        <row r="238">
          <cell r="A238">
            <v>4000</v>
          </cell>
          <cell r="B238" t="str">
            <v xml:space="preserve">     ACC AMORT WTR PLT MOD FEE</v>
          </cell>
          <cell r="L238">
            <v>0</v>
          </cell>
        </row>
        <row r="239">
          <cell r="A239">
            <v>4005</v>
          </cell>
          <cell r="B239" t="str">
            <v xml:space="preserve">     ACC AMORT WTR PLT MTR FEE</v>
          </cell>
          <cell r="L239">
            <v>0</v>
          </cell>
        </row>
        <row r="240">
          <cell r="A240">
            <v>4030</v>
          </cell>
          <cell r="B240" t="str">
            <v xml:space="preserve">     ACC AMORT ORGANIZATION</v>
          </cell>
          <cell r="L240">
            <v>0</v>
          </cell>
        </row>
        <row r="241">
          <cell r="A241">
            <v>4050</v>
          </cell>
          <cell r="B241" t="str">
            <v xml:space="preserve">     ACC AMORTSTRUCT/IMPRV PUM</v>
          </cell>
          <cell r="L241">
            <v>0</v>
          </cell>
        </row>
        <row r="242">
          <cell r="A242">
            <v>4055</v>
          </cell>
          <cell r="B242" t="str">
            <v xml:space="preserve">     ACC AMORTSTRUCT/IMPRV TRE</v>
          </cell>
          <cell r="L242">
            <v>0</v>
          </cell>
        </row>
        <row r="243">
          <cell r="A243">
            <v>4070</v>
          </cell>
          <cell r="B243" t="str">
            <v xml:space="preserve">     ACC AMORTSTRUCT/IMPRV GEN</v>
          </cell>
          <cell r="L243">
            <v>0</v>
          </cell>
        </row>
        <row r="244">
          <cell r="A244">
            <v>4105</v>
          </cell>
          <cell r="B244" t="str">
            <v xml:space="preserve">     ACC AMORT SEWER GRAVITY M</v>
          </cell>
          <cell r="L244">
            <v>0</v>
          </cell>
        </row>
        <row r="245">
          <cell r="A245">
            <v>4115</v>
          </cell>
          <cell r="B245" t="str">
            <v xml:space="preserve">     ACC AMORT SERVICES TO CUS</v>
          </cell>
          <cell r="L245">
            <v>0</v>
          </cell>
        </row>
        <row r="246">
          <cell r="A246">
            <v>4265</v>
          </cell>
          <cell r="B246" t="str">
            <v xml:space="preserve">     ACC AMORT SEWER-TAP</v>
          </cell>
          <cell r="L246">
            <v>0</v>
          </cell>
        </row>
        <row r="247">
          <cell r="A247">
            <v>4280</v>
          </cell>
          <cell r="B247" t="str">
            <v xml:space="preserve">     ACC AMORT SWR PLT MOD FEE</v>
          </cell>
          <cell r="L247">
            <v>0</v>
          </cell>
        </row>
        <row r="248">
          <cell r="B248" t="str">
            <v>CIAC (Water)</v>
          </cell>
          <cell r="L248">
            <v>-2322895.6671815161</v>
          </cell>
        </row>
        <row r="249">
          <cell r="B249" t="str">
            <v>CIAC (Sewer)</v>
          </cell>
          <cell r="L249">
            <v>-6198238.9539999999</v>
          </cell>
        </row>
        <row r="250">
          <cell r="B250" t="str">
            <v>CIAC Accumulated Amortization (Water)</v>
          </cell>
          <cell r="L250">
            <v>694878.58000000077</v>
          </cell>
        </row>
        <row r="251">
          <cell r="B251" t="str">
            <v>CIAC Accumulated Amortization (Sewer)</v>
          </cell>
          <cell r="L251">
            <v>1955637.0599999998</v>
          </cell>
        </row>
        <row r="252">
          <cell r="A252">
            <v>4356</v>
          </cell>
          <cell r="B252" t="str">
            <v xml:space="preserve">     COST FREE CAPITAL-WATER</v>
          </cell>
          <cell r="L252" t="e">
            <v>#VALUE!</v>
          </cell>
        </row>
        <row r="253">
          <cell r="A253">
            <v>4357</v>
          </cell>
          <cell r="B253" t="str">
            <v xml:space="preserve">     COST FREE CAPITAL-SEWER</v>
          </cell>
          <cell r="L253" t="e">
            <v>#VALUE!</v>
          </cell>
        </row>
        <row r="254">
          <cell r="A254">
            <v>4358</v>
          </cell>
          <cell r="B254" t="str">
            <v xml:space="preserve">     GOS &amp; FLOW BACK TAXES-WAT</v>
          </cell>
          <cell r="L254" t="e">
            <v>#VALUE!</v>
          </cell>
        </row>
        <row r="255">
          <cell r="A255">
            <v>4369</v>
          </cell>
          <cell r="B255" t="str">
            <v xml:space="preserve">     DEF FED TAX - CIAC PRE 19</v>
          </cell>
          <cell r="L255" t="e">
            <v>#VALUE!</v>
          </cell>
        </row>
        <row r="256">
          <cell r="A256">
            <v>4371</v>
          </cell>
          <cell r="B256" t="str">
            <v xml:space="preserve">     DEF FED TAX - TAP FEE POS</v>
          </cell>
          <cell r="L256" t="e">
            <v>#VALUE!</v>
          </cell>
        </row>
        <row r="257">
          <cell r="A257">
            <v>4375</v>
          </cell>
          <cell r="B257" t="str">
            <v xml:space="preserve">     DEF FED TAX - RATE CASE</v>
          </cell>
          <cell r="L257" t="e">
            <v>#VALUE!</v>
          </cell>
        </row>
        <row r="258">
          <cell r="A258">
            <v>4377</v>
          </cell>
          <cell r="B258" t="str">
            <v xml:space="preserve">     DEF FED TAX - DEF MAINT</v>
          </cell>
          <cell r="L258" t="e">
            <v>#VALUE!</v>
          </cell>
        </row>
        <row r="259">
          <cell r="A259">
            <v>4383</v>
          </cell>
          <cell r="B259" t="str">
            <v xml:space="preserve">     DEF FED TAX - ORGN EXP</v>
          </cell>
          <cell r="L259" t="e">
            <v>#VALUE!</v>
          </cell>
        </row>
        <row r="260">
          <cell r="A260">
            <v>4385</v>
          </cell>
          <cell r="B260" t="str">
            <v xml:space="preserve">     DEF FED TAX - BAD DEBT</v>
          </cell>
          <cell r="L260" t="e">
            <v>#VALUE!</v>
          </cell>
        </row>
        <row r="261">
          <cell r="A261">
            <v>4387</v>
          </cell>
          <cell r="B261" t="str">
            <v xml:space="preserve">     DEF FED TAX - DEPRECIATIO</v>
          </cell>
          <cell r="L261" t="e">
            <v>#VALUE!</v>
          </cell>
        </row>
        <row r="262">
          <cell r="A262">
            <v>4419</v>
          </cell>
          <cell r="B262" t="str">
            <v xml:space="preserve">     DEF ST TAX - CIAC PRE 198</v>
          </cell>
          <cell r="L262" t="e">
            <v>#VALUE!</v>
          </cell>
        </row>
        <row r="263">
          <cell r="A263">
            <v>4421</v>
          </cell>
          <cell r="B263" t="str">
            <v xml:space="preserve">     DEF ST TAX - TAP FEE POST</v>
          </cell>
          <cell r="L263" t="e">
            <v>#VALUE!</v>
          </cell>
        </row>
        <row r="264">
          <cell r="A264">
            <v>4425</v>
          </cell>
          <cell r="B264" t="str">
            <v xml:space="preserve">     DEF ST TAX - RATE CASE</v>
          </cell>
          <cell r="L264" t="e">
            <v>#VALUE!</v>
          </cell>
        </row>
        <row r="265">
          <cell r="A265">
            <v>4427</v>
          </cell>
          <cell r="B265" t="str">
            <v xml:space="preserve">     DEF ST TAX - DEF MAINT</v>
          </cell>
          <cell r="L265" t="e">
            <v>#VALUE!</v>
          </cell>
        </row>
        <row r="266">
          <cell r="A266">
            <v>4433</v>
          </cell>
          <cell r="B266" t="str">
            <v xml:space="preserve">     DEF ST TAX - ORGN EXP</v>
          </cell>
          <cell r="L266" t="e">
            <v>#VALUE!</v>
          </cell>
        </row>
        <row r="267">
          <cell r="A267">
            <v>4435</v>
          </cell>
          <cell r="B267" t="str">
            <v xml:space="preserve">     DEF ST TAX - BAD DEBT</v>
          </cell>
          <cell r="L267" t="e">
            <v>#VALUE!</v>
          </cell>
        </row>
        <row r="268">
          <cell r="A268">
            <v>4437</v>
          </cell>
          <cell r="B268" t="str">
            <v xml:space="preserve">     DEF ST TAX - DEPRECIATION</v>
          </cell>
          <cell r="L268" t="e">
            <v>#VALUE!</v>
          </cell>
        </row>
        <row r="269">
          <cell r="A269">
            <v>4460</v>
          </cell>
          <cell r="B269" t="str">
            <v xml:space="preserve">    UNAMORT INVEST TAX CREDIT</v>
          </cell>
          <cell r="L269" t="e">
            <v>#VALUE!</v>
          </cell>
        </row>
        <row r="270">
          <cell r="A270">
            <v>4515</v>
          </cell>
          <cell r="B270" t="str">
            <v xml:space="preserve">     A/P TRADE</v>
          </cell>
          <cell r="L270" t="e">
            <v>#VALUE!</v>
          </cell>
        </row>
        <row r="271">
          <cell r="A271">
            <v>4525</v>
          </cell>
          <cell r="B271" t="str">
            <v xml:space="preserve">     A/P TRADE - ACCRUAL</v>
          </cell>
          <cell r="L271" t="e">
            <v>#VALUE!</v>
          </cell>
        </row>
        <row r="272">
          <cell r="A272">
            <v>4527</v>
          </cell>
          <cell r="B272" t="str">
            <v xml:space="preserve">     A/P TRADE - RECD NOT VOUC</v>
          </cell>
          <cell r="L272" t="e">
            <v>#VALUE!</v>
          </cell>
        </row>
        <row r="273">
          <cell r="A273">
            <v>4535</v>
          </cell>
          <cell r="B273" t="str">
            <v xml:space="preserve">     A/P-ASSOC COMPANIES</v>
          </cell>
          <cell r="L273" t="e">
            <v>#VALUE!</v>
          </cell>
        </row>
        <row r="274">
          <cell r="A274">
            <v>4545</v>
          </cell>
          <cell r="B274" t="str">
            <v xml:space="preserve">     A/P MISCELLANEOUS</v>
          </cell>
          <cell r="L274" t="e">
            <v>#VALUE!</v>
          </cell>
        </row>
        <row r="275">
          <cell r="A275">
            <v>4565</v>
          </cell>
          <cell r="B275" t="str">
            <v xml:space="preserve">    ADVANCES FROM UTILITIES IN</v>
          </cell>
          <cell r="L275" t="e">
            <v>#VALUE!</v>
          </cell>
        </row>
        <row r="276">
          <cell r="A276">
            <v>4595</v>
          </cell>
          <cell r="B276" t="str">
            <v xml:space="preserve">    CUSTOMER DEPOSITS</v>
          </cell>
          <cell r="L276" t="e">
            <v>#VALUE!</v>
          </cell>
        </row>
        <row r="277">
          <cell r="A277">
            <v>4612</v>
          </cell>
          <cell r="B277" t="str">
            <v xml:space="preserve">     ACCRUED TAXES GENERAL</v>
          </cell>
          <cell r="L277" t="e">
            <v>#VALUE!</v>
          </cell>
        </row>
        <row r="278">
          <cell r="A278">
            <v>4614</v>
          </cell>
          <cell r="B278" t="str">
            <v xml:space="preserve">     ACCRUED GROSS RECEIPT TAX</v>
          </cell>
          <cell r="L278" t="e">
            <v>#VALUE!</v>
          </cell>
        </row>
        <row r="279">
          <cell r="A279">
            <v>4618</v>
          </cell>
          <cell r="B279" t="str">
            <v xml:space="preserve">     ACCRUED UTIL OR COMM TAX</v>
          </cell>
          <cell r="L279" t="e">
            <v>#VALUE!</v>
          </cell>
        </row>
        <row r="280">
          <cell r="A280">
            <v>4628</v>
          </cell>
          <cell r="B280" t="str">
            <v xml:space="preserve">     ACCRUED REAL EST TAX</v>
          </cell>
          <cell r="L280" t="e">
            <v>#VALUE!</v>
          </cell>
        </row>
        <row r="281">
          <cell r="A281">
            <v>4634</v>
          </cell>
          <cell r="B281" t="str">
            <v xml:space="preserve">     ACCRUED SALES TAX</v>
          </cell>
          <cell r="L281" t="e">
            <v>#VALUE!</v>
          </cell>
        </row>
        <row r="282">
          <cell r="A282">
            <v>4635</v>
          </cell>
          <cell r="B282" t="str">
            <v xml:space="preserve">     ACCRUED USE TAX</v>
          </cell>
          <cell r="L282" t="e">
            <v>#VALUE!</v>
          </cell>
        </row>
        <row r="283">
          <cell r="A283">
            <v>4659</v>
          </cell>
          <cell r="B283" t="str">
            <v xml:space="preserve">     ACCRUED FED INCOME TAX</v>
          </cell>
          <cell r="L283" t="e">
            <v>#VALUE!</v>
          </cell>
        </row>
        <row r="284">
          <cell r="A284">
            <v>4661</v>
          </cell>
          <cell r="B284" t="str">
            <v xml:space="preserve">     ACCRUED ST INCOME TAX</v>
          </cell>
          <cell r="L284" t="e">
            <v>#VALUE!</v>
          </cell>
        </row>
        <row r="285">
          <cell r="A285">
            <v>4685</v>
          </cell>
          <cell r="B285" t="str">
            <v xml:space="preserve">     ACCRUED CUST DEP INTEREST</v>
          </cell>
          <cell r="L285" t="e">
            <v>#VALUE!</v>
          </cell>
        </row>
        <row r="286">
          <cell r="A286">
            <v>4735</v>
          </cell>
          <cell r="B286" t="str">
            <v xml:space="preserve">    PAYABLE TO DEVELOPER</v>
          </cell>
          <cell r="L286" t="e">
            <v>#VALUE!</v>
          </cell>
        </row>
        <row r="287">
          <cell r="A287">
            <v>4760</v>
          </cell>
          <cell r="B287" t="str">
            <v xml:space="preserve">     COMMON STOCK</v>
          </cell>
          <cell r="L287" t="e">
            <v>#VALUE!</v>
          </cell>
        </row>
        <row r="288">
          <cell r="A288">
            <v>4780</v>
          </cell>
          <cell r="B288" t="str">
            <v xml:space="preserve">    PAID IN CAPITAL</v>
          </cell>
          <cell r="L288" t="e">
            <v>#VALUE!</v>
          </cell>
        </row>
        <row r="289">
          <cell r="A289">
            <v>4785</v>
          </cell>
          <cell r="B289" t="str">
            <v xml:space="preserve">    MISC PAID IN CAPITAL</v>
          </cell>
          <cell r="L289" t="e">
            <v>#VALUE!</v>
          </cell>
        </row>
        <row r="290">
          <cell r="A290">
            <v>4998</v>
          </cell>
          <cell r="B290" t="str">
            <v xml:space="preserve">    RETAINED EARN-PRIOR YEARS</v>
          </cell>
          <cell r="L290" t="e">
            <v>#VALUE!</v>
          </cell>
        </row>
        <row r="291">
          <cell r="A291">
            <v>5020</v>
          </cell>
          <cell r="B291" t="str">
            <v xml:space="preserve">    WATER REVENUE UNMETERED</v>
          </cell>
          <cell r="L291">
            <v>0</v>
          </cell>
        </row>
        <row r="292">
          <cell r="A292">
            <v>5025</v>
          </cell>
          <cell r="B292" t="str">
            <v xml:space="preserve">    WATER REVENUE-RESIDENTIAL</v>
          </cell>
          <cell r="L292">
            <v>-417642.82</v>
          </cell>
        </row>
        <row r="293">
          <cell r="A293">
            <v>5030</v>
          </cell>
          <cell r="B293" t="str">
            <v xml:space="preserve">    WATER REVENUE-ACCRUALS</v>
          </cell>
          <cell r="L293">
            <v>-2064.0300000000002</v>
          </cell>
        </row>
        <row r="294">
          <cell r="A294">
            <v>5035</v>
          </cell>
          <cell r="B294" t="str">
            <v xml:space="preserve">    WATER REVENUE-COMMERCIAL</v>
          </cell>
          <cell r="L294">
            <v>0</v>
          </cell>
        </row>
        <row r="295">
          <cell r="A295">
            <v>5050</v>
          </cell>
          <cell r="B295" t="str">
            <v xml:space="preserve">    WATER REVENUE-MULT FAM DWE</v>
          </cell>
          <cell r="L295">
            <v>0</v>
          </cell>
        </row>
        <row r="296">
          <cell r="A296">
            <v>5052</v>
          </cell>
          <cell r="B296" t="str">
            <v xml:space="preserve">    WATER REVENUE-GUARANTEED</v>
          </cell>
          <cell r="L296">
            <v>-29890.94</v>
          </cell>
        </row>
        <row r="297">
          <cell r="A297">
            <v>5100</v>
          </cell>
          <cell r="B297" t="str">
            <v xml:space="preserve">    SEWER REVENUE-RESIDENTIAL</v>
          </cell>
          <cell r="L297">
            <v>-636422.6</v>
          </cell>
        </row>
        <row r="298">
          <cell r="A298">
            <v>5105</v>
          </cell>
          <cell r="B298" t="str">
            <v xml:space="preserve">    SEWER REVENUE-ACCRUALS</v>
          </cell>
          <cell r="L298">
            <v>714.96</v>
          </cell>
        </row>
        <row r="299">
          <cell r="A299">
            <v>5128</v>
          </cell>
          <cell r="B299" t="str">
            <v xml:space="preserve">    SEWER REVENUE-GUARANTEED</v>
          </cell>
          <cell r="L299">
            <v>-23497.24</v>
          </cell>
        </row>
        <row r="300">
          <cell r="A300">
            <v>5140</v>
          </cell>
          <cell r="B300" t="str">
            <v xml:space="preserve">    SEWER REVENUE-RESIDENTIAL</v>
          </cell>
          <cell r="L300">
            <v>0</v>
          </cell>
        </row>
        <row r="301">
          <cell r="A301">
            <v>5155</v>
          </cell>
          <cell r="B301" t="str">
            <v xml:space="preserve">    SEWER REVENUE-COMMERCIAL</v>
          </cell>
          <cell r="L301">
            <v>-14078.53</v>
          </cell>
        </row>
        <row r="302">
          <cell r="A302">
            <v>5265</v>
          </cell>
          <cell r="B302" t="str">
            <v xml:space="preserve">   FORFEITED DISCOUNTS</v>
          </cell>
          <cell r="L302">
            <v>-3376.26</v>
          </cell>
        </row>
        <row r="303">
          <cell r="A303">
            <v>5285</v>
          </cell>
          <cell r="B303" t="str">
            <v xml:space="preserve">   OTHER W/S REVENUES</v>
          </cell>
          <cell r="L303">
            <v>-8722</v>
          </cell>
        </row>
        <row r="304">
          <cell r="A304">
            <v>5435</v>
          </cell>
          <cell r="B304" t="str">
            <v xml:space="preserve">    PURCHASED WATER-WATER SYS</v>
          </cell>
          <cell r="L304">
            <v>0</v>
          </cell>
        </row>
        <row r="305">
          <cell r="A305">
            <v>5440</v>
          </cell>
          <cell r="B305" t="str">
            <v xml:space="preserve">    PURCHASED WATER-SEWER SYS</v>
          </cell>
          <cell r="L305">
            <v>0</v>
          </cell>
        </row>
        <row r="306">
          <cell r="A306">
            <v>5455</v>
          </cell>
          <cell r="B306" t="str">
            <v xml:space="preserve">    PURCHASED SEWER TREATMENT</v>
          </cell>
          <cell r="L306">
            <v>0</v>
          </cell>
        </row>
        <row r="307">
          <cell r="A307">
            <v>5460</v>
          </cell>
          <cell r="B307" t="str">
            <v xml:space="preserve">    PURCHASED SEWER - BILLINGS</v>
          </cell>
          <cell r="L307">
            <v>0</v>
          </cell>
        </row>
        <row r="308">
          <cell r="A308">
            <v>5465</v>
          </cell>
          <cell r="B308" t="str">
            <v xml:space="preserve">    ELEC PWR - WTR SYSTEM SRC</v>
          </cell>
          <cell r="L308">
            <v>26152.9</v>
          </cell>
        </row>
        <row r="309">
          <cell r="A309">
            <v>5470</v>
          </cell>
          <cell r="B309" t="str">
            <v xml:space="preserve">    ELEC PWR - SWR SYSTEM COLL</v>
          </cell>
          <cell r="L309">
            <v>108811.81</v>
          </cell>
        </row>
        <row r="310">
          <cell r="A310">
            <v>5480</v>
          </cell>
          <cell r="B310" t="str">
            <v xml:space="preserve">    CHLORINE</v>
          </cell>
          <cell r="L310">
            <v>16505.12</v>
          </cell>
        </row>
        <row r="311">
          <cell r="A311">
            <v>5485</v>
          </cell>
          <cell r="B311" t="str">
            <v xml:space="preserve">    ODOR CONTROL CHEMICALS</v>
          </cell>
          <cell r="L311">
            <v>0</v>
          </cell>
        </row>
        <row r="312">
          <cell r="A312">
            <v>5490</v>
          </cell>
          <cell r="B312" t="str">
            <v xml:space="preserve">    OTHER TREATMENT CHEMICALS</v>
          </cell>
          <cell r="L312">
            <v>76399.41</v>
          </cell>
        </row>
        <row r="313">
          <cell r="A313">
            <v>5495</v>
          </cell>
          <cell r="B313" t="str">
            <v xml:space="preserve">   METER READING</v>
          </cell>
          <cell r="L313">
            <v>15343.75</v>
          </cell>
        </row>
        <row r="314">
          <cell r="A314">
            <v>5505</v>
          </cell>
          <cell r="B314" t="str">
            <v xml:space="preserve">    AGENCY EXPENSE</v>
          </cell>
          <cell r="L314">
            <v>0</v>
          </cell>
        </row>
        <row r="315">
          <cell r="A315">
            <v>5510</v>
          </cell>
          <cell r="B315" t="str">
            <v xml:space="preserve">    UNCOLLECTIBLE ACCOUNTS</v>
          </cell>
          <cell r="L315">
            <v>8637.2800000000007</v>
          </cell>
        </row>
        <row r="316">
          <cell r="A316">
            <v>5515</v>
          </cell>
          <cell r="B316" t="str">
            <v xml:space="preserve">    UNCOLL ACCOUNTS ACCRUAL</v>
          </cell>
          <cell r="L316">
            <v>-6753.1566786834601</v>
          </cell>
        </row>
        <row r="317">
          <cell r="A317">
            <v>5540</v>
          </cell>
          <cell r="B317" t="str">
            <v xml:space="preserve">    BILLING POSTAGE</v>
          </cell>
          <cell r="L317">
            <v>0</v>
          </cell>
        </row>
        <row r="318">
          <cell r="A318">
            <v>5545</v>
          </cell>
          <cell r="B318" t="str">
            <v xml:space="preserve">    CUSTOMER SERVICE PRINTING</v>
          </cell>
          <cell r="L318">
            <v>3.5939706446931043</v>
          </cell>
        </row>
        <row r="319">
          <cell r="A319">
            <v>5650</v>
          </cell>
          <cell r="B319" t="str">
            <v xml:space="preserve">    HEALTH COSTS &amp; OTHER</v>
          </cell>
          <cell r="L319">
            <v>0</v>
          </cell>
        </row>
        <row r="320">
          <cell r="A320">
            <v>5690</v>
          </cell>
          <cell r="B320" t="str">
            <v xml:space="preserve">    TUITION</v>
          </cell>
          <cell r="L320">
            <v>0</v>
          </cell>
        </row>
        <row r="321">
          <cell r="A321">
            <v>5740</v>
          </cell>
          <cell r="B321" t="str">
            <v xml:space="preserve">    COMPUTER SUPPLIES</v>
          </cell>
          <cell r="L321">
            <v>0</v>
          </cell>
        </row>
        <row r="322">
          <cell r="A322">
            <v>5750</v>
          </cell>
          <cell r="B322" t="str">
            <v xml:space="preserve">    INTERNET SUPPLIER</v>
          </cell>
          <cell r="L322">
            <v>0</v>
          </cell>
        </row>
        <row r="323">
          <cell r="A323">
            <v>5785</v>
          </cell>
          <cell r="B323" t="str">
            <v xml:space="preserve">    ADVERTISING/MARKETING</v>
          </cell>
          <cell r="L323">
            <v>0</v>
          </cell>
        </row>
        <row r="324">
          <cell r="A324">
            <v>5790</v>
          </cell>
          <cell r="B324" t="str">
            <v xml:space="preserve">    BANK SERVICE CHARGE</v>
          </cell>
          <cell r="L324">
            <v>0</v>
          </cell>
        </row>
        <row r="325">
          <cell r="A325">
            <v>5795</v>
          </cell>
          <cell r="B325" t="str">
            <v xml:space="preserve">    CONTRIBUTIONS</v>
          </cell>
          <cell r="L325">
            <v>0</v>
          </cell>
        </row>
        <row r="326">
          <cell r="A326">
            <v>5800</v>
          </cell>
          <cell r="B326" t="str">
            <v xml:space="preserve">    LETTER OF CREDIT FEE</v>
          </cell>
          <cell r="L326">
            <v>5741.776765110727</v>
          </cell>
        </row>
        <row r="327">
          <cell r="A327">
            <v>5805</v>
          </cell>
          <cell r="B327" t="str">
            <v xml:space="preserve">    LICENSE FEES</v>
          </cell>
          <cell r="L327">
            <v>0</v>
          </cell>
        </row>
        <row r="328">
          <cell r="A328">
            <v>5810</v>
          </cell>
          <cell r="B328" t="str">
            <v xml:space="preserve">    MEMBERSHIPS</v>
          </cell>
          <cell r="L328">
            <v>331.96170232688797</v>
          </cell>
        </row>
        <row r="329">
          <cell r="A329">
            <v>5815</v>
          </cell>
          <cell r="B329" t="str">
            <v xml:space="preserve">    PENALTIES/FINES</v>
          </cell>
          <cell r="L329">
            <v>64000</v>
          </cell>
        </row>
        <row r="330">
          <cell r="A330">
            <v>5820</v>
          </cell>
          <cell r="B330" t="str">
            <v xml:space="preserve">    TRAINING EXPENSE</v>
          </cell>
          <cell r="L330">
            <v>88.822950512664463</v>
          </cell>
        </row>
        <row r="331">
          <cell r="A331">
            <v>5825</v>
          </cell>
          <cell r="B331" t="str">
            <v xml:space="preserve">    OTHER MISC EXPENSE</v>
          </cell>
          <cell r="L331">
            <v>-16829.327200430736</v>
          </cell>
        </row>
        <row r="332">
          <cell r="A332">
            <v>5855</v>
          </cell>
          <cell r="B332" t="str">
            <v xml:space="preserve">    ANSWERING SERVICE</v>
          </cell>
          <cell r="L332">
            <v>522.88</v>
          </cell>
        </row>
        <row r="333">
          <cell r="A333">
            <v>5860</v>
          </cell>
          <cell r="B333" t="str">
            <v xml:space="preserve">    CLEANING SUPPLIES</v>
          </cell>
          <cell r="L333">
            <v>209.41110014513788</v>
          </cell>
        </row>
        <row r="334">
          <cell r="A334">
            <v>5865</v>
          </cell>
          <cell r="B334" t="str">
            <v xml:space="preserve">    COPY MACHINE</v>
          </cell>
          <cell r="L334">
            <v>0</v>
          </cell>
        </row>
        <row r="335">
          <cell r="A335">
            <v>5870</v>
          </cell>
          <cell r="B335" t="str">
            <v xml:space="preserve">    HOLIDAY EVENTS/PICNICS</v>
          </cell>
          <cell r="L335">
            <v>0</v>
          </cell>
        </row>
        <row r="336">
          <cell r="A336">
            <v>5880</v>
          </cell>
          <cell r="B336" t="str">
            <v xml:space="preserve">    OFFICE SUPPLY STORES</v>
          </cell>
          <cell r="L336">
            <v>1303.4921668617446</v>
          </cell>
        </row>
        <row r="337">
          <cell r="A337">
            <v>5885</v>
          </cell>
          <cell r="B337" t="str">
            <v xml:space="preserve">    PRINTING/BLUEPRINTS</v>
          </cell>
          <cell r="L337">
            <v>0</v>
          </cell>
        </row>
        <row r="338">
          <cell r="A338">
            <v>5890</v>
          </cell>
          <cell r="B338" t="str">
            <v xml:space="preserve">    PUBL SUBSCRIPTIONS/TAPES</v>
          </cell>
          <cell r="L338">
            <v>0</v>
          </cell>
        </row>
        <row r="339">
          <cell r="A339">
            <v>5895</v>
          </cell>
          <cell r="B339" t="str">
            <v xml:space="preserve">    SHIPPING CHARGES</v>
          </cell>
          <cell r="L339">
            <v>827.70592377920309</v>
          </cell>
        </row>
        <row r="340">
          <cell r="A340">
            <v>5900</v>
          </cell>
          <cell r="B340" t="str">
            <v xml:space="preserve">    OTHER OFFICE EXPENSES</v>
          </cell>
          <cell r="L340">
            <v>653.61520956037259</v>
          </cell>
        </row>
        <row r="341">
          <cell r="A341">
            <v>5930</v>
          </cell>
          <cell r="B341" t="str">
            <v xml:space="preserve">    OFFICE ELECTRIC</v>
          </cell>
          <cell r="L341">
            <v>2095.37</v>
          </cell>
        </row>
        <row r="342">
          <cell r="A342">
            <v>5935</v>
          </cell>
          <cell r="B342" t="str">
            <v xml:space="preserve">    OFFICE GAS</v>
          </cell>
          <cell r="L342">
            <v>0</v>
          </cell>
        </row>
        <row r="343">
          <cell r="A343">
            <v>5940</v>
          </cell>
          <cell r="B343" t="str">
            <v xml:space="preserve">    OFFICE WATER</v>
          </cell>
          <cell r="L343">
            <v>0</v>
          </cell>
        </row>
        <row r="344">
          <cell r="A344">
            <v>5945</v>
          </cell>
          <cell r="B344" t="str">
            <v xml:space="preserve">    OFFICE TELECOM</v>
          </cell>
          <cell r="L344">
            <v>21.35</v>
          </cell>
        </row>
        <row r="345">
          <cell r="A345">
            <v>5950</v>
          </cell>
          <cell r="B345" t="str">
            <v xml:space="preserve">    OFFICE GARBAGE REMOVAL</v>
          </cell>
          <cell r="L345">
            <v>4244.47</v>
          </cell>
        </row>
        <row r="346">
          <cell r="A346">
            <v>5955</v>
          </cell>
          <cell r="B346" t="str">
            <v xml:space="preserve">    OFFICE LANDSCAPE / MOW / P</v>
          </cell>
          <cell r="L346">
            <v>6149</v>
          </cell>
        </row>
        <row r="347">
          <cell r="A347">
            <v>5960</v>
          </cell>
          <cell r="B347" t="str">
            <v xml:space="preserve">    OFFICE ALARM SYS PHONE EXP</v>
          </cell>
          <cell r="L347">
            <v>0</v>
          </cell>
        </row>
        <row r="348">
          <cell r="A348">
            <v>5965</v>
          </cell>
          <cell r="B348" t="str">
            <v xml:space="preserve">    OFFICE MAINTENANCE</v>
          </cell>
          <cell r="L348">
            <v>56.27</v>
          </cell>
        </row>
        <row r="349">
          <cell r="A349">
            <v>5970</v>
          </cell>
          <cell r="B349" t="str">
            <v xml:space="preserve">    OFFICE CLEANING SERVICE</v>
          </cell>
          <cell r="L349">
            <v>0</v>
          </cell>
        </row>
        <row r="350">
          <cell r="A350">
            <v>5975</v>
          </cell>
          <cell r="B350" t="str">
            <v xml:space="preserve">    OFFICE MACHINE/HEAT&amp;COOL</v>
          </cell>
          <cell r="L350">
            <v>201.76</v>
          </cell>
        </row>
        <row r="351">
          <cell r="A351">
            <v>5980</v>
          </cell>
          <cell r="B351" t="str">
            <v xml:space="preserve">    OTHER OFFICE UTILITIES</v>
          </cell>
          <cell r="L351">
            <v>0</v>
          </cell>
        </row>
        <row r="352">
          <cell r="A352">
            <v>5985</v>
          </cell>
          <cell r="B352" t="str">
            <v xml:space="preserve">    TELEMETERING PHONE EXPENSE</v>
          </cell>
          <cell r="L352">
            <v>89.41</v>
          </cell>
        </row>
        <row r="353">
          <cell r="A353">
            <v>6020</v>
          </cell>
          <cell r="B353" t="str">
            <v xml:space="preserve">    ENGINEERING FEES</v>
          </cell>
          <cell r="L353">
            <v>0</v>
          </cell>
        </row>
        <row r="354">
          <cell r="A354">
            <v>6025</v>
          </cell>
          <cell r="B354" t="str">
            <v xml:space="preserve">    LEGAL FEES</v>
          </cell>
          <cell r="L354">
            <v>0</v>
          </cell>
        </row>
        <row r="355">
          <cell r="A355">
            <v>6045</v>
          </cell>
          <cell r="B355" t="str">
            <v xml:space="preserve">    TEMP EMPLOY - CLERICAL</v>
          </cell>
          <cell r="L355">
            <v>0</v>
          </cell>
        </row>
        <row r="356">
          <cell r="A356">
            <v>6050</v>
          </cell>
          <cell r="B356" t="str">
            <v xml:space="preserve">    OTHER OUTSIDE SERVICES</v>
          </cell>
          <cell r="L356">
            <v>0</v>
          </cell>
        </row>
        <row r="357">
          <cell r="A357">
            <v>6065</v>
          </cell>
          <cell r="B357" t="str">
            <v xml:space="preserve">    RATE CASE AMORT EXPENSE</v>
          </cell>
          <cell r="L357">
            <v>6917.1059314574659</v>
          </cell>
        </row>
        <row r="358">
          <cell r="A358">
            <v>6070</v>
          </cell>
          <cell r="B358" t="str">
            <v xml:space="preserve">    MISC REG MATTERS COMM EXP</v>
          </cell>
          <cell r="L358">
            <v>3858.0773568519126</v>
          </cell>
        </row>
        <row r="359">
          <cell r="A359">
            <v>6090</v>
          </cell>
          <cell r="B359" t="str">
            <v xml:space="preserve">    RENT</v>
          </cell>
          <cell r="L359">
            <v>2507.9421321222908</v>
          </cell>
        </row>
        <row r="360">
          <cell r="A360">
            <v>6110</v>
          </cell>
          <cell r="B360" t="str">
            <v xml:space="preserve">    SALARIES-ACCTG/FINANCE</v>
          </cell>
          <cell r="L360">
            <v>0</v>
          </cell>
        </row>
        <row r="361">
          <cell r="A361">
            <v>6140</v>
          </cell>
          <cell r="B361" t="str">
            <v xml:space="preserve">    SALARIES-REGULATORY</v>
          </cell>
          <cell r="L361">
            <v>15808.278709209233</v>
          </cell>
        </row>
        <row r="362">
          <cell r="A362">
            <v>6145</v>
          </cell>
          <cell r="B362" t="str">
            <v xml:space="preserve">    SALARIES-CUSTOMER SERVICE</v>
          </cell>
          <cell r="L362">
            <v>0</v>
          </cell>
        </row>
        <row r="363">
          <cell r="A363">
            <v>6150</v>
          </cell>
          <cell r="B363" t="str">
            <v xml:space="preserve">    SALARIES-OPERATIONS FIELD</v>
          </cell>
          <cell r="L363">
            <v>161977.38069151176</v>
          </cell>
        </row>
        <row r="364">
          <cell r="A364">
            <v>6155</v>
          </cell>
          <cell r="B364" t="str">
            <v xml:space="preserve">    SALARIES-OPERATIONS OFFICE</v>
          </cell>
          <cell r="L364">
            <v>-9.330141860573999</v>
          </cell>
        </row>
        <row r="365">
          <cell r="A365">
            <v>6165</v>
          </cell>
          <cell r="B365" t="str">
            <v xml:space="preserve">    CAPITALIZED TIME ADJUSTMEN</v>
          </cell>
          <cell r="L365">
            <v>-87598.238676670255</v>
          </cell>
        </row>
        <row r="366">
          <cell r="A366">
            <v>6185</v>
          </cell>
          <cell r="B366" t="str">
            <v xml:space="preserve">    TRAVEL LODGING</v>
          </cell>
          <cell r="L366">
            <v>101.48</v>
          </cell>
        </row>
        <row r="367">
          <cell r="A367">
            <v>6190</v>
          </cell>
          <cell r="B367" t="str">
            <v xml:space="preserve">    TRAVEL AIRFARE</v>
          </cell>
          <cell r="L367">
            <v>0</v>
          </cell>
        </row>
        <row r="368">
          <cell r="A368">
            <v>6195</v>
          </cell>
          <cell r="B368" t="str">
            <v xml:space="preserve">    TRAVEL TRANSPORTATION</v>
          </cell>
          <cell r="L368">
            <v>7.374544126597689</v>
          </cell>
        </row>
        <row r="369">
          <cell r="A369">
            <v>6200</v>
          </cell>
          <cell r="B369" t="str">
            <v xml:space="preserve">    TRAVEL MEALS</v>
          </cell>
          <cell r="L369">
            <v>318.95832033334898</v>
          </cell>
        </row>
        <row r="370">
          <cell r="A370">
            <v>6215</v>
          </cell>
          <cell r="B370" t="str">
            <v xml:space="preserve">    FUEL</v>
          </cell>
          <cell r="L370">
            <v>0</v>
          </cell>
        </row>
        <row r="371">
          <cell r="A371">
            <v>6220</v>
          </cell>
          <cell r="B371" t="str">
            <v xml:space="preserve">    AUTO REPAIR/TIRES</v>
          </cell>
          <cell r="L371">
            <v>0</v>
          </cell>
        </row>
        <row r="372">
          <cell r="A372">
            <v>6225</v>
          </cell>
          <cell r="B372" t="str">
            <v xml:space="preserve">    AUTO LICENSES</v>
          </cell>
          <cell r="L372">
            <v>0</v>
          </cell>
        </row>
        <row r="373">
          <cell r="A373">
            <v>6230</v>
          </cell>
          <cell r="B373" t="str">
            <v xml:space="preserve">    OTHER TRANS EXPENSES</v>
          </cell>
          <cell r="L373">
            <v>0</v>
          </cell>
        </row>
        <row r="374">
          <cell r="A374">
            <v>6255</v>
          </cell>
          <cell r="B374" t="str">
            <v xml:space="preserve">    TEST-WATER</v>
          </cell>
          <cell r="L374">
            <v>1843.33</v>
          </cell>
        </row>
        <row r="375">
          <cell r="A375">
            <v>6260</v>
          </cell>
          <cell r="B375" t="str">
            <v xml:space="preserve">    TEST-EQUIP/CHEMICAL</v>
          </cell>
          <cell r="L375">
            <v>401.32</v>
          </cell>
        </row>
        <row r="376">
          <cell r="A376">
            <v>6265</v>
          </cell>
          <cell r="B376" t="str">
            <v xml:space="preserve">    TEST-SAFE WATER DRINKING</v>
          </cell>
          <cell r="L376">
            <v>0</v>
          </cell>
        </row>
        <row r="377">
          <cell r="A377">
            <v>6270</v>
          </cell>
          <cell r="B377" t="str">
            <v xml:space="preserve">    TEST-SEWER</v>
          </cell>
          <cell r="L377">
            <v>17525.37</v>
          </cell>
        </row>
        <row r="378">
          <cell r="A378">
            <v>6285</v>
          </cell>
          <cell r="B378" t="str">
            <v xml:space="preserve">    WATER-MAINT SUPPLIES</v>
          </cell>
          <cell r="L378">
            <v>888.44425661313733</v>
          </cell>
        </row>
        <row r="379">
          <cell r="A379">
            <v>6290</v>
          </cell>
          <cell r="B379" t="str">
            <v xml:space="preserve">    WATER-MAINT REPAIRS</v>
          </cell>
          <cell r="L379">
            <v>2480.9699999999998</v>
          </cell>
        </row>
        <row r="380">
          <cell r="A380">
            <v>6295</v>
          </cell>
          <cell r="B380" t="str">
            <v xml:space="preserve">    WATER-MAIN BREAKS</v>
          </cell>
          <cell r="L380">
            <v>2852.45</v>
          </cell>
        </row>
        <row r="381">
          <cell r="A381">
            <v>6300</v>
          </cell>
          <cell r="B381" t="str">
            <v xml:space="preserve">    WATER-ELEC EQUIPT REPAIR</v>
          </cell>
          <cell r="L381">
            <v>268.75</v>
          </cell>
        </row>
        <row r="382">
          <cell r="A382">
            <v>6305</v>
          </cell>
          <cell r="B382" t="str">
            <v xml:space="preserve">    WATER-PERMITS</v>
          </cell>
          <cell r="L382">
            <v>1585</v>
          </cell>
        </row>
        <row r="383">
          <cell r="A383">
            <v>6310</v>
          </cell>
          <cell r="B383" t="str">
            <v xml:space="preserve">    WATER-OTHER MAINT EXP</v>
          </cell>
          <cell r="L383">
            <v>4051.24</v>
          </cell>
        </row>
        <row r="384">
          <cell r="A384">
            <v>6320</v>
          </cell>
          <cell r="B384" t="str">
            <v xml:space="preserve">    SEWER-MAINT SUPPLIES</v>
          </cell>
          <cell r="L384">
            <v>4144.6183557527793</v>
          </cell>
        </row>
        <row r="385">
          <cell r="A385">
            <v>6325</v>
          </cell>
          <cell r="B385" t="str">
            <v xml:space="preserve">    SEWER-MAINT REPAIRS</v>
          </cell>
          <cell r="L385">
            <v>2509.9299999999998</v>
          </cell>
        </row>
        <row r="386">
          <cell r="A386">
            <v>6330</v>
          </cell>
          <cell r="B386" t="str">
            <v xml:space="preserve">    SEWER-MAIN BREAKS</v>
          </cell>
          <cell r="L386">
            <v>0</v>
          </cell>
        </row>
        <row r="387">
          <cell r="A387">
            <v>6335</v>
          </cell>
          <cell r="B387" t="str">
            <v xml:space="preserve">    SEWER-ELEC EQUIPT REPAIR</v>
          </cell>
          <cell r="L387">
            <v>835.72</v>
          </cell>
        </row>
        <row r="388">
          <cell r="A388">
            <v>6340</v>
          </cell>
          <cell r="B388" t="str">
            <v xml:space="preserve">    SEWER-PERMITS</v>
          </cell>
          <cell r="L388">
            <v>1670</v>
          </cell>
        </row>
        <row r="389">
          <cell r="A389">
            <v>6345</v>
          </cell>
          <cell r="B389" t="str">
            <v xml:space="preserve">    SEWER-OTHER MAINT EXP</v>
          </cell>
          <cell r="L389">
            <v>31525.24</v>
          </cell>
        </row>
        <row r="390">
          <cell r="A390">
            <v>6355</v>
          </cell>
          <cell r="B390" t="str">
            <v xml:space="preserve">    DEFERRED MAINT EXPENSE</v>
          </cell>
          <cell r="L390">
            <v>32.51</v>
          </cell>
        </row>
        <row r="391">
          <cell r="A391">
            <v>6360</v>
          </cell>
          <cell r="B391" t="str">
            <v xml:space="preserve">    COMMUNICATION EXPENSE</v>
          </cell>
          <cell r="L391">
            <v>2154.83</v>
          </cell>
        </row>
        <row r="392">
          <cell r="A392">
            <v>6365</v>
          </cell>
          <cell r="B392" t="str">
            <v xml:space="preserve">    EQUIPMENT RENTALS</v>
          </cell>
          <cell r="L392">
            <v>0</v>
          </cell>
        </row>
        <row r="393">
          <cell r="A393">
            <v>6370</v>
          </cell>
          <cell r="B393" t="str">
            <v xml:space="preserve">    OPER CONTRACTED WORKERS</v>
          </cell>
          <cell r="L393">
            <v>0</v>
          </cell>
        </row>
        <row r="394">
          <cell r="A394">
            <v>6375</v>
          </cell>
          <cell r="B394" t="str">
            <v xml:space="preserve">    OUTSIDE LAB FEES-LAB,LAND</v>
          </cell>
          <cell r="L394">
            <v>0</v>
          </cell>
        </row>
        <row r="395">
          <cell r="A395">
            <v>6380</v>
          </cell>
          <cell r="B395" t="str">
            <v xml:space="preserve">    REPAIRS &amp; MAINT-MAINT,LAND</v>
          </cell>
          <cell r="L395">
            <v>0</v>
          </cell>
        </row>
        <row r="396">
          <cell r="A396">
            <v>6385</v>
          </cell>
          <cell r="B396" t="str">
            <v xml:space="preserve">    UNIFORMS</v>
          </cell>
          <cell r="L396">
            <v>566.37904386909509</v>
          </cell>
        </row>
        <row r="397">
          <cell r="A397">
            <v>6390</v>
          </cell>
          <cell r="B397" t="str">
            <v xml:space="preserve">    WEATHER/HURRICANE/FUEL EXP</v>
          </cell>
          <cell r="L397">
            <v>20428.97</v>
          </cell>
        </row>
        <row r="398">
          <cell r="A398">
            <v>6400</v>
          </cell>
          <cell r="B398" t="str">
            <v xml:space="preserve">   SEWER RODDING</v>
          </cell>
          <cell r="L398">
            <v>25818</v>
          </cell>
        </row>
        <row r="399">
          <cell r="A399">
            <v>6410</v>
          </cell>
          <cell r="B399" t="str">
            <v xml:space="preserve">   SLUDGE HAULING</v>
          </cell>
          <cell r="L399">
            <v>28516.7</v>
          </cell>
        </row>
        <row r="400">
          <cell r="A400">
            <v>6445</v>
          </cell>
          <cell r="B400" t="str">
            <v xml:space="preserve">    DEPREC-ORGANIZATION</v>
          </cell>
          <cell r="L400">
            <v>1400.5720621751955</v>
          </cell>
        </row>
        <row r="401">
          <cell r="A401">
            <v>6450</v>
          </cell>
          <cell r="B401" t="str">
            <v xml:space="preserve">    DEPREC-FRANCHISES</v>
          </cell>
          <cell r="L401">
            <v>0</v>
          </cell>
        </row>
        <row r="402">
          <cell r="A402">
            <v>6455</v>
          </cell>
          <cell r="B402" t="str">
            <v xml:space="preserve">    DEPREC-STRUCT &amp; IMPRV SRC</v>
          </cell>
          <cell r="L402">
            <v>1154.0221991666276</v>
          </cell>
        </row>
        <row r="403">
          <cell r="A403">
            <v>6460</v>
          </cell>
          <cell r="B403" t="str">
            <v xml:space="preserve">    DEPREC-STRUCT &amp; IMPRV WTP</v>
          </cell>
          <cell r="L403">
            <v>628.05999999999995</v>
          </cell>
        </row>
        <row r="404">
          <cell r="A404">
            <v>6465</v>
          </cell>
          <cell r="B404" t="str">
            <v xml:space="preserve">    DEPREC-STRUCT &amp; IMPRV DIST</v>
          </cell>
          <cell r="L404">
            <v>0</v>
          </cell>
        </row>
        <row r="405">
          <cell r="A405">
            <v>6470</v>
          </cell>
          <cell r="B405" t="str">
            <v xml:space="preserve">    DEPREC-STRUCT &amp; IMPRV GEN</v>
          </cell>
          <cell r="L405">
            <v>7.92</v>
          </cell>
        </row>
        <row r="406">
          <cell r="A406">
            <v>6485</v>
          </cell>
          <cell r="B406" t="str">
            <v xml:space="preserve">    DEPREC-WELLS &amp; SPRINGS</v>
          </cell>
          <cell r="L406">
            <v>6974.45</v>
          </cell>
        </row>
        <row r="407">
          <cell r="A407">
            <v>6490</v>
          </cell>
          <cell r="B407" t="str">
            <v xml:space="preserve">    DEPREC-INFILTRATION GALLER</v>
          </cell>
          <cell r="L407">
            <v>0</v>
          </cell>
        </row>
        <row r="408">
          <cell r="A408">
            <v>6495</v>
          </cell>
          <cell r="B408" t="str">
            <v xml:space="preserve">    DEPREC-SUPPLY MAINS</v>
          </cell>
          <cell r="L408">
            <v>0</v>
          </cell>
        </row>
        <row r="409">
          <cell r="A409">
            <v>6500</v>
          </cell>
          <cell r="B409" t="str">
            <v xml:space="preserve">    DEPREC-POWER GEN EQP</v>
          </cell>
          <cell r="L409">
            <v>0</v>
          </cell>
        </row>
        <row r="410">
          <cell r="A410">
            <v>6505</v>
          </cell>
          <cell r="B410" t="str">
            <v xml:space="preserve">    DEPREC-ELEC PUMP EQP SRC P</v>
          </cell>
          <cell r="L410">
            <v>42.747846809307546</v>
          </cell>
        </row>
        <row r="411">
          <cell r="A411">
            <v>6510</v>
          </cell>
          <cell r="B411" t="str">
            <v xml:space="preserve">    DEPREC-ELEC PUMP EQP WTP</v>
          </cell>
          <cell r="L411">
            <v>3743.96</v>
          </cell>
        </row>
        <row r="412">
          <cell r="A412">
            <v>6515</v>
          </cell>
          <cell r="B412" t="str">
            <v xml:space="preserve">    DEPREC-ELEC PUMP EQP TRANS</v>
          </cell>
          <cell r="L412">
            <v>2.0600953228147385</v>
          </cell>
        </row>
        <row r="413">
          <cell r="A413">
            <v>6520</v>
          </cell>
          <cell r="B413" t="str">
            <v xml:space="preserve">    DEPREC-WATER TREATMENT EQP</v>
          </cell>
          <cell r="L413">
            <v>967.84</v>
          </cell>
        </row>
        <row r="414">
          <cell r="A414">
            <v>6525</v>
          </cell>
          <cell r="B414" t="str">
            <v xml:space="preserve">    DEPREC-DIST RESV &amp; STANDPI</v>
          </cell>
          <cell r="L414">
            <v>11005.18</v>
          </cell>
        </row>
        <row r="415">
          <cell r="A415">
            <v>6530</v>
          </cell>
          <cell r="B415" t="str">
            <v xml:space="preserve">    DEPREC-TRANS &amp; DISTR MAINS</v>
          </cell>
          <cell r="L415">
            <v>24257.038468093077</v>
          </cell>
        </row>
        <row r="416">
          <cell r="A416">
            <v>6535</v>
          </cell>
          <cell r="B416" t="str">
            <v xml:space="preserve">    DEPREC-SERVICE LINES</v>
          </cell>
          <cell r="L416">
            <v>7093.8744476801348</v>
          </cell>
        </row>
        <row r="417">
          <cell r="A417">
            <v>6540</v>
          </cell>
          <cell r="B417" t="str">
            <v xml:space="preserve">    DEPREC-METERS</v>
          </cell>
          <cell r="L417">
            <v>1854.0669838475583</v>
          </cell>
        </row>
        <row r="418">
          <cell r="A418">
            <v>6545</v>
          </cell>
          <cell r="B418" t="str">
            <v xml:space="preserve">    DEPREC-METER INSTALLS</v>
          </cell>
          <cell r="L418">
            <v>1038.8699999999999</v>
          </cell>
        </row>
        <row r="419">
          <cell r="A419">
            <v>6550</v>
          </cell>
          <cell r="B419" t="str">
            <v xml:space="preserve">    DEPREC-HYDRANTS</v>
          </cell>
          <cell r="L419">
            <v>2764.5978468093076</v>
          </cell>
        </row>
        <row r="420">
          <cell r="A420">
            <v>6555</v>
          </cell>
          <cell r="B420" t="str">
            <v xml:space="preserve">    DEPREC-BACKFLOW PREVENT DE</v>
          </cell>
          <cell r="L420">
            <v>0</v>
          </cell>
        </row>
        <row r="421">
          <cell r="A421">
            <v>6565</v>
          </cell>
          <cell r="B421" t="str">
            <v xml:space="preserve">    DEPREC-OTH PLT&amp;MISC EQP SR</v>
          </cell>
          <cell r="L421">
            <v>0</v>
          </cell>
        </row>
        <row r="422">
          <cell r="A422">
            <v>6570</v>
          </cell>
          <cell r="B422" t="str">
            <v xml:space="preserve">    DEPREC-OTH PLT&amp;MISC EQP WT</v>
          </cell>
          <cell r="L422">
            <v>0</v>
          </cell>
        </row>
        <row r="423">
          <cell r="A423">
            <v>6580</v>
          </cell>
          <cell r="B423" t="str">
            <v xml:space="preserve">    DEPREC-OFFICE STRUCTURE</v>
          </cell>
          <cell r="L423">
            <v>156.53</v>
          </cell>
        </row>
        <row r="424">
          <cell r="A424">
            <v>6585</v>
          </cell>
          <cell r="B424" t="str">
            <v xml:space="preserve">    DEPREC-OFFICE FURN/EQPT</v>
          </cell>
          <cell r="L424">
            <v>95.53</v>
          </cell>
        </row>
        <row r="425">
          <cell r="A425">
            <v>6590</v>
          </cell>
          <cell r="B425" t="str">
            <v xml:space="preserve">    DEPREC-STORES EQUIPMENT</v>
          </cell>
          <cell r="L425">
            <v>0</v>
          </cell>
        </row>
        <row r="426">
          <cell r="A426">
            <v>6595</v>
          </cell>
          <cell r="B426" t="str">
            <v xml:space="preserve">    DEPREC-TOOL SHOP &amp; MISC EQ</v>
          </cell>
          <cell r="L426">
            <v>2588.7027234421084</v>
          </cell>
        </row>
        <row r="427">
          <cell r="A427">
            <v>6600</v>
          </cell>
          <cell r="B427" t="str">
            <v xml:space="preserve">    DEPREC-LABORATORY EQUIPMEN</v>
          </cell>
          <cell r="L427">
            <v>216.3</v>
          </cell>
        </row>
        <row r="428">
          <cell r="A428">
            <v>6605</v>
          </cell>
          <cell r="B428" t="str">
            <v xml:space="preserve">    DEPREC-POWER OPERATED EQUI</v>
          </cell>
          <cell r="L428">
            <v>47.82</v>
          </cell>
        </row>
        <row r="429">
          <cell r="A429">
            <v>6610</v>
          </cell>
          <cell r="B429" t="str">
            <v xml:space="preserve">    DEPREC-COMMUNICATION EQPT</v>
          </cell>
          <cell r="L429">
            <v>340.73621957956834</v>
          </cell>
        </row>
        <row r="430">
          <cell r="A430">
            <v>6615</v>
          </cell>
          <cell r="B430" t="str">
            <v xml:space="preserve">    DEPREC-MISC EQUIPMENT</v>
          </cell>
          <cell r="L430">
            <v>0</v>
          </cell>
        </row>
        <row r="431">
          <cell r="A431">
            <v>6620</v>
          </cell>
          <cell r="B431" t="str">
            <v xml:space="preserve">    DEPREC-OTHER TANG PLT WATE</v>
          </cell>
          <cell r="L431">
            <v>0</v>
          </cell>
        </row>
        <row r="432">
          <cell r="A432">
            <v>6640</v>
          </cell>
          <cell r="B432" t="str">
            <v xml:space="preserve">    DEPREC-ORGANIZATION</v>
          </cell>
          <cell r="L432">
            <v>156.38552177356462</v>
          </cell>
        </row>
        <row r="433">
          <cell r="A433">
            <v>6645</v>
          </cell>
          <cell r="B433" t="str">
            <v xml:space="preserve">    DEPREC-FRANCHISES INTANG P</v>
          </cell>
          <cell r="L433">
            <v>0</v>
          </cell>
        </row>
        <row r="434">
          <cell r="A434">
            <v>6655</v>
          </cell>
          <cell r="B434" t="str">
            <v xml:space="preserve">    DEPREC-STRUCT/IMPRV COLL P</v>
          </cell>
          <cell r="L434">
            <v>0</v>
          </cell>
        </row>
        <row r="435">
          <cell r="A435">
            <v>6660</v>
          </cell>
          <cell r="B435" t="str">
            <v xml:space="preserve">    DEPREC-STRUCT/IMPRV PUMP</v>
          </cell>
          <cell r="L435">
            <v>12137.996809203963</v>
          </cell>
        </row>
        <row r="436">
          <cell r="A436">
            <v>6665</v>
          </cell>
          <cell r="B436" t="str">
            <v xml:space="preserve">    DEPREC-STRUCT/IMPRV TREAT</v>
          </cell>
          <cell r="L436">
            <v>217.48</v>
          </cell>
        </row>
        <row r="437">
          <cell r="A437">
            <v>6670</v>
          </cell>
          <cell r="B437" t="str">
            <v xml:space="preserve">    DEPREC-STRUCT/IMPRV RCLM W</v>
          </cell>
          <cell r="L437">
            <v>0</v>
          </cell>
        </row>
        <row r="438">
          <cell r="A438">
            <v>6675</v>
          </cell>
          <cell r="B438" t="str">
            <v xml:space="preserve">    DEPREC-STRUCT/IMPRV RCLM D</v>
          </cell>
          <cell r="L438">
            <v>0</v>
          </cell>
        </row>
        <row r="439">
          <cell r="A439">
            <v>6680</v>
          </cell>
          <cell r="B439" t="str">
            <v xml:space="preserve">    DEPREC-STRUCT/IMPRV GEN PL</v>
          </cell>
          <cell r="L439">
            <v>4686.41</v>
          </cell>
        </row>
        <row r="440">
          <cell r="A440">
            <v>6685</v>
          </cell>
          <cell r="B440" t="str">
            <v xml:space="preserve">    DEPREC-POWER GEN EQUIP COL</v>
          </cell>
          <cell r="L440">
            <v>0</v>
          </cell>
        </row>
        <row r="441">
          <cell r="A441">
            <v>6690</v>
          </cell>
          <cell r="B441" t="str">
            <v xml:space="preserve">    DEPREC-POWER GEN EQUIP PUM</v>
          </cell>
          <cell r="L441">
            <v>0</v>
          </cell>
        </row>
        <row r="442">
          <cell r="A442">
            <v>6695</v>
          </cell>
          <cell r="B442" t="str">
            <v xml:space="preserve">    DEPREC-POWER GEN EQUIP TRE</v>
          </cell>
          <cell r="L442">
            <v>0</v>
          </cell>
        </row>
        <row r="443">
          <cell r="A443">
            <v>6710</v>
          </cell>
          <cell r="B443" t="str">
            <v xml:space="preserve">    DEPREC-SEWER FORCE MAIN</v>
          </cell>
          <cell r="L443">
            <v>7903.59</v>
          </cell>
        </row>
        <row r="444">
          <cell r="A444">
            <v>6715</v>
          </cell>
          <cell r="B444" t="str">
            <v xml:space="preserve">    DEPREC-SEWER GRAVITY MAIN</v>
          </cell>
          <cell r="L444">
            <v>81086.7</v>
          </cell>
        </row>
        <row r="445">
          <cell r="A445">
            <v>6717</v>
          </cell>
          <cell r="B445" t="str">
            <v xml:space="preserve">    DEPREC-MANHOLES</v>
          </cell>
          <cell r="L445">
            <v>0</v>
          </cell>
        </row>
        <row r="446">
          <cell r="A446">
            <v>6720</v>
          </cell>
          <cell r="B446" t="str">
            <v xml:space="preserve">    DEPREC-SPECIAL COLL STRUCT</v>
          </cell>
          <cell r="L446">
            <v>0</v>
          </cell>
        </row>
        <row r="447">
          <cell r="A447">
            <v>6725</v>
          </cell>
          <cell r="B447" t="str">
            <v xml:space="preserve">    DEPREC-SERVICES TO CUSTOME</v>
          </cell>
          <cell r="L447">
            <v>75.78</v>
          </cell>
        </row>
        <row r="448">
          <cell r="A448">
            <v>6730</v>
          </cell>
          <cell r="B448" t="str">
            <v xml:space="preserve">    DEPREC-FLOW MEASURE DEVICE</v>
          </cell>
          <cell r="L448">
            <v>84.94</v>
          </cell>
        </row>
        <row r="449">
          <cell r="A449">
            <v>6735</v>
          </cell>
          <cell r="B449" t="str">
            <v xml:space="preserve">    DEPREC-FLOW MEASURE INSTAL</v>
          </cell>
          <cell r="L449">
            <v>0</v>
          </cell>
        </row>
        <row r="450">
          <cell r="A450">
            <v>6740</v>
          </cell>
          <cell r="B450" t="str">
            <v xml:space="preserve">    DEPREC-RECEIVING WELLS</v>
          </cell>
          <cell r="L450">
            <v>0</v>
          </cell>
        </row>
        <row r="451">
          <cell r="A451">
            <v>6745</v>
          </cell>
          <cell r="B451" t="str">
            <v xml:space="preserve">    DEPREC-PUMP EQP PUMP PLT</v>
          </cell>
          <cell r="L451">
            <v>944.64</v>
          </cell>
        </row>
        <row r="452">
          <cell r="A452">
            <v>6750</v>
          </cell>
          <cell r="B452" t="str">
            <v xml:space="preserve">    DEPREC-PUMP EQP RCLM WTP</v>
          </cell>
          <cell r="L452">
            <v>0</v>
          </cell>
        </row>
        <row r="453">
          <cell r="A453">
            <v>6755</v>
          </cell>
          <cell r="B453" t="str">
            <v xml:space="preserve">    DEPREC-PUMP EQP RCLM WTR D</v>
          </cell>
          <cell r="L453">
            <v>0</v>
          </cell>
        </row>
        <row r="454">
          <cell r="A454">
            <v>6760</v>
          </cell>
          <cell r="B454" t="str">
            <v xml:space="preserve">    DEPREC-TREAT/DISP EQUIP LA</v>
          </cell>
          <cell r="L454">
            <v>0</v>
          </cell>
        </row>
        <row r="455">
          <cell r="A455">
            <v>6765</v>
          </cell>
          <cell r="B455" t="str">
            <v xml:space="preserve">    DEPREC-TREAT/DISP EQ TRT P</v>
          </cell>
          <cell r="L455">
            <v>48237.98</v>
          </cell>
        </row>
        <row r="456">
          <cell r="A456">
            <v>6770</v>
          </cell>
          <cell r="B456" t="str">
            <v xml:space="preserve">    DEPREC-TREAT/DISP EQ RCLM</v>
          </cell>
          <cell r="L456">
            <v>0</v>
          </cell>
        </row>
        <row r="457">
          <cell r="A457">
            <v>6775</v>
          </cell>
          <cell r="B457" t="str">
            <v xml:space="preserve">    DEPREC-PLANT SEWERS TRTMT</v>
          </cell>
          <cell r="L457">
            <v>43.68</v>
          </cell>
        </row>
        <row r="458">
          <cell r="A458">
            <v>6780</v>
          </cell>
          <cell r="B458" t="str">
            <v xml:space="preserve">    DEPREC-PLANT SEWERS RCLM W</v>
          </cell>
          <cell r="L458">
            <v>0</v>
          </cell>
        </row>
        <row r="459">
          <cell r="A459">
            <v>6785</v>
          </cell>
          <cell r="B459" t="str">
            <v xml:space="preserve">    DEPREC-OUTFALL LINES</v>
          </cell>
          <cell r="L459">
            <v>265.56</v>
          </cell>
        </row>
        <row r="460">
          <cell r="A460">
            <v>6790</v>
          </cell>
          <cell r="B460" t="str">
            <v xml:space="preserve">    DEPREC-OTHER PLT TANGIBLE</v>
          </cell>
          <cell r="L460">
            <v>0</v>
          </cell>
        </row>
        <row r="461">
          <cell r="A461">
            <v>6795</v>
          </cell>
          <cell r="B461" t="str">
            <v xml:space="preserve">    DEPREC-OTHER PLT COLLECTIO</v>
          </cell>
          <cell r="L461">
            <v>0</v>
          </cell>
        </row>
        <row r="462">
          <cell r="A462">
            <v>6800</v>
          </cell>
          <cell r="B462" t="str">
            <v xml:space="preserve">    DEPREC-OTHER PLT PUMP</v>
          </cell>
          <cell r="L462">
            <v>5.76</v>
          </cell>
        </row>
        <row r="463">
          <cell r="A463">
            <v>6805</v>
          </cell>
          <cell r="B463" t="str">
            <v xml:space="preserve">    DEPREC-OTHER PLT TREATMENT</v>
          </cell>
          <cell r="L463">
            <v>0</v>
          </cell>
        </row>
        <row r="464">
          <cell r="A464">
            <v>6810</v>
          </cell>
          <cell r="B464" t="str">
            <v xml:space="preserve">    DEPREC-OTHER PLT RCLM WTR</v>
          </cell>
          <cell r="L464">
            <v>103.8</v>
          </cell>
        </row>
        <row r="465">
          <cell r="A465">
            <v>6815</v>
          </cell>
          <cell r="B465" t="str">
            <v xml:space="preserve">    DEPREC-OTHER PLT RCLM WTR</v>
          </cell>
          <cell r="L465">
            <v>0</v>
          </cell>
        </row>
        <row r="466">
          <cell r="A466">
            <v>6820</v>
          </cell>
          <cell r="B466" t="str">
            <v xml:space="preserve">    DEPREC-OFFICE STRUCTURE</v>
          </cell>
          <cell r="L466">
            <v>0</v>
          </cell>
        </row>
        <row r="467">
          <cell r="A467">
            <v>6825</v>
          </cell>
          <cell r="B467" t="str">
            <v xml:space="preserve">    DEPREC-OFFICE FURN/EQPT</v>
          </cell>
          <cell r="L467">
            <v>0</v>
          </cell>
        </row>
        <row r="468">
          <cell r="A468">
            <v>6830</v>
          </cell>
          <cell r="B468" t="str">
            <v xml:space="preserve">    DEPREC-STORES EQUIPMENT</v>
          </cell>
          <cell r="L468">
            <v>0</v>
          </cell>
        </row>
        <row r="469">
          <cell r="A469">
            <v>6835</v>
          </cell>
          <cell r="B469" t="str">
            <v xml:space="preserve">    DEPREC-TOOL SHOP &amp; MISC EQ</v>
          </cell>
          <cell r="L469">
            <v>75.569999999999993</v>
          </cell>
        </row>
        <row r="470">
          <cell r="A470">
            <v>6840</v>
          </cell>
          <cell r="B470" t="str">
            <v xml:space="preserve">    DEPREC-LABORATORY EQPT</v>
          </cell>
          <cell r="L470">
            <v>40.69</v>
          </cell>
        </row>
        <row r="471">
          <cell r="A471">
            <v>6845</v>
          </cell>
          <cell r="B471" t="str">
            <v xml:space="preserve">    DEPREC-POWER OPERATED EQUI</v>
          </cell>
          <cell r="L471">
            <v>54.51</v>
          </cell>
        </row>
        <row r="472">
          <cell r="A472">
            <v>6850</v>
          </cell>
          <cell r="B472" t="str">
            <v xml:space="preserve">    DEPREC-COMMUNICATION EQPT</v>
          </cell>
          <cell r="L472">
            <v>52.9</v>
          </cell>
        </row>
        <row r="473">
          <cell r="A473">
            <v>6855</v>
          </cell>
          <cell r="B473" t="str">
            <v xml:space="preserve">    DEPREC-MISC EQUIP SEWER</v>
          </cell>
          <cell r="L473">
            <v>29.64</v>
          </cell>
        </row>
        <row r="474">
          <cell r="A474">
            <v>6860</v>
          </cell>
          <cell r="B474" t="str">
            <v xml:space="preserve">    DEPREC-OTHER TANG PLT SEWE</v>
          </cell>
          <cell r="L474">
            <v>0</v>
          </cell>
        </row>
        <row r="475">
          <cell r="A475">
            <v>6885</v>
          </cell>
          <cell r="B475" t="str">
            <v xml:space="preserve">    DEPREC-REUSE DIST RESERVOI</v>
          </cell>
          <cell r="L475">
            <v>0</v>
          </cell>
        </row>
        <row r="476">
          <cell r="A476">
            <v>6890</v>
          </cell>
          <cell r="B476" t="str">
            <v xml:space="preserve">    DEPREC-REUSE TRANSM / DIST</v>
          </cell>
          <cell r="L476">
            <v>804.47</v>
          </cell>
        </row>
        <row r="477">
          <cell r="A477">
            <v>6960</v>
          </cell>
          <cell r="B477" t="str">
            <v xml:space="preserve">   AMORT OF UTIL PAA-WATER</v>
          </cell>
          <cell r="L477">
            <v>-350.28</v>
          </cell>
        </row>
        <row r="478">
          <cell r="A478">
            <v>6965</v>
          </cell>
          <cell r="B478" t="str">
            <v xml:space="preserve">   AMORT OF UTIL PAA-SEWER</v>
          </cell>
          <cell r="L478">
            <v>-716.4</v>
          </cell>
        </row>
        <row r="479">
          <cell r="A479">
            <v>7025</v>
          </cell>
          <cell r="B479" t="str">
            <v xml:space="preserve">    AMORT-WELLS &amp; SPRINGS</v>
          </cell>
          <cell r="L479">
            <v>0</v>
          </cell>
        </row>
        <row r="480">
          <cell r="A480">
            <v>7070</v>
          </cell>
          <cell r="B480" t="str">
            <v xml:space="preserve">    AMORT-TRANS &amp; DISTR MAINS</v>
          </cell>
          <cell r="L480">
            <v>0</v>
          </cell>
        </row>
        <row r="481">
          <cell r="A481">
            <v>7075</v>
          </cell>
          <cell r="B481" t="str">
            <v xml:space="preserve">    AMORT-SERVICE LINES</v>
          </cell>
          <cell r="L481">
            <v>0</v>
          </cell>
        </row>
        <row r="482">
          <cell r="A482">
            <v>7090</v>
          </cell>
          <cell r="B482" t="str">
            <v xml:space="preserve">    AMORT-HYDRANTS</v>
          </cell>
          <cell r="L482">
            <v>-1542.160487850555</v>
          </cell>
        </row>
        <row r="483">
          <cell r="A483">
            <v>7160</v>
          </cell>
          <cell r="B483" t="str">
            <v xml:space="preserve">    AMORT-OTHER TANGIBLE PLT W</v>
          </cell>
          <cell r="L483">
            <v>-42520.19</v>
          </cell>
        </row>
        <row r="484">
          <cell r="A484">
            <v>7165</v>
          </cell>
          <cell r="B484" t="str">
            <v xml:space="preserve">    AMORT-WATER-TAP</v>
          </cell>
          <cell r="L484">
            <v>-4505.51</v>
          </cell>
        </row>
        <row r="485">
          <cell r="A485">
            <v>7180</v>
          </cell>
          <cell r="B485" t="str">
            <v xml:space="preserve">    AMORT-WTR PLT MOD FEE</v>
          </cell>
          <cell r="L485">
            <v>-2063.44</v>
          </cell>
        </row>
        <row r="486">
          <cell r="A486">
            <v>7185</v>
          </cell>
          <cell r="B486" t="str">
            <v xml:space="preserve">    AMORT-WTR PLT MTR FEE</v>
          </cell>
          <cell r="L486">
            <v>-7.56</v>
          </cell>
        </row>
        <row r="487">
          <cell r="A487">
            <v>7225</v>
          </cell>
          <cell r="B487" t="str">
            <v xml:space="preserve">    AMORT-STRUCT/IMPRV PUMP PL</v>
          </cell>
          <cell r="L487">
            <v>0</v>
          </cell>
        </row>
        <row r="488">
          <cell r="A488">
            <v>7230</v>
          </cell>
          <cell r="B488" t="str">
            <v xml:space="preserve">    AMORT-STRUCT/IMPRV TREAT P</v>
          </cell>
          <cell r="L488">
            <v>0</v>
          </cell>
        </row>
        <row r="489">
          <cell r="A489">
            <v>7245</v>
          </cell>
          <cell r="B489" t="str">
            <v xml:space="preserve">    AMORT-STRUCT/IMPRV GEN PLT</v>
          </cell>
          <cell r="L489">
            <v>-109055.16</v>
          </cell>
        </row>
        <row r="490">
          <cell r="A490">
            <v>7280</v>
          </cell>
          <cell r="B490" t="str">
            <v xml:space="preserve">    AMORT-SEWER GRAVITY MAIN</v>
          </cell>
          <cell r="L490">
            <v>0</v>
          </cell>
        </row>
        <row r="491">
          <cell r="A491">
            <v>7290</v>
          </cell>
          <cell r="B491" t="str">
            <v xml:space="preserve">    AMORT-SERVICES TO CUSTOMER</v>
          </cell>
          <cell r="L491">
            <v>0</v>
          </cell>
        </row>
        <row r="492">
          <cell r="A492">
            <v>7405</v>
          </cell>
          <cell r="B492" t="str">
            <v xml:space="preserve">    AMORT-LABORATORY EQPT</v>
          </cell>
          <cell r="L492">
            <v>0</v>
          </cell>
        </row>
        <row r="493">
          <cell r="A493">
            <v>7430</v>
          </cell>
          <cell r="B493" t="str">
            <v xml:space="preserve">    AMORT-SEWER-TAP</v>
          </cell>
          <cell r="L493">
            <v>-8949.44</v>
          </cell>
        </row>
        <row r="494">
          <cell r="A494">
            <v>7445</v>
          </cell>
          <cell r="B494" t="str">
            <v xml:space="preserve">    AMORT-SWR PLT MOD FEE</v>
          </cell>
          <cell r="L494">
            <v>-5655.88</v>
          </cell>
        </row>
        <row r="495">
          <cell r="A495">
            <v>7535</v>
          </cell>
          <cell r="B495" t="str">
            <v xml:space="preserve">    FRANCHISE TAX</v>
          </cell>
          <cell r="L495">
            <v>0</v>
          </cell>
        </row>
        <row r="496">
          <cell r="A496">
            <v>7540</v>
          </cell>
          <cell r="B496" t="str">
            <v xml:space="preserve">    GROSS RECEIPTS TAX</v>
          </cell>
          <cell r="L496">
            <v>49828.555620581494</v>
          </cell>
        </row>
        <row r="497">
          <cell r="A497">
            <v>7545</v>
          </cell>
          <cell r="B497" t="str">
            <v xml:space="preserve">    PERSONAL PROPERTY/ICT TAX</v>
          </cell>
          <cell r="L497">
            <v>4053.6107533124218</v>
          </cell>
        </row>
        <row r="498">
          <cell r="A498">
            <v>7550</v>
          </cell>
          <cell r="B498" t="str">
            <v xml:space="preserve">    PROPERTY/OTHER GENERAL TAX</v>
          </cell>
          <cell r="L498">
            <v>0</v>
          </cell>
        </row>
        <row r="499">
          <cell r="A499">
            <v>7555</v>
          </cell>
          <cell r="B499" t="str">
            <v xml:space="preserve">    REAL ESTATE TAX</v>
          </cell>
          <cell r="L499">
            <v>2879.9348881033761</v>
          </cell>
        </row>
        <row r="500">
          <cell r="A500">
            <v>7565</v>
          </cell>
          <cell r="B500" t="str">
            <v xml:space="preserve">    SPECIAL ASSESSMENTS</v>
          </cell>
          <cell r="L500">
            <v>0</v>
          </cell>
        </row>
        <row r="501">
          <cell r="A501">
            <v>7570</v>
          </cell>
          <cell r="B501" t="str">
            <v xml:space="preserve">    UTILITY/COMMISSION TAX</v>
          </cell>
          <cell r="L501">
            <v>2066.439819279929</v>
          </cell>
        </row>
        <row r="502">
          <cell r="A502">
            <v>7585</v>
          </cell>
          <cell r="B502" t="str">
            <v xml:space="preserve">   AMORT OF INVEST TAX CREDIT</v>
          </cell>
          <cell r="L502">
            <v>0</v>
          </cell>
        </row>
        <row r="503">
          <cell r="A503">
            <v>7595</v>
          </cell>
          <cell r="B503" t="str">
            <v xml:space="preserve">   DEF INCOME TAX-FEDERAL</v>
          </cell>
          <cell r="L503">
            <v>139172.80355133669</v>
          </cell>
        </row>
        <row r="504">
          <cell r="A504">
            <v>7600</v>
          </cell>
          <cell r="B504" t="str">
            <v xml:space="preserve">   DEF INCOME TAXES-STATE</v>
          </cell>
          <cell r="L504">
            <v>27807.461499836139</v>
          </cell>
        </row>
        <row r="505">
          <cell r="A505">
            <v>7605</v>
          </cell>
          <cell r="B505" t="str">
            <v xml:space="preserve">   INCOME TAXES-FEDERAL</v>
          </cell>
          <cell r="L505">
            <v>0</v>
          </cell>
        </row>
        <row r="506">
          <cell r="A506">
            <v>7610</v>
          </cell>
          <cell r="B506" t="str">
            <v xml:space="preserve">   INCOME TAXES-STATE</v>
          </cell>
          <cell r="L506">
            <v>0</v>
          </cell>
        </row>
        <row r="507">
          <cell r="A507">
            <v>7655</v>
          </cell>
          <cell r="B507" t="str">
            <v xml:space="preserve">    MISCELLANEOUS INC NON-UTIL</v>
          </cell>
          <cell r="L507">
            <v>0</v>
          </cell>
        </row>
        <row r="508">
          <cell r="A508">
            <v>7660</v>
          </cell>
          <cell r="B508" t="str">
            <v xml:space="preserve">    MISCELLANEOUS EXP NON-UTIL</v>
          </cell>
          <cell r="L508">
            <v>0</v>
          </cell>
        </row>
        <row r="509">
          <cell r="A509">
            <v>7680</v>
          </cell>
          <cell r="B509" t="str">
            <v xml:space="preserve">    RENTAL INCOME</v>
          </cell>
          <cell r="L509">
            <v>0</v>
          </cell>
        </row>
        <row r="510">
          <cell r="A510">
            <v>7691</v>
          </cell>
          <cell r="B510" t="str">
            <v xml:space="preserve">    NET BOOK VALUE-DISPOSAL</v>
          </cell>
          <cell r="L510">
            <v>0</v>
          </cell>
        </row>
        <row r="511">
          <cell r="A511">
            <v>7735</v>
          </cell>
          <cell r="B511" t="str">
            <v xml:space="preserve">    S/T INT EXP BANK ONE</v>
          </cell>
          <cell r="L511">
            <v>1968.4919900276234</v>
          </cell>
        </row>
        <row r="512">
          <cell r="A512">
            <v>7750</v>
          </cell>
          <cell r="B512" t="str">
            <v xml:space="preserve">   INTEREST DURING CONSTRUCTIO</v>
          </cell>
          <cell r="L512">
            <v>-759.22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Sch.C-R.B"/>
      <sheetName val="wp-p-restate(audit)"/>
      <sheetName val="Exhibit 9"/>
      <sheetName val="wp.h-cap.struc"/>
      <sheetName val="Schedule D"/>
      <sheetName val="xxxRate-Rev Comp"/>
      <sheetName val="Sch.E ORM "/>
      <sheetName val="Revenue Requirement"/>
      <sheetName val="wp-appendix"/>
      <sheetName val="wp.a-uncoll"/>
      <sheetName val="Wp b - salary"/>
      <sheetName val="wp b1"/>
      <sheetName val="Wp b2 - Captime"/>
      <sheetName val="wp b3 - CSR"/>
      <sheetName val="Wp b4 - WSC"/>
      <sheetName val="wp-d-rc.exp"/>
      <sheetName val="wp-e-toi"/>
      <sheetName val="wp-f-depr"/>
      <sheetName val="wp(g)-inc.tx"/>
      <sheetName val="wp-i-wc"/>
      <sheetName val="wp-o-restate-acq"/>
      <sheetName val="wp-p2 Allocation of Vehicles"/>
      <sheetName val="wp-p2a Allocation of Trans Exp"/>
      <sheetName val="wp-p3-alloc of State computers"/>
      <sheetName val="wp-p4-alloc of WSC computers"/>
      <sheetName val="wp-p5 Recon Summary"/>
      <sheetName val="wp-p5a-restatement (audit)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wp-r Expense Reports"/>
      <sheetName val="Allocation Calc"/>
      <sheetName val="Operators allocation"/>
    </sheetNames>
    <sheetDataSet>
      <sheetData sheetId="0"/>
      <sheetData sheetId="1"/>
      <sheetData sheetId="2">
        <row r="684">
          <cell r="B684" t="str">
            <v>CUSTOMERS</v>
          </cell>
          <cell r="C684">
            <v>7362.4</v>
          </cell>
          <cell r="D684">
            <v>0</v>
          </cell>
          <cell r="E684">
            <v>7362.4</v>
          </cell>
          <cell r="F684">
            <v>1</v>
          </cell>
          <cell r="G684">
            <v>0</v>
          </cell>
          <cell r="H684">
            <v>1</v>
          </cell>
        </row>
        <row r="685">
          <cell r="B685" t="str">
            <v>REVENUES</v>
          </cell>
          <cell r="C685">
            <v>-2292930.77</v>
          </cell>
          <cell r="D685">
            <v>0</v>
          </cell>
          <cell r="E685">
            <v>-2292930.77</v>
          </cell>
          <cell r="F685">
            <v>1</v>
          </cell>
          <cell r="G685">
            <v>0</v>
          </cell>
          <cell r="H685">
            <v>1</v>
          </cell>
        </row>
        <row r="686">
          <cell r="B686" t="str">
            <v>PLANT IN SERVICE</v>
          </cell>
          <cell r="C686">
            <v>9281652.1099999994</v>
          </cell>
          <cell r="D686">
            <v>28129.280000000002</v>
          </cell>
          <cell r="E686">
            <v>9309781.3899999987</v>
          </cell>
          <cell r="F686">
            <v>0.99697852411118759</v>
          </cell>
          <cell r="G686">
            <v>3.0214758888124659E-3</v>
          </cell>
          <cell r="H686">
            <v>1</v>
          </cell>
        </row>
        <row r="687">
          <cell r="B687" t="str">
            <v>NET PLANT</v>
          </cell>
          <cell r="C687">
            <v>4788222.6000000006</v>
          </cell>
          <cell r="D687">
            <v>-488823.38999999996</v>
          </cell>
          <cell r="E687">
            <v>4299399.2100000009</v>
          </cell>
          <cell r="F687">
            <v>1.1136957435501784</v>
          </cell>
          <cell r="G687">
            <v>-0.11369574355017846</v>
          </cell>
          <cell r="H687">
            <v>1</v>
          </cell>
        </row>
        <row r="688">
          <cell r="B688" t="str">
            <v>DEFERRED MAINTENANCE</v>
          </cell>
          <cell r="C688">
            <v>180065.93</v>
          </cell>
          <cell r="D688">
            <v>0</v>
          </cell>
          <cell r="E688">
            <v>180065.93</v>
          </cell>
          <cell r="F688">
            <v>1</v>
          </cell>
          <cell r="G688">
            <v>0</v>
          </cell>
          <cell r="H688">
            <v>1</v>
          </cell>
        </row>
        <row r="689">
          <cell r="B689" t="str">
            <v>CIAC</v>
          </cell>
          <cell r="C689">
            <v>-165215.81</v>
          </cell>
          <cell r="D689">
            <v>0</v>
          </cell>
          <cell r="E689">
            <v>-165215.81</v>
          </cell>
          <cell r="F689">
            <v>1</v>
          </cell>
          <cell r="G689">
            <v>0</v>
          </cell>
          <cell r="H689">
            <v>1</v>
          </cell>
        </row>
        <row r="690">
          <cell r="B690" t="str">
            <v>CAP STRUCTURE</v>
          </cell>
          <cell r="C690">
            <v>33123.9845027626</v>
          </cell>
          <cell r="D690">
            <v>562518.17549723748</v>
          </cell>
          <cell r="E690">
            <v>595642.16</v>
          </cell>
          <cell r="F690">
            <v>5.5610543925840639E-2</v>
          </cell>
          <cell r="G690">
            <v>0.94438945607415947</v>
          </cell>
          <cell r="H690">
            <v>1</v>
          </cell>
        </row>
      </sheetData>
      <sheetData sheetId="3">
        <row r="2">
          <cell r="F2" t="str">
            <v>Case No. 2013 - 00237</v>
          </cell>
        </row>
      </sheetData>
      <sheetData sheetId="4">
        <row r="8">
          <cell r="N8">
            <v>2332602</v>
          </cell>
        </row>
        <row r="67">
          <cell r="F67">
            <v>2066451.4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WSC Factor"/>
      <sheetName val="WSC RB Adj"/>
      <sheetName val="CWS Off RB"/>
      <sheetName val="WSC ERC Adj"/>
      <sheetName val="WSC Alloc Adj"/>
      <sheetName val="WSC Exp Adj"/>
      <sheetName val="CWS Off Adj"/>
      <sheetName val="CWS Off Cost"/>
      <sheetName val="CWS Off %"/>
      <sheetName val="Legal Fees"/>
      <sheetName val="Other Outside Srv"/>
      <sheetName val="Finders Fees"/>
      <sheetName val="WSC Exp Alloc"/>
      <sheetName val="Benefits"/>
      <sheetName val="WSC Exp Compare"/>
      <sheetName val="CWS Off Exp"/>
      <sheetName val="CWS Off Compare"/>
      <sheetName val="WSC RB Alloc Per Books"/>
      <sheetName val="WSC RB Compare"/>
      <sheetName val="Insurance"/>
      <sheetName val="Audit Fees"/>
      <sheetName val="Oper Alloc - Dec 07"/>
      <sheetName val="Health Benefits"/>
      <sheetName val="Other Benefits"/>
    </sheetNames>
    <sheetDataSet>
      <sheetData sheetId="0">
        <row r="4">
          <cell r="C4" t="str">
            <v>For the Test Year Ended December 31, 2007</v>
          </cell>
        </row>
        <row r="42">
          <cell r="A42" t="str">
            <v>Calculated by the Public Staff based on information provided by the Company.</v>
          </cell>
        </row>
      </sheetData>
      <sheetData sheetId="1">
        <row r="1">
          <cell r="C1" t="str">
            <v>CAROLINA WATER SERVICE, INC., OF NC</v>
          </cell>
        </row>
        <row r="4">
          <cell r="C4" t="str">
            <v>For The Test Year Ended December 31, 2007</v>
          </cell>
        </row>
        <row r="101">
          <cell r="C101" t="str">
            <v>CAROLINA TRACE UTILITIES, INC.</v>
          </cell>
        </row>
        <row r="102">
          <cell r="C102" t="str">
            <v>Docket No. W-1013, Sub 7</v>
          </cell>
        </row>
        <row r="152">
          <cell r="C152" t="str">
            <v>CWS SYSTEMS, INC.</v>
          </cell>
        </row>
        <row r="153">
          <cell r="C153" t="str">
            <v>Docket No. W-778, Sub 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Return"/>
      <sheetName val="Sewer Return"/>
      <sheetName val="Combined RB (KF)"/>
      <sheetName val="Water RB (KF)"/>
      <sheetName val="Sewer RB (KF)"/>
      <sheetName val="Water plant"/>
      <sheetName val="Sewer plant"/>
      <sheetName val="Plant Adj"/>
      <sheetName val="Vehicles"/>
      <sheetName val="Computer"/>
      <sheetName val="Accum. Depr."/>
      <sheetName val="Org Costs"/>
      <sheetName val="Working Capital"/>
      <sheetName val="CIAC"/>
      <sheetName val="Mgmt Fees"/>
      <sheetName val="ADIT"/>
      <sheetName val="PAA"/>
      <sheetName val="Sub81PAA"/>
      <sheetName val="WSC RB"/>
      <sheetName val="Proforma"/>
      <sheetName val="Unamort. Deferred"/>
      <sheetName val="Def Maint"/>
      <sheetName val="Water Ex. Cap."/>
      <sheetName val="Ex. Book"/>
      <sheetName val="Cost Free"/>
      <sheetName val="CWS Off RB"/>
      <sheetName val="AFUDC"/>
      <sheetName val="Combined noi "/>
      <sheetName val="Water noi"/>
      <sheetName val="Sewer noi"/>
      <sheetName val="Depreciation"/>
      <sheetName val="Water comp."/>
      <sheetName val="Sewer comp."/>
      <sheetName val="Water footnotes"/>
      <sheetName val="Sewer footnotes"/>
      <sheetName val="Water misc. rev."/>
      <sheetName val="Sewer misc. rev."/>
      <sheetName val="Forfeit"/>
      <sheetName val="Uncollectibles"/>
      <sheetName val="Salaries"/>
      <sheetName val="Purchased Power"/>
      <sheetName val="Purchased Water &amp; Sewer"/>
      <sheetName val="Maint. &amp; Repair"/>
      <sheetName val="M&amp;R Deferred"/>
      <sheetName val="Chemicals"/>
      <sheetName val="Transportation"/>
      <sheetName val="Plant Salaries"/>
      <sheetName val="Outside Services-other"/>
      <sheetName val="Office Supplies"/>
      <sheetName val="Rate case"/>
      <sheetName val="Pension"/>
      <sheetName val="Other Insurance"/>
      <sheetName val="Miscellaneous"/>
      <sheetName val="Adjustment to CWS Office Exp"/>
      <sheetName val="Adjustment to WSC Expenses"/>
      <sheetName val="WSC Adj Factors"/>
      <sheetName val="Interest"/>
      <sheetName val="Water Annual."/>
      <sheetName val="Sewer Annual."/>
      <sheetName val="Property taxes"/>
      <sheetName val="Payroll Taxes"/>
      <sheetName val="Water Taxes"/>
      <sheetName val="Prod Deduct"/>
      <sheetName val="Sewer Taxes"/>
      <sheetName val="Water Rev. Req."/>
      <sheetName val="Sewer Rev. Req."/>
      <sheetName val="North Topsail Allocations"/>
      <sheetName val="PKS"/>
      <sheetName val="Water - Return - OR"/>
      <sheetName val="Sewer - Return - OR"/>
      <sheetName val="Water Inflat."/>
      <sheetName val="Water Ratios"/>
      <sheetName val="Sewer Inflat. "/>
      <sheetName val="Sewer Ratios"/>
      <sheetName val="New customer"/>
      <sheetName val="NSF"/>
      <sheetName val="Cut Off"/>
      <sheetName val="Corolla Return"/>
      <sheetName val="Corolla RB"/>
      <sheetName val="Corolla NOI"/>
      <sheetName val="Corolla Taxes"/>
      <sheetName val="Corolla Rev Rqmt"/>
      <sheetName val="PKS NOI"/>
      <sheetName val="PKS Taxes"/>
    </sheetNames>
    <sheetDataSet>
      <sheetData sheetId="0" refreshError="1">
        <row r="2">
          <cell r="C2" t="str">
            <v>CAROLINA WATER SERVICE, INC OF NC</v>
          </cell>
        </row>
        <row r="4">
          <cell r="C4" t="str">
            <v>For the Test Year Ended June 30,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Carolina Trace</v>
          </cell>
        </row>
        <row r="10">
          <cell r="B10">
            <v>0.51164419541236206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CWS Systems, Inc.</v>
          </cell>
        </row>
        <row r="13">
          <cell r="B13">
            <v>0.57797075040636103</v>
          </cell>
        </row>
        <row r="14">
          <cell r="B14">
            <v>0.42202924959363891</v>
          </cell>
        </row>
        <row r="20">
          <cell r="B20">
            <v>0.125</v>
          </cell>
        </row>
        <row r="21">
          <cell r="B21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V379"/>
  <sheetViews>
    <sheetView view="pageBreakPreview" zoomScaleNormal="100" zoomScaleSheetLayoutView="100" workbookViewId="0">
      <pane xSplit="1" ySplit="9" topLeftCell="B350" activePane="bottomRight" state="frozen"/>
      <selection activeCell="C22" sqref="C22"/>
      <selection pane="topRight" activeCell="C22" sqref="C22"/>
      <selection pane="bottomLeft" activeCell="C22" sqref="C22"/>
      <selection pane="bottomRight" activeCell="D221" sqref="D221"/>
    </sheetView>
  </sheetViews>
  <sheetFormatPr defaultRowHeight="12"/>
  <cols>
    <col min="1" max="1" width="42" style="6" bestFit="1" customWidth="1"/>
    <col min="2" max="2" width="11.140625" style="139" customWidth="1"/>
    <col min="3" max="3" width="0.7109375" style="6" customWidth="1"/>
    <col min="4" max="4" width="8.140625" style="139" customWidth="1"/>
    <col min="5" max="5" width="0.7109375" style="6" customWidth="1"/>
    <col min="6" max="6" width="9.7109375" style="139" customWidth="1"/>
    <col min="7" max="7" width="0.7109375" style="139" customWidth="1"/>
    <col min="8" max="8" width="8.5703125" style="153" customWidth="1"/>
    <col min="9" max="9" width="0.7109375" style="6" customWidth="1"/>
    <col min="10" max="10" width="11" style="138" bestFit="1" customWidth="1"/>
    <col min="11" max="11" width="0.7109375" style="139" customWidth="1"/>
    <col min="12" max="12" width="12.28515625" style="138" bestFit="1" customWidth="1"/>
    <col min="13" max="13" width="0.7109375" style="139" customWidth="1"/>
    <col min="14" max="14" width="12.28515625" style="9" customWidth="1"/>
    <col min="15" max="15" width="0.7109375" style="141" customWidth="1"/>
    <col min="16" max="16" width="12.28515625" style="9" customWidth="1"/>
    <col min="17" max="17" width="0.7109375" style="139" customWidth="1"/>
    <col min="18" max="18" width="9.5703125" style="142" customWidth="1"/>
    <col min="19" max="19" width="0.7109375" style="6" customWidth="1"/>
    <col min="20" max="20" width="10" style="191" customWidth="1"/>
    <col min="21" max="21" width="10" style="6" customWidth="1"/>
    <col min="22" max="22" width="5.5703125" style="6" bestFit="1" customWidth="1"/>
    <col min="23" max="23" width="17.85546875" style="192" bestFit="1" customWidth="1"/>
    <col min="24" max="24" width="21.28515625" style="192" bestFit="1" customWidth="1"/>
    <col min="25" max="25" width="10.7109375" style="6" bestFit="1" customWidth="1"/>
    <col min="26" max="16384" width="9.140625" style="6"/>
  </cols>
  <sheetData>
    <row r="1" spans="1:48">
      <c r="A1" s="1" t="s">
        <v>0</v>
      </c>
      <c r="B1" s="2"/>
      <c r="C1" s="3"/>
      <c r="D1" s="2"/>
      <c r="E1" s="3"/>
      <c r="F1" s="2"/>
      <c r="G1" s="2"/>
      <c r="H1" s="4"/>
      <c r="I1" s="3"/>
      <c r="J1" s="5"/>
      <c r="K1" s="2"/>
      <c r="L1" s="6"/>
      <c r="M1" s="2"/>
      <c r="N1" s="7"/>
      <c r="O1" s="8"/>
      <c r="Q1" s="10"/>
      <c r="R1" s="11"/>
      <c r="S1" s="3"/>
      <c r="T1" s="12" t="s">
        <v>1</v>
      </c>
      <c r="U1" s="3"/>
      <c r="V1" s="3"/>
      <c r="W1" s="13"/>
      <c r="X1" s="1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1" t="str">
        <f>'[5]Sch.A-B.S'!F2</f>
        <v>Case No. 2013 - 00237</v>
      </c>
      <c r="B2" s="2"/>
      <c r="C2" s="3"/>
      <c r="D2" s="2"/>
      <c r="E2" s="3"/>
      <c r="F2" s="2"/>
      <c r="G2" s="2"/>
      <c r="H2" s="4"/>
      <c r="I2" s="3"/>
      <c r="J2" s="5"/>
      <c r="K2" s="2"/>
      <c r="L2" s="6"/>
      <c r="M2" s="2"/>
      <c r="N2" s="7"/>
      <c r="O2" s="8"/>
      <c r="Q2" s="10"/>
      <c r="R2" s="11"/>
      <c r="S2" s="3"/>
      <c r="T2" s="12"/>
      <c r="U2" s="3"/>
      <c r="V2" s="3"/>
      <c r="W2" s="13"/>
      <c r="X2" s="1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14" t="s">
        <v>2</v>
      </c>
      <c r="B3" s="2"/>
      <c r="C3" s="3"/>
      <c r="D3" s="2"/>
      <c r="E3" s="3"/>
      <c r="F3" s="2"/>
      <c r="G3" s="2"/>
      <c r="H3" s="4"/>
      <c r="I3" s="3"/>
      <c r="J3" s="5"/>
      <c r="K3" s="2"/>
      <c r="L3" s="5"/>
      <c r="M3" s="2"/>
      <c r="N3" s="7"/>
      <c r="O3" s="8"/>
      <c r="P3" s="7"/>
      <c r="Q3" s="2"/>
      <c r="R3" s="15"/>
      <c r="S3" s="3"/>
      <c r="T3" s="16"/>
      <c r="U3" s="3"/>
      <c r="V3" s="3"/>
      <c r="W3" s="17" t="s">
        <v>3</v>
      </c>
      <c r="X3" s="1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8"/>
      <c r="AS3" s="19"/>
      <c r="AT3" s="18"/>
      <c r="AU3" s="19"/>
      <c r="AV3" s="18"/>
    </row>
    <row r="4" spans="1:48" ht="12.75" thickBot="1">
      <c r="A4" s="20" t="s">
        <v>4</v>
      </c>
      <c r="B4" s="2"/>
      <c r="C4" s="21"/>
      <c r="D4" s="2"/>
      <c r="E4" s="3"/>
      <c r="F4" s="2"/>
      <c r="G4" s="2"/>
      <c r="H4" s="4"/>
      <c r="I4" s="3"/>
      <c r="J4" s="5"/>
      <c r="K4" s="2"/>
      <c r="L4" s="5"/>
      <c r="M4" s="2"/>
      <c r="N4" s="7"/>
      <c r="O4" s="8"/>
      <c r="P4" s="7"/>
      <c r="Q4" s="2"/>
      <c r="R4" s="15"/>
      <c r="S4" s="3"/>
      <c r="T4" s="16"/>
      <c r="U4" s="3"/>
      <c r="V4" s="3"/>
      <c r="W4" s="17" t="s">
        <v>5</v>
      </c>
      <c r="X4" s="1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18"/>
      <c r="AS4" s="19"/>
      <c r="AT4" s="18"/>
      <c r="AU4" s="19"/>
      <c r="AV4" s="18"/>
    </row>
    <row r="5" spans="1:48" ht="12.75" thickBot="1">
      <c r="A5" s="22"/>
      <c r="B5" s="2"/>
      <c r="C5" s="21"/>
      <c r="D5" s="2"/>
      <c r="E5" s="3"/>
      <c r="F5" s="2"/>
      <c r="G5" s="2"/>
      <c r="H5" s="4"/>
      <c r="I5" s="3"/>
      <c r="J5" s="5"/>
      <c r="K5" s="2"/>
      <c r="L5" s="5"/>
      <c r="M5" s="2"/>
      <c r="N5" s="7"/>
      <c r="O5" s="8"/>
      <c r="P5" s="7"/>
      <c r="Q5" s="2"/>
      <c r="R5" s="15"/>
      <c r="S5" s="3"/>
      <c r="T5" s="16"/>
      <c r="U5" s="3"/>
      <c r="V5" s="3"/>
      <c r="W5" s="23">
        <v>0.10874975418507139</v>
      </c>
      <c r="X5" s="24">
        <v>1222.45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8"/>
      <c r="AS5" s="19"/>
      <c r="AT5" s="18"/>
      <c r="AU5" s="19"/>
      <c r="AV5" s="18"/>
    </row>
    <row r="6" spans="1:48">
      <c r="A6" s="3"/>
      <c r="B6" s="2"/>
      <c r="C6" s="3"/>
      <c r="D6" s="2"/>
      <c r="E6" s="3"/>
      <c r="F6" s="2"/>
      <c r="G6" s="2"/>
      <c r="H6" s="4"/>
      <c r="I6" s="3"/>
      <c r="J6" s="5"/>
      <c r="K6" s="2"/>
      <c r="L6" s="5"/>
      <c r="M6" s="2"/>
      <c r="N6" s="7"/>
      <c r="O6" s="8"/>
      <c r="P6" s="7"/>
      <c r="Q6" s="2"/>
      <c r="R6" s="15"/>
      <c r="S6" s="3"/>
      <c r="T6" s="16"/>
      <c r="U6" s="3"/>
      <c r="V6" s="3"/>
      <c r="W6" s="13"/>
      <c r="X6" s="24">
        <f>+X5*(1+W5)</f>
        <v>1355.3911370035407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18"/>
      <c r="AS6" s="19"/>
      <c r="AT6" s="18"/>
      <c r="AU6" s="19"/>
      <c r="AV6" s="18"/>
    </row>
    <row r="7" spans="1:48">
      <c r="A7" s="25"/>
      <c r="B7" s="26"/>
      <c r="C7" s="27"/>
      <c r="D7" s="26"/>
      <c r="E7" s="27"/>
      <c r="F7" s="26"/>
      <c r="G7" s="26"/>
      <c r="H7" s="28"/>
      <c r="I7" s="27"/>
      <c r="J7" s="29"/>
      <c r="K7" s="26"/>
      <c r="L7" s="29"/>
      <c r="M7" s="26"/>
      <c r="N7" s="30"/>
      <c r="O7" s="31"/>
      <c r="P7" s="30"/>
      <c r="Q7" s="26"/>
      <c r="R7" s="32"/>
      <c r="S7" s="27"/>
      <c r="T7" s="33"/>
      <c r="U7" s="27"/>
      <c r="V7" s="27"/>
      <c r="W7" s="34">
        <f>'[5]Sch.B-I.S'!N8</f>
        <v>2332602</v>
      </c>
      <c r="X7" s="1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18"/>
      <c r="AS7" s="19"/>
      <c r="AT7" s="18"/>
      <c r="AU7" s="19"/>
      <c r="AV7" s="18"/>
    </row>
    <row r="8" spans="1:48">
      <c r="A8" s="35"/>
      <c r="B8" s="36"/>
      <c r="C8" s="37"/>
      <c r="D8" s="36"/>
      <c r="E8" s="37"/>
      <c r="F8" s="36"/>
      <c r="G8" s="36"/>
      <c r="H8" s="38"/>
      <c r="I8" s="37"/>
      <c r="J8" s="39"/>
      <c r="K8" s="36"/>
      <c r="L8" s="40"/>
      <c r="M8" s="36"/>
      <c r="N8" s="41"/>
      <c r="O8" s="36"/>
      <c r="P8" s="41"/>
      <c r="Q8" s="42"/>
      <c r="R8" s="38"/>
      <c r="S8" s="35"/>
      <c r="T8" s="43"/>
      <c r="U8" s="35"/>
      <c r="V8" s="35"/>
      <c r="W8" s="44"/>
      <c r="X8" s="45"/>
      <c r="Y8" s="46"/>
      <c r="Z8" s="47"/>
      <c r="AA8" s="47"/>
      <c r="AB8" s="47"/>
      <c r="AC8" s="4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18"/>
      <c r="AS8" s="48"/>
      <c r="AT8" s="18"/>
      <c r="AU8" s="19"/>
      <c r="AV8" s="18"/>
    </row>
    <row r="9" spans="1:48" ht="48">
      <c r="A9" s="35"/>
      <c r="B9" s="49" t="s">
        <v>6</v>
      </c>
      <c r="C9" s="50"/>
      <c r="D9" s="49" t="s">
        <v>7</v>
      </c>
      <c r="F9" s="49" t="s">
        <v>8</v>
      </c>
      <c r="G9" s="51"/>
      <c r="H9" s="52" t="s">
        <v>9</v>
      </c>
      <c r="I9" s="35"/>
      <c r="J9" s="53" t="s">
        <v>10</v>
      </c>
      <c r="K9" s="51"/>
      <c r="L9" s="53" t="s">
        <v>11</v>
      </c>
      <c r="M9" s="35"/>
      <c r="N9" s="54" t="s">
        <v>12</v>
      </c>
      <c r="O9" s="51"/>
      <c r="P9" s="54" t="s">
        <v>13</v>
      </c>
      <c r="Q9" s="51"/>
      <c r="R9" s="52" t="s">
        <v>14</v>
      </c>
      <c r="S9" s="35"/>
      <c r="T9" s="55" t="s">
        <v>15</v>
      </c>
      <c r="U9" s="35"/>
      <c r="V9" s="35"/>
      <c r="W9" s="56"/>
      <c r="X9" s="45"/>
      <c r="Y9" s="46"/>
      <c r="Z9" s="47"/>
      <c r="AA9" s="47"/>
      <c r="AB9" s="47"/>
      <c r="AC9" s="46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8"/>
      <c r="AS9" s="48"/>
      <c r="AT9" s="18"/>
      <c r="AU9" s="19"/>
      <c r="AV9" s="18"/>
    </row>
    <row r="10" spans="1:48">
      <c r="A10" s="35"/>
      <c r="B10" s="51"/>
      <c r="C10" s="50"/>
      <c r="D10" s="51"/>
      <c r="F10" s="51"/>
      <c r="G10" s="51"/>
      <c r="H10" s="57"/>
      <c r="I10" s="35"/>
      <c r="J10" s="58"/>
      <c r="K10" s="51"/>
      <c r="L10" s="58"/>
      <c r="M10" s="35"/>
      <c r="N10" s="59"/>
      <c r="O10" s="51"/>
      <c r="P10" s="59"/>
      <c r="Q10" s="51"/>
      <c r="R10" s="57"/>
      <c r="S10" s="35"/>
      <c r="T10" s="60"/>
      <c r="U10" s="35"/>
      <c r="V10" s="35"/>
      <c r="W10" s="56"/>
      <c r="X10" s="45"/>
      <c r="Y10" s="46"/>
      <c r="Z10" s="47"/>
      <c r="AA10" s="47"/>
      <c r="AB10" s="47"/>
      <c r="AC10" s="4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8"/>
      <c r="AS10" s="48"/>
      <c r="AT10" s="18"/>
      <c r="AU10" s="19"/>
      <c r="AV10" s="18"/>
    </row>
    <row r="11" spans="1:48">
      <c r="A11" s="61" t="s">
        <v>16</v>
      </c>
      <c r="B11" s="62"/>
      <c r="C11" s="63"/>
      <c r="D11" s="62"/>
      <c r="E11" s="63"/>
      <c r="F11" s="62"/>
      <c r="G11" s="62"/>
      <c r="H11" s="64"/>
      <c r="I11" s="63"/>
      <c r="J11" s="65"/>
      <c r="K11" s="62"/>
      <c r="L11" s="65"/>
      <c r="M11" s="62"/>
      <c r="N11" s="66"/>
      <c r="O11" s="67"/>
      <c r="P11" s="66"/>
      <c r="Q11" s="62"/>
      <c r="R11" s="68"/>
      <c r="S11" s="63"/>
      <c r="T11" s="69"/>
      <c r="U11" s="63"/>
      <c r="V11" s="63"/>
      <c r="W11" s="56"/>
      <c r="X11" s="45"/>
      <c r="Y11" s="46"/>
      <c r="Z11" s="47"/>
      <c r="AA11" s="47"/>
      <c r="AB11" s="47"/>
      <c r="AC11" s="4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8"/>
      <c r="AS11" s="48"/>
      <c r="AT11" s="18"/>
      <c r="AU11" s="19"/>
      <c r="AV11" s="18"/>
    </row>
    <row r="12" spans="1:48">
      <c r="A12" s="70"/>
      <c r="B12" s="71"/>
      <c r="C12" s="72"/>
      <c r="D12" s="71"/>
      <c r="E12" s="63"/>
      <c r="F12" s="62"/>
      <c r="G12" s="62"/>
      <c r="H12" s="64"/>
      <c r="I12" s="63"/>
      <c r="J12" s="65"/>
      <c r="K12" s="62"/>
      <c r="L12" s="65"/>
      <c r="M12" s="62"/>
      <c r="N12" s="66"/>
      <c r="O12" s="67"/>
      <c r="P12" s="66"/>
      <c r="Q12" s="62"/>
      <c r="R12" s="68"/>
      <c r="S12" s="63"/>
      <c r="T12" s="69"/>
      <c r="U12" s="63"/>
      <c r="V12" s="63"/>
      <c r="W12" s="56"/>
      <c r="X12" s="45"/>
      <c r="Y12" s="46"/>
      <c r="Z12" s="46"/>
      <c r="AA12" s="46"/>
      <c r="AB12" s="46"/>
      <c r="AC12" s="46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8"/>
      <c r="AS12" s="48"/>
      <c r="AT12" s="18"/>
      <c r="AU12" s="18"/>
      <c r="AV12" s="18"/>
    </row>
    <row r="13" spans="1:48">
      <c r="A13" s="73" t="s">
        <v>17</v>
      </c>
      <c r="B13" s="26">
        <v>240397</v>
      </c>
      <c r="C13" s="74"/>
      <c r="D13" s="26"/>
      <c r="E13" s="74"/>
      <c r="F13" s="26"/>
      <c r="G13" s="26"/>
      <c r="H13" s="28"/>
      <c r="I13" s="75"/>
      <c r="J13" s="29"/>
      <c r="K13" s="26"/>
      <c r="L13" s="29"/>
      <c r="M13" s="26"/>
      <c r="N13" s="76"/>
      <c r="O13" s="31"/>
      <c r="P13" s="76"/>
      <c r="Q13" s="26"/>
      <c r="R13" s="32"/>
      <c r="S13" s="74"/>
      <c r="T13" s="77"/>
      <c r="U13" s="74"/>
      <c r="V13" s="74"/>
      <c r="W13" s="56"/>
      <c r="X13" s="45"/>
      <c r="Y13" s="46"/>
      <c r="Z13" s="46"/>
      <c r="AA13" s="46"/>
      <c r="AB13" s="46"/>
      <c r="AC13" s="4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8"/>
      <c r="AS13" s="48"/>
      <c r="AT13" s="48"/>
      <c r="AU13" s="48"/>
      <c r="AV13" s="48"/>
    </row>
    <row r="14" spans="1:48">
      <c r="A14" s="78" t="s">
        <v>18</v>
      </c>
      <c r="B14" s="79"/>
      <c r="C14" s="80"/>
      <c r="D14" s="79">
        <v>60589.999999999913</v>
      </c>
      <c r="E14" s="74"/>
      <c r="F14" s="26"/>
      <c r="G14" s="26"/>
      <c r="H14" s="81">
        <v>8.9600000000000009</v>
      </c>
      <c r="I14" s="75"/>
      <c r="J14" s="29">
        <f>+D14*H14</f>
        <v>542886.39999999932</v>
      </c>
      <c r="K14" s="26"/>
      <c r="L14" s="29">
        <f>+J14</f>
        <v>542886.39999999932</v>
      </c>
      <c r="M14" s="26"/>
      <c r="N14" s="76">
        <f>+D14</f>
        <v>60589.999999999913</v>
      </c>
      <c r="O14" s="31"/>
      <c r="P14" s="76"/>
      <c r="Q14" s="26"/>
      <c r="R14" s="82">
        <f>+H14*(1+$W$5)</f>
        <v>9.9343977974982423</v>
      </c>
      <c r="S14" s="75"/>
      <c r="T14" s="83">
        <f>+N14*R14</f>
        <v>601925.16255041759</v>
      </c>
      <c r="U14" s="75"/>
      <c r="V14" s="75"/>
      <c r="W14" s="34"/>
      <c r="X14" s="45"/>
      <c r="Y14" s="46"/>
      <c r="Z14" s="46"/>
      <c r="AA14" s="46"/>
      <c r="AB14" s="46"/>
      <c r="AC14" s="46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8"/>
      <c r="AS14" s="18"/>
      <c r="AT14" s="18"/>
      <c r="AU14" s="19"/>
      <c r="AV14" s="18"/>
    </row>
    <row r="15" spans="1:48">
      <c r="A15" s="78" t="s">
        <v>19</v>
      </c>
      <c r="B15" s="79"/>
      <c r="C15" s="80"/>
      <c r="D15" s="79"/>
      <c r="E15" s="74"/>
      <c r="F15" s="26">
        <v>167609.99999999985</v>
      </c>
      <c r="G15" s="26"/>
      <c r="H15" s="84">
        <v>3.61</v>
      </c>
      <c r="I15" s="85"/>
      <c r="J15" s="76">
        <f>+F15*H15</f>
        <v>605072.09999999951</v>
      </c>
      <c r="K15" s="26"/>
      <c r="L15" s="29">
        <f t="shared" ref="L15:L19" si="0">+J15</f>
        <v>605072.09999999951</v>
      </c>
      <c r="M15" s="26"/>
      <c r="N15" s="76"/>
      <c r="O15" s="31"/>
      <c r="P15" s="76">
        <f>+F15</f>
        <v>167609.99999999985</v>
      </c>
      <c r="Q15" s="26"/>
      <c r="R15" s="82">
        <f t="shared" ref="R15:R19" si="1">+H15*(1+$W$5)</f>
        <v>4.0025866126081082</v>
      </c>
      <c r="S15" s="86"/>
      <c r="T15" s="83">
        <f>+P15*R15</f>
        <v>670873.54213924438</v>
      </c>
      <c r="U15" s="75"/>
      <c r="V15" s="75"/>
      <c r="W15" s="34"/>
      <c r="X15" s="45"/>
      <c r="Y15" s="46"/>
      <c r="Z15" s="46"/>
      <c r="AA15" s="46"/>
      <c r="AB15" s="46"/>
      <c r="AC15" s="4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18"/>
      <c r="AS15" s="18"/>
      <c r="AT15" s="18"/>
      <c r="AU15" s="19"/>
      <c r="AV15" s="18"/>
    </row>
    <row r="16" spans="1:48">
      <c r="A16" s="78" t="s">
        <v>20</v>
      </c>
      <c r="B16" s="79"/>
      <c r="C16" s="80"/>
      <c r="D16" s="79"/>
      <c r="E16" s="74"/>
      <c r="F16" s="26">
        <v>12591.999999999984</v>
      </c>
      <c r="G16" s="26"/>
      <c r="H16" s="84">
        <v>3.29</v>
      </c>
      <c r="I16" s="85"/>
      <c r="J16" s="76">
        <f t="shared" ref="J16:J19" si="2">+F16*H16</f>
        <v>41427.679999999949</v>
      </c>
      <c r="K16" s="26"/>
      <c r="L16" s="29">
        <f t="shared" si="0"/>
        <v>41427.679999999949</v>
      </c>
      <c r="M16" s="26"/>
      <c r="N16" s="76"/>
      <c r="O16" s="31"/>
      <c r="P16" s="76">
        <f t="shared" ref="P16:P19" si="3">+F16</f>
        <v>12591.999999999984</v>
      </c>
      <c r="Q16" s="26"/>
      <c r="R16" s="82">
        <f t="shared" si="1"/>
        <v>3.6477866912688852</v>
      </c>
      <c r="S16" s="86"/>
      <c r="T16" s="83">
        <f t="shared" ref="T16:T19" si="4">+P16*R16</f>
        <v>45932.930016457743</v>
      </c>
      <c r="U16" s="75"/>
      <c r="V16" s="75"/>
      <c r="W16" s="56"/>
      <c r="X16" s="45"/>
      <c r="Y16" s="46"/>
      <c r="Z16" s="46"/>
      <c r="AA16" s="46"/>
      <c r="AB16" s="46"/>
      <c r="AC16" s="46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18"/>
      <c r="AS16" s="18"/>
      <c r="AT16" s="18"/>
      <c r="AU16" s="19"/>
      <c r="AV16" s="18"/>
    </row>
    <row r="17" spans="1:48">
      <c r="A17" s="78" t="s">
        <v>21</v>
      </c>
      <c r="B17" s="79"/>
      <c r="C17" s="80"/>
      <c r="D17" s="79"/>
      <c r="E17" s="74"/>
      <c r="F17" s="26">
        <v>2584</v>
      </c>
      <c r="G17" s="26"/>
      <c r="H17" s="84">
        <v>3.12</v>
      </c>
      <c r="I17" s="85"/>
      <c r="J17" s="76">
        <f t="shared" si="2"/>
        <v>8062.08</v>
      </c>
      <c r="K17" s="26"/>
      <c r="L17" s="29">
        <f t="shared" si="0"/>
        <v>8062.08</v>
      </c>
      <c r="M17" s="26"/>
      <c r="N17" s="76"/>
      <c r="O17" s="31"/>
      <c r="P17" s="76">
        <f t="shared" si="3"/>
        <v>2584</v>
      </c>
      <c r="Q17" s="26"/>
      <c r="R17" s="82">
        <f t="shared" si="1"/>
        <v>3.4592992330574233</v>
      </c>
      <c r="S17" s="86"/>
      <c r="T17" s="83">
        <f t="shared" si="4"/>
        <v>8938.8292182203822</v>
      </c>
      <c r="U17" s="75"/>
      <c r="V17" s="75"/>
      <c r="W17" s="56"/>
      <c r="X17" s="45"/>
      <c r="Y17" s="46"/>
      <c r="Z17" s="46"/>
      <c r="AA17" s="46"/>
      <c r="AB17" s="46"/>
      <c r="AC17" s="4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18"/>
      <c r="AS17" s="48"/>
      <c r="AT17" s="18"/>
      <c r="AU17" s="19"/>
      <c r="AV17" s="18"/>
    </row>
    <row r="18" spans="1:48">
      <c r="A18" s="78" t="s">
        <v>22</v>
      </c>
      <c r="B18" s="79"/>
      <c r="C18" s="80"/>
      <c r="D18" s="79"/>
      <c r="E18" s="74"/>
      <c r="F18" s="26">
        <v>1118</v>
      </c>
      <c r="G18" s="26"/>
      <c r="H18" s="84">
        <v>2.79</v>
      </c>
      <c r="I18" s="85"/>
      <c r="J18" s="76">
        <f t="shared" si="2"/>
        <v>3119.2200000000003</v>
      </c>
      <c r="K18" s="26"/>
      <c r="L18" s="29">
        <f t="shared" si="0"/>
        <v>3119.2200000000003</v>
      </c>
      <c r="M18" s="26"/>
      <c r="N18" s="76"/>
      <c r="O18" s="31"/>
      <c r="P18" s="76">
        <f t="shared" si="3"/>
        <v>1118</v>
      </c>
      <c r="Q18" s="26"/>
      <c r="R18" s="82">
        <f t="shared" si="1"/>
        <v>3.0934118141763496</v>
      </c>
      <c r="S18" s="86"/>
      <c r="T18" s="83">
        <f t="shared" si="4"/>
        <v>3458.4344082491589</v>
      </c>
      <c r="U18" s="75"/>
      <c r="V18" s="75"/>
      <c r="W18" s="56"/>
      <c r="X18" s="45"/>
      <c r="Y18" s="46"/>
      <c r="Z18" s="46"/>
      <c r="AA18" s="46"/>
      <c r="AB18" s="4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18"/>
      <c r="AS18" s="48"/>
      <c r="AT18" s="18"/>
      <c r="AU18" s="19"/>
      <c r="AV18" s="18"/>
    </row>
    <row r="19" spans="1:48">
      <c r="A19" s="78" t="s">
        <v>23</v>
      </c>
      <c r="B19" s="79"/>
      <c r="C19" s="80"/>
      <c r="D19" s="79"/>
      <c r="E19" s="74"/>
      <c r="F19" s="26">
        <v>508.99999999999994</v>
      </c>
      <c r="G19" s="26"/>
      <c r="H19" s="84">
        <v>2.5499999999999998</v>
      </c>
      <c r="I19" s="85"/>
      <c r="J19" s="76">
        <f t="shared" si="2"/>
        <v>1297.9499999999998</v>
      </c>
      <c r="K19" s="26"/>
      <c r="L19" s="29">
        <f t="shared" si="0"/>
        <v>1297.9499999999998</v>
      </c>
      <c r="M19" s="26"/>
      <c r="N19" s="76"/>
      <c r="O19" s="31"/>
      <c r="P19" s="76">
        <f t="shared" si="3"/>
        <v>508.99999999999994</v>
      </c>
      <c r="Q19" s="26"/>
      <c r="R19" s="82">
        <f t="shared" si="1"/>
        <v>2.827311873171932</v>
      </c>
      <c r="S19" s="86"/>
      <c r="T19" s="83">
        <f t="shared" si="4"/>
        <v>1439.1017434445132</v>
      </c>
      <c r="U19" s="75"/>
      <c r="V19" s="75"/>
      <c r="W19" s="87">
        <f>SUM(N20,N30,N40,N50,N60)</f>
        <v>67284.999999999898</v>
      </c>
      <c r="X19" s="45"/>
      <c r="Y19" s="46"/>
      <c r="Z19" s="46"/>
      <c r="AA19" s="46"/>
      <c r="AB19" s="46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8"/>
      <c r="AS19" s="48"/>
      <c r="AT19" s="18"/>
      <c r="AU19" s="19"/>
      <c r="AV19" s="18"/>
    </row>
    <row r="20" spans="1:48" s="97" customFormat="1" ht="12.75" thickBot="1">
      <c r="A20" s="88" t="s">
        <v>24</v>
      </c>
      <c r="B20" s="89">
        <f>SUM(B13:B19)</f>
        <v>240397</v>
      </c>
      <c r="C20" s="90"/>
      <c r="D20" s="89">
        <f>SUM(D13:D19)</f>
        <v>60589.999999999913</v>
      </c>
      <c r="E20" s="90"/>
      <c r="F20" s="89">
        <f>SUM(F13:F19)</f>
        <v>184412.99999999983</v>
      </c>
      <c r="G20" s="62"/>
      <c r="H20" s="64"/>
      <c r="I20" s="63"/>
      <c r="J20" s="91">
        <f>SUM(J13:J19)</f>
        <v>1201865.4299999988</v>
      </c>
      <c r="K20" s="62"/>
      <c r="L20" s="91">
        <f>SUM(L13:L19)</f>
        <v>1201865.4299999988</v>
      </c>
      <c r="M20" s="62"/>
      <c r="N20" s="89">
        <f>SUM(N13:N19)</f>
        <v>60589.999999999913</v>
      </c>
      <c r="O20" s="67"/>
      <c r="P20" s="89">
        <f>SUM(P13:P19)</f>
        <v>184412.99999999983</v>
      </c>
      <c r="Q20" s="62"/>
      <c r="R20" s="32"/>
      <c r="S20" s="90"/>
      <c r="T20" s="91">
        <f>SUM(T13:T19)</f>
        <v>1332568.0000760339</v>
      </c>
      <c r="U20" s="90"/>
      <c r="V20" s="90"/>
      <c r="W20" s="92" t="e">
        <f>SUM(#REF!,#REF!,#REF!,#REF!,#REF!)</f>
        <v>#REF!</v>
      </c>
      <c r="X20" s="93"/>
      <c r="Y20" s="94"/>
      <c r="Z20" s="94"/>
      <c r="AA20" s="94"/>
      <c r="AB20" s="94"/>
      <c r="AC20" s="94"/>
      <c r="AD20" s="94" t="s">
        <v>25</v>
      </c>
      <c r="AE20" s="70"/>
      <c r="AF20" s="63"/>
      <c r="AG20" s="90"/>
      <c r="AH20" s="90"/>
      <c r="AI20" s="90"/>
      <c r="AJ20" s="63"/>
      <c r="AK20" s="95"/>
      <c r="AL20" s="63"/>
      <c r="AM20" s="95"/>
      <c r="AN20" s="63"/>
      <c r="AO20" s="95"/>
      <c r="AP20" s="63"/>
      <c r="AQ20" s="95"/>
      <c r="AR20" s="96"/>
      <c r="AS20" s="96"/>
      <c r="AT20" s="96"/>
      <c r="AU20" s="96"/>
      <c r="AV20" s="96"/>
    </row>
    <row r="21" spans="1:48" ht="12.75" thickTop="1">
      <c r="A21" s="88"/>
      <c r="B21" s="79"/>
      <c r="C21" s="80"/>
      <c r="D21" s="79"/>
      <c r="E21" s="74"/>
      <c r="F21" s="26"/>
      <c r="G21" s="26"/>
      <c r="H21" s="28"/>
      <c r="I21" s="75"/>
      <c r="J21" s="29"/>
      <c r="K21" s="26"/>
      <c r="L21" s="29"/>
      <c r="M21" s="26"/>
      <c r="N21" s="76"/>
      <c r="O21" s="31"/>
      <c r="P21" s="76"/>
      <c r="Q21" s="26"/>
      <c r="R21" s="32"/>
      <c r="S21" s="75"/>
      <c r="T21" s="33"/>
      <c r="U21" s="75"/>
      <c r="V21" s="75"/>
      <c r="W21" s="34">
        <f>SUM(T20,T30,T40,T50,T60)</f>
        <v>1490371.1192903554</v>
      </c>
      <c r="X21" s="45"/>
      <c r="Y21" s="46"/>
      <c r="Z21" s="46"/>
      <c r="AA21" s="46"/>
      <c r="AB21" s="46"/>
      <c r="AC21" s="4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18"/>
      <c r="AS21" s="18"/>
      <c r="AT21" s="18"/>
      <c r="AU21" s="19"/>
      <c r="AV21" s="18"/>
    </row>
    <row r="22" spans="1:48" ht="12.75" thickBot="1">
      <c r="A22" s="98" t="s">
        <v>26</v>
      </c>
      <c r="B22" s="79"/>
      <c r="C22" s="80"/>
      <c r="D22" s="79"/>
      <c r="E22" s="74"/>
      <c r="F22" s="26"/>
      <c r="G22" s="26"/>
      <c r="H22" s="28"/>
      <c r="I22" s="75"/>
      <c r="J22" s="29"/>
      <c r="K22" s="26"/>
      <c r="L22" s="99">
        <f>+L20/$D20</f>
        <v>19.836036144578323</v>
      </c>
      <c r="M22" s="26"/>
      <c r="N22" s="76"/>
      <c r="O22" s="31"/>
      <c r="P22" s="76"/>
      <c r="Q22" s="26"/>
      <c r="R22" s="32"/>
      <c r="S22" s="75"/>
      <c r="T22" s="99">
        <f>+T20/$D20</f>
        <v>21.993200199307406</v>
      </c>
      <c r="U22" s="75">
        <f>+T22-L22</f>
        <v>2.1571640547290833</v>
      </c>
      <c r="V22" s="75">
        <f>U22/L22</f>
        <v>0.10874975418507137</v>
      </c>
      <c r="W22" s="34">
        <f>W21/W19</f>
        <v>22.1501243856782</v>
      </c>
      <c r="X22" s="45"/>
      <c r="Y22" s="46"/>
      <c r="Z22" s="46"/>
      <c r="AA22" s="46"/>
      <c r="AB22" s="46"/>
      <c r="AC22" s="46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18"/>
      <c r="AS22" s="18"/>
      <c r="AT22" s="18"/>
      <c r="AU22" s="19"/>
      <c r="AV22" s="18"/>
    </row>
    <row r="23" spans="1:48" ht="12.75" thickTop="1">
      <c r="A23" s="73" t="s">
        <v>27</v>
      </c>
      <c r="B23" s="26">
        <v>26042</v>
      </c>
      <c r="C23" s="74"/>
      <c r="D23" s="26"/>
      <c r="E23" s="74"/>
      <c r="F23" s="26"/>
      <c r="G23" s="26"/>
      <c r="H23" s="28"/>
      <c r="I23" s="75"/>
      <c r="J23" s="29"/>
      <c r="K23" s="26"/>
      <c r="L23" s="29"/>
      <c r="M23" s="26"/>
      <c r="N23" s="76"/>
      <c r="O23" s="31"/>
      <c r="P23" s="76"/>
      <c r="Q23" s="26"/>
      <c r="R23" s="32"/>
      <c r="S23" s="74"/>
      <c r="T23" s="77"/>
      <c r="U23" s="74"/>
      <c r="V23" s="74"/>
      <c r="W23" s="56" t="e">
        <f>W20/W19</f>
        <v>#REF!</v>
      </c>
      <c r="X23" s="100" t="e">
        <f>W22-W23</f>
        <v>#REF!</v>
      </c>
      <c r="Y23" s="46"/>
      <c r="Z23" s="46"/>
      <c r="AA23" s="46"/>
      <c r="AB23" s="46"/>
      <c r="AC23" s="4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48"/>
      <c r="AS23" s="48"/>
      <c r="AT23" s="48"/>
      <c r="AU23" s="48"/>
      <c r="AV23" s="48"/>
    </row>
    <row r="24" spans="1:48">
      <c r="A24" s="78" t="s">
        <v>18</v>
      </c>
      <c r="B24" s="79"/>
      <c r="C24" s="80"/>
      <c r="D24" s="79">
        <v>6429.9999999999918</v>
      </c>
      <c r="E24" s="74"/>
      <c r="F24" s="26"/>
      <c r="G24" s="26"/>
      <c r="H24" s="81">
        <v>8.9600000000000009</v>
      </c>
      <c r="I24" s="75"/>
      <c r="J24" s="29">
        <f>+D24*H24</f>
        <v>57612.79999999993</v>
      </c>
      <c r="K24" s="26"/>
      <c r="L24" s="29">
        <f>+J24</f>
        <v>57612.79999999993</v>
      </c>
      <c r="M24" s="26"/>
      <c r="N24" s="76">
        <f>+D24</f>
        <v>6429.9999999999918</v>
      </c>
      <c r="O24" s="31"/>
      <c r="P24" s="76"/>
      <c r="Q24" s="26"/>
      <c r="R24" s="82">
        <f>+H24*(1+$W$5)</f>
        <v>9.9343977974982423</v>
      </c>
      <c r="S24" s="75"/>
      <c r="T24" s="83">
        <f>+N24*R24</f>
        <v>63878.177837913616</v>
      </c>
      <c r="U24" s="75"/>
      <c r="V24" s="75"/>
      <c r="W24" s="34"/>
      <c r="X24" s="45"/>
      <c r="Y24" s="46"/>
      <c r="Z24" s="46"/>
      <c r="AA24" s="46"/>
      <c r="AB24" s="46"/>
      <c r="AC24" s="46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8"/>
      <c r="AS24" s="18"/>
      <c r="AT24" s="18"/>
      <c r="AU24" s="19"/>
      <c r="AV24" s="18"/>
    </row>
    <row r="25" spans="1:48">
      <c r="A25" s="78" t="s">
        <v>19</v>
      </c>
      <c r="B25" s="79"/>
      <c r="C25" s="80"/>
      <c r="D25" s="79"/>
      <c r="E25" s="74"/>
      <c r="F25" s="26">
        <v>13082.999999999998</v>
      </c>
      <c r="G25" s="26"/>
      <c r="H25" s="84">
        <v>3.61</v>
      </c>
      <c r="I25" s="86"/>
      <c r="J25" s="76">
        <f>+F25*H25</f>
        <v>47229.62999999999</v>
      </c>
      <c r="K25" s="26"/>
      <c r="L25" s="29">
        <f t="shared" ref="L25:L29" si="5">+J25</f>
        <v>47229.62999999999</v>
      </c>
      <c r="M25" s="26"/>
      <c r="N25" s="76"/>
      <c r="O25" s="31"/>
      <c r="P25" s="76">
        <f>+F25</f>
        <v>13082.999999999998</v>
      </c>
      <c r="Q25" s="26"/>
      <c r="R25" s="82">
        <f t="shared" ref="R25:R29" si="6">+H25*(1+$W$5)</f>
        <v>4.0025866126081082</v>
      </c>
      <c r="S25" s="75"/>
      <c r="T25" s="83">
        <f>+P25*R25</f>
        <v>52365.840652751875</v>
      </c>
      <c r="U25" s="75"/>
      <c r="V25" s="75"/>
      <c r="W25" s="34"/>
      <c r="X25" s="45"/>
      <c r="Y25" s="46"/>
      <c r="Z25" s="46"/>
      <c r="AA25" s="46"/>
      <c r="AB25" s="46"/>
      <c r="AC25" s="46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8"/>
      <c r="AS25" s="18"/>
      <c r="AT25" s="18"/>
      <c r="AU25" s="19"/>
      <c r="AV25" s="18"/>
    </row>
    <row r="26" spans="1:48">
      <c r="A26" s="78" t="s">
        <v>20</v>
      </c>
      <c r="B26" s="79"/>
      <c r="C26" s="80"/>
      <c r="D26" s="79"/>
      <c r="E26" s="74"/>
      <c r="F26" s="26">
        <v>4017.0000000000055</v>
      </c>
      <c r="G26" s="26"/>
      <c r="H26" s="84">
        <v>3.29</v>
      </c>
      <c r="I26" s="86"/>
      <c r="J26" s="76">
        <f t="shared" ref="J26:J29" si="7">+F26*H26</f>
        <v>13215.930000000018</v>
      </c>
      <c r="K26" s="26"/>
      <c r="L26" s="29">
        <f t="shared" si="5"/>
        <v>13215.930000000018</v>
      </c>
      <c r="M26" s="26"/>
      <c r="N26" s="76"/>
      <c r="O26" s="31"/>
      <c r="P26" s="76">
        <f t="shared" ref="P26:P29" si="8">+F26</f>
        <v>4017.0000000000055</v>
      </c>
      <c r="Q26" s="26"/>
      <c r="R26" s="82">
        <f t="shared" si="6"/>
        <v>3.6477866912688852</v>
      </c>
      <c r="S26" s="75"/>
      <c r="T26" s="83">
        <f t="shared" ref="T26:T29" si="9">+P26*R26</f>
        <v>14653.159138827132</v>
      </c>
      <c r="U26" s="75"/>
      <c r="V26" s="75"/>
      <c r="W26" s="56"/>
      <c r="X26" s="45"/>
      <c r="Y26" s="46"/>
      <c r="Z26" s="46"/>
      <c r="AA26" s="46"/>
      <c r="AB26" s="46"/>
      <c r="AC26" s="46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18"/>
      <c r="AS26" s="18"/>
      <c r="AT26" s="18"/>
      <c r="AU26" s="19"/>
      <c r="AV26" s="18"/>
    </row>
    <row r="27" spans="1:48">
      <c r="A27" s="78" t="s">
        <v>21</v>
      </c>
      <c r="B27" s="79"/>
      <c r="C27" s="80"/>
      <c r="D27" s="79"/>
      <c r="E27" s="74"/>
      <c r="F27" s="26">
        <v>2280</v>
      </c>
      <c r="G27" s="26"/>
      <c r="H27" s="84">
        <v>3.12</v>
      </c>
      <c r="I27" s="86"/>
      <c r="J27" s="76">
        <f t="shared" si="7"/>
        <v>7113.6</v>
      </c>
      <c r="K27" s="26"/>
      <c r="L27" s="29">
        <f t="shared" si="5"/>
        <v>7113.6</v>
      </c>
      <c r="M27" s="26"/>
      <c r="N27" s="76"/>
      <c r="O27" s="31"/>
      <c r="P27" s="76">
        <f t="shared" si="8"/>
        <v>2280</v>
      </c>
      <c r="Q27" s="26"/>
      <c r="R27" s="82">
        <f t="shared" si="6"/>
        <v>3.4592992330574233</v>
      </c>
      <c r="S27" s="75"/>
      <c r="T27" s="83">
        <f t="shared" si="9"/>
        <v>7887.2022513709253</v>
      </c>
      <c r="U27" s="75"/>
      <c r="V27" s="75"/>
      <c r="W27" s="56"/>
      <c r="X27" s="45"/>
      <c r="Y27" s="46"/>
      <c r="Z27" s="46"/>
      <c r="AA27" s="46"/>
      <c r="AB27" s="46"/>
      <c r="AC27" s="46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18"/>
      <c r="AS27" s="48"/>
      <c r="AT27" s="18"/>
      <c r="AU27" s="19"/>
      <c r="AV27" s="18"/>
    </row>
    <row r="28" spans="1:48">
      <c r="A28" s="78" t="s">
        <v>22</v>
      </c>
      <c r="B28" s="79"/>
      <c r="C28" s="80"/>
      <c r="D28" s="79"/>
      <c r="E28" s="74"/>
      <c r="F28" s="26">
        <v>1588.9999999999998</v>
      </c>
      <c r="G28" s="26"/>
      <c r="H28" s="84">
        <v>2.79</v>
      </c>
      <c r="I28" s="86"/>
      <c r="J28" s="76">
        <f t="shared" si="7"/>
        <v>4433.3099999999995</v>
      </c>
      <c r="K28" s="26"/>
      <c r="L28" s="29">
        <f t="shared" si="5"/>
        <v>4433.3099999999995</v>
      </c>
      <c r="M28" s="26"/>
      <c r="N28" s="76"/>
      <c r="O28" s="31"/>
      <c r="P28" s="76">
        <f t="shared" si="8"/>
        <v>1588.9999999999998</v>
      </c>
      <c r="Q28" s="26"/>
      <c r="R28" s="82">
        <f t="shared" si="6"/>
        <v>3.0934118141763496</v>
      </c>
      <c r="S28" s="75"/>
      <c r="T28" s="83">
        <f t="shared" si="9"/>
        <v>4915.4313727262188</v>
      </c>
      <c r="U28" s="75"/>
      <c r="V28" s="75"/>
      <c r="W28" s="56"/>
      <c r="X28" s="45"/>
      <c r="Y28" s="46"/>
      <c r="Z28" s="46"/>
      <c r="AA28" s="46"/>
      <c r="AB28" s="46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18"/>
      <c r="AS28" s="48"/>
      <c r="AT28" s="18"/>
      <c r="AU28" s="19"/>
      <c r="AV28" s="18"/>
    </row>
    <row r="29" spans="1:48">
      <c r="A29" s="78" t="s">
        <v>23</v>
      </c>
      <c r="B29" s="79"/>
      <c r="C29" s="80"/>
      <c r="D29" s="79"/>
      <c r="E29" s="74"/>
      <c r="F29" s="26">
        <v>267</v>
      </c>
      <c r="G29" s="26"/>
      <c r="H29" s="84">
        <v>2.5499999999999998</v>
      </c>
      <c r="I29" s="86"/>
      <c r="J29" s="76">
        <f t="shared" si="7"/>
        <v>680.84999999999991</v>
      </c>
      <c r="K29" s="26"/>
      <c r="L29" s="29">
        <f t="shared" si="5"/>
        <v>680.84999999999991</v>
      </c>
      <c r="M29" s="26"/>
      <c r="N29" s="76"/>
      <c r="O29" s="31"/>
      <c r="P29" s="76">
        <f t="shared" si="8"/>
        <v>267</v>
      </c>
      <c r="Q29" s="26"/>
      <c r="R29" s="82">
        <f t="shared" si="6"/>
        <v>2.827311873171932</v>
      </c>
      <c r="S29" s="75"/>
      <c r="T29" s="83">
        <f t="shared" si="9"/>
        <v>754.89227013690584</v>
      </c>
      <c r="U29" s="75"/>
      <c r="V29" s="75"/>
      <c r="W29" s="56"/>
      <c r="X29" s="45"/>
      <c r="Y29" s="46"/>
      <c r="Z29" s="46"/>
      <c r="AA29" s="46"/>
      <c r="AB29" s="46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8"/>
      <c r="AS29" s="48"/>
      <c r="AT29" s="18"/>
      <c r="AU29" s="19"/>
      <c r="AV29" s="18"/>
    </row>
    <row r="30" spans="1:48" s="97" customFormat="1" ht="12.75" thickBot="1">
      <c r="A30" s="88" t="s">
        <v>28</v>
      </c>
      <c r="B30" s="89">
        <f>SUM(B23:B29)</f>
        <v>26042</v>
      </c>
      <c r="C30" s="90"/>
      <c r="D30" s="89">
        <f>SUM(D23:D29)</f>
        <v>6429.9999999999918</v>
      </c>
      <c r="E30" s="90"/>
      <c r="F30" s="89">
        <f>SUM(F23:F29)</f>
        <v>21236.000000000004</v>
      </c>
      <c r="G30" s="62"/>
      <c r="H30" s="64"/>
      <c r="I30" s="63"/>
      <c r="J30" s="91">
        <f>SUM(J23:J29)</f>
        <v>130286.11999999995</v>
      </c>
      <c r="K30" s="62"/>
      <c r="L30" s="91">
        <f>SUM(L23:L29)</f>
        <v>130286.11999999995</v>
      </c>
      <c r="M30" s="62"/>
      <c r="N30" s="89">
        <f>SUM(N23:N29)</f>
        <v>6429.9999999999918</v>
      </c>
      <c r="O30" s="67"/>
      <c r="P30" s="89">
        <f>SUM(P23:P29)</f>
        <v>21236.000000000004</v>
      </c>
      <c r="Q30" s="62"/>
      <c r="R30" s="32"/>
      <c r="S30" s="90"/>
      <c r="T30" s="91">
        <f>SUM(T23:T29)</f>
        <v>144454.7035237267</v>
      </c>
      <c r="U30" s="90"/>
      <c r="V30" s="90"/>
      <c r="W30" s="87"/>
      <c r="X30" s="93"/>
      <c r="Y30" s="94"/>
      <c r="Z30" s="94"/>
      <c r="AA30" s="94"/>
      <c r="AB30" s="94"/>
      <c r="AC30" s="94"/>
      <c r="AD30" s="94" t="s">
        <v>25</v>
      </c>
      <c r="AE30" s="70"/>
      <c r="AF30" s="63"/>
      <c r="AG30" s="90"/>
      <c r="AH30" s="90"/>
      <c r="AI30" s="90"/>
      <c r="AJ30" s="63"/>
      <c r="AK30" s="95"/>
      <c r="AL30" s="63"/>
      <c r="AM30" s="95"/>
      <c r="AN30" s="63"/>
      <c r="AO30" s="95"/>
      <c r="AP30" s="63"/>
      <c r="AQ30" s="95"/>
      <c r="AR30" s="96"/>
      <c r="AS30" s="96"/>
      <c r="AT30" s="96"/>
      <c r="AU30" s="96"/>
      <c r="AV30" s="96"/>
    </row>
    <row r="31" spans="1:48" ht="12.75" thickTop="1">
      <c r="A31" s="88"/>
      <c r="B31" s="79"/>
      <c r="C31" s="80"/>
      <c r="D31" s="79"/>
      <c r="E31" s="74"/>
      <c r="F31" s="26"/>
      <c r="G31" s="26"/>
      <c r="H31" s="28"/>
      <c r="I31" s="75"/>
      <c r="J31" s="29"/>
      <c r="K31" s="26"/>
      <c r="L31" s="29"/>
      <c r="M31" s="26"/>
      <c r="N31" s="76"/>
      <c r="O31" s="31"/>
      <c r="P31" s="76"/>
      <c r="Q31" s="26"/>
      <c r="R31" s="32"/>
      <c r="S31" s="75"/>
      <c r="T31" s="33"/>
      <c r="U31" s="75"/>
      <c r="V31" s="75"/>
      <c r="W31" s="34"/>
      <c r="X31" s="45"/>
      <c r="Y31" s="46"/>
      <c r="Z31" s="46"/>
      <c r="AA31" s="46"/>
      <c r="AB31" s="46"/>
      <c r="AC31" s="46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8"/>
      <c r="AS31" s="18"/>
      <c r="AT31" s="18"/>
      <c r="AU31" s="19"/>
      <c r="AV31" s="18"/>
    </row>
    <row r="32" spans="1:48" ht="12.75" thickBot="1">
      <c r="A32" s="98" t="s">
        <v>29</v>
      </c>
      <c r="B32" s="79"/>
      <c r="C32" s="80"/>
      <c r="D32" s="79"/>
      <c r="E32" s="74"/>
      <c r="F32" s="26"/>
      <c r="G32" s="26"/>
      <c r="H32" s="28"/>
      <c r="I32" s="75"/>
      <c r="J32" s="29"/>
      <c r="K32" s="26"/>
      <c r="L32" s="99">
        <f>+L30/$D30</f>
        <v>20.262227060653206</v>
      </c>
      <c r="M32" s="26"/>
      <c r="N32" s="76"/>
      <c r="O32" s="31"/>
      <c r="P32" s="76"/>
      <c r="Q32" s="26"/>
      <c r="R32" s="32"/>
      <c r="S32" s="75"/>
      <c r="T32" s="99">
        <f>+T30/$D30</f>
        <v>22.465739272741349</v>
      </c>
      <c r="U32" s="75">
        <f>+T32-L32</f>
        <v>2.2035122120881425</v>
      </c>
      <c r="V32" s="75">
        <f>U32/L32</f>
        <v>0.10874975418507163</v>
      </c>
      <c r="W32" s="34"/>
      <c r="X32" s="45"/>
      <c r="Y32" s="46"/>
      <c r="Z32" s="46"/>
      <c r="AA32" s="46"/>
      <c r="AB32" s="46"/>
      <c r="AC32" s="4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18"/>
      <c r="AS32" s="18"/>
      <c r="AT32" s="18"/>
      <c r="AU32" s="19"/>
      <c r="AV32" s="18"/>
    </row>
    <row r="33" spans="1:48" ht="12.75" thickTop="1">
      <c r="A33" s="73" t="s">
        <v>30</v>
      </c>
      <c r="B33" s="26">
        <v>1877</v>
      </c>
      <c r="C33" s="74"/>
      <c r="D33" s="26"/>
      <c r="E33" s="74"/>
      <c r="F33" s="26"/>
      <c r="G33" s="26"/>
      <c r="H33" s="28"/>
      <c r="I33" s="75"/>
      <c r="J33" s="29"/>
      <c r="K33" s="26"/>
      <c r="L33" s="29"/>
      <c r="M33" s="26"/>
      <c r="N33" s="76"/>
      <c r="O33" s="31"/>
      <c r="P33" s="76"/>
      <c r="Q33" s="26"/>
      <c r="R33" s="32"/>
      <c r="S33" s="74"/>
      <c r="T33" s="77"/>
      <c r="U33" s="74"/>
      <c r="V33" s="74"/>
      <c r="W33" s="56"/>
      <c r="X33" s="45"/>
      <c r="Y33" s="46"/>
      <c r="Z33" s="46"/>
      <c r="AA33" s="46"/>
      <c r="AB33" s="46"/>
      <c r="AC33" s="46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48"/>
      <c r="AS33" s="48"/>
      <c r="AT33" s="48"/>
      <c r="AU33" s="48"/>
      <c r="AV33" s="48"/>
    </row>
    <row r="34" spans="1:48">
      <c r="A34" s="78" t="s">
        <v>18</v>
      </c>
      <c r="B34" s="79"/>
      <c r="C34" s="80"/>
      <c r="D34" s="79">
        <v>160.00000000000011</v>
      </c>
      <c r="E34" s="74"/>
      <c r="F34" s="26"/>
      <c r="G34" s="26"/>
      <c r="H34" s="81">
        <v>8.9600000000000009</v>
      </c>
      <c r="I34" s="75"/>
      <c r="J34" s="29">
        <f>+D34*H34</f>
        <v>1433.600000000001</v>
      </c>
      <c r="K34" s="26"/>
      <c r="L34" s="29">
        <f>+J34</f>
        <v>1433.600000000001</v>
      </c>
      <c r="M34" s="26"/>
      <c r="N34" s="76">
        <f>+D34</f>
        <v>160.00000000000011</v>
      </c>
      <c r="O34" s="31"/>
      <c r="P34" s="76"/>
      <c r="Q34" s="26"/>
      <c r="R34" s="82">
        <f>+H34*(1+$W$5)</f>
        <v>9.9343977974982423</v>
      </c>
      <c r="S34" s="75"/>
      <c r="T34" s="83">
        <f>+N34*R34</f>
        <v>1589.5036475997199</v>
      </c>
      <c r="U34" s="75"/>
      <c r="V34" s="75"/>
      <c r="W34" s="34"/>
      <c r="X34" s="45"/>
      <c r="Y34" s="46"/>
      <c r="Z34" s="46"/>
      <c r="AA34" s="46"/>
      <c r="AB34" s="46"/>
      <c r="AC34" s="46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18"/>
      <c r="AS34" s="18"/>
      <c r="AT34" s="18"/>
      <c r="AU34" s="19"/>
      <c r="AV34" s="18"/>
    </row>
    <row r="35" spans="1:48">
      <c r="A35" s="78" t="s">
        <v>19</v>
      </c>
      <c r="B35" s="79"/>
      <c r="C35" s="80"/>
      <c r="D35" s="79"/>
      <c r="E35" s="74"/>
      <c r="F35" s="26">
        <v>405.00000000000006</v>
      </c>
      <c r="G35" s="26"/>
      <c r="H35" s="84">
        <v>3.61</v>
      </c>
      <c r="I35" s="75"/>
      <c r="J35" s="76">
        <f>+F35*H35</f>
        <v>1462.0500000000002</v>
      </c>
      <c r="K35" s="26"/>
      <c r="L35" s="29">
        <f t="shared" ref="L35:L39" si="10">+J35</f>
        <v>1462.0500000000002</v>
      </c>
      <c r="M35" s="26"/>
      <c r="N35" s="76"/>
      <c r="O35" s="31"/>
      <c r="P35" s="76">
        <f>+F35</f>
        <v>405.00000000000006</v>
      </c>
      <c r="Q35" s="26"/>
      <c r="R35" s="82">
        <f t="shared" ref="R35:R39" si="11">+H35*(1+$W$5)</f>
        <v>4.0025866126081082</v>
      </c>
      <c r="S35" s="75"/>
      <c r="T35" s="83">
        <f>+P35*R35</f>
        <v>1621.0475781062842</v>
      </c>
      <c r="U35" s="75"/>
      <c r="V35" s="75"/>
      <c r="W35" s="34"/>
      <c r="X35" s="45"/>
      <c r="Y35" s="46"/>
      <c r="Z35" s="46"/>
      <c r="AA35" s="46"/>
      <c r="AB35" s="46"/>
      <c r="AC35" s="46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18"/>
      <c r="AS35" s="18"/>
      <c r="AT35" s="18"/>
      <c r="AU35" s="19"/>
      <c r="AV35" s="18"/>
    </row>
    <row r="36" spans="1:48">
      <c r="A36" s="78" t="s">
        <v>20</v>
      </c>
      <c r="B36" s="79"/>
      <c r="C36" s="80"/>
      <c r="D36" s="79"/>
      <c r="E36" s="74"/>
      <c r="F36" s="26">
        <v>291.00000000000006</v>
      </c>
      <c r="G36" s="26"/>
      <c r="H36" s="84">
        <v>3.29</v>
      </c>
      <c r="I36" s="75"/>
      <c r="J36" s="76">
        <f t="shared" ref="J36:J39" si="12">+F36*H36</f>
        <v>957.39000000000021</v>
      </c>
      <c r="K36" s="26"/>
      <c r="L36" s="29">
        <f t="shared" si="10"/>
        <v>957.39000000000021</v>
      </c>
      <c r="M36" s="26"/>
      <c r="N36" s="76"/>
      <c r="O36" s="31"/>
      <c r="P36" s="76">
        <f t="shared" ref="P36:P39" si="13">+F36</f>
        <v>291.00000000000006</v>
      </c>
      <c r="Q36" s="26"/>
      <c r="R36" s="82">
        <f t="shared" si="11"/>
        <v>3.6477866912688852</v>
      </c>
      <c r="S36" s="75"/>
      <c r="T36" s="83">
        <f t="shared" ref="T36:T39" si="14">+P36*R36</f>
        <v>1061.5059271592459</v>
      </c>
      <c r="U36" s="75"/>
      <c r="V36" s="75"/>
      <c r="W36" s="56"/>
      <c r="X36" s="45"/>
      <c r="Y36" s="46"/>
      <c r="Z36" s="46"/>
      <c r="AA36" s="46"/>
      <c r="AB36" s="46"/>
      <c r="AC36" s="46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18"/>
      <c r="AS36" s="18"/>
      <c r="AT36" s="18"/>
      <c r="AU36" s="19"/>
      <c r="AV36" s="18"/>
    </row>
    <row r="37" spans="1:48">
      <c r="A37" s="78" t="s">
        <v>21</v>
      </c>
      <c r="B37" s="79"/>
      <c r="C37" s="80"/>
      <c r="D37" s="79"/>
      <c r="E37" s="74"/>
      <c r="F37" s="26">
        <v>375</v>
      </c>
      <c r="G37" s="26"/>
      <c r="H37" s="84">
        <v>3.12</v>
      </c>
      <c r="I37" s="75"/>
      <c r="J37" s="76">
        <f t="shared" si="12"/>
        <v>1170</v>
      </c>
      <c r="K37" s="26"/>
      <c r="L37" s="29">
        <f t="shared" si="10"/>
        <v>1170</v>
      </c>
      <c r="M37" s="26"/>
      <c r="N37" s="76"/>
      <c r="O37" s="31"/>
      <c r="P37" s="76">
        <f t="shared" si="13"/>
        <v>375</v>
      </c>
      <c r="Q37" s="26"/>
      <c r="R37" s="82">
        <f t="shared" si="11"/>
        <v>3.4592992330574233</v>
      </c>
      <c r="S37" s="75"/>
      <c r="T37" s="83">
        <f t="shared" si="14"/>
        <v>1297.2372123965338</v>
      </c>
      <c r="U37" s="75"/>
      <c r="V37" s="75"/>
      <c r="W37" s="56"/>
      <c r="X37" s="45"/>
      <c r="Y37" s="46"/>
      <c r="Z37" s="46"/>
      <c r="AA37" s="46"/>
      <c r="AB37" s="46"/>
      <c r="AC37" s="4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18"/>
      <c r="AS37" s="48"/>
      <c r="AT37" s="18"/>
      <c r="AU37" s="19"/>
      <c r="AV37" s="18"/>
    </row>
    <row r="38" spans="1:48">
      <c r="A38" s="78" t="s">
        <v>22</v>
      </c>
      <c r="B38" s="79"/>
      <c r="C38" s="80"/>
      <c r="D38" s="79"/>
      <c r="E38" s="74"/>
      <c r="F38" s="26">
        <v>580</v>
      </c>
      <c r="G38" s="26"/>
      <c r="H38" s="84">
        <v>2.79</v>
      </c>
      <c r="I38" s="75"/>
      <c r="J38" s="76">
        <f t="shared" si="12"/>
        <v>1618.2</v>
      </c>
      <c r="K38" s="26"/>
      <c r="L38" s="29">
        <f t="shared" si="10"/>
        <v>1618.2</v>
      </c>
      <c r="M38" s="26"/>
      <c r="N38" s="76"/>
      <c r="O38" s="31"/>
      <c r="P38" s="76">
        <f t="shared" si="13"/>
        <v>580</v>
      </c>
      <c r="Q38" s="26"/>
      <c r="R38" s="82">
        <f t="shared" si="11"/>
        <v>3.0934118141763496</v>
      </c>
      <c r="S38" s="75"/>
      <c r="T38" s="83">
        <f t="shared" si="14"/>
        <v>1794.1788522222828</v>
      </c>
      <c r="U38" s="75"/>
      <c r="V38" s="75"/>
      <c r="W38" s="56"/>
      <c r="X38" s="45"/>
      <c r="Y38" s="46"/>
      <c r="Z38" s="46"/>
      <c r="AA38" s="46"/>
      <c r="AB38" s="46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18"/>
      <c r="AS38" s="48"/>
      <c r="AT38" s="18"/>
      <c r="AU38" s="19"/>
      <c r="AV38" s="18"/>
    </row>
    <row r="39" spans="1:48">
      <c r="A39" s="78" t="s">
        <v>23</v>
      </c>
      <c r="B39" s="79"/>
      <c r="C39" s="80"/>
      <c r="D39" s="79"/>
      <c r="E39" s="74"/>
      <c r="F39" s="26">
        <v>119</v>
      </c>
      <c r="G39" s="26"/>
      <c r="H39" s="84">
        <v>2.5499999999999998</v>
      </c>
      <c r="I39" s="75"/>
      <c r="J39" s="76">
        <f t="shared" si="12"/>
        <v>303.45</v>
      </c>
      <c r="K39" s="26"/>
      <c r="L39" s="29">
        <f t="shared" si="10"/>
        <v>303.45</v>
      </c>
      <c r="M39" s="26"/>
      <c r="N39" s="76"/>
      <c r="O39" s="31"/>
      <c r="P39" s="76">
        <f t="shared" si="13"/>
        <v>119</v>
      </c>
      <c r="Q39" s="26"/>
      <c r="R39" s="82">
        <f t="shared" si="11"/>
        <v>2.827311873171932</v>
      </c>
      <c r="S39" s="75"/>
      <c r="T39" s="83">
        <f t="shared" si="14"/>
        <v>336.45011290745992</v>
      </c>
      <c r="U39" s="75"/>
      <c r="V39" s="75"/>
      <c r="W39" s="56"/>
      <c r="X39" s="45"/>
      <c r="Y39" s="46"/>
      <c r="Z39" s="46"/>
      <c r="AA39" s="46"/>
      <c r="AB39" s="46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18"/>
      <c r="AS39" s="48"/>
      <c r="AT39" s="18"/>
      <c r="AU39" s="19"/>
      <c r="AV39" s="18"/>
    </row>
    <row r="40" spans="1:48" s="97" customFormat="1" ht="12.75" thickBot="1">
      <c r="A40" s="88" t="s">
        <v>31</v>
      </c>
      <c r="B40" s="89">
        <f>SUM(B33:B39)</f>
        <v>1877</v>
      </c>
      <c r="C40" s="90"/>
      <c r="D40" s="89">
        <f>SUM(D33:D39)</f>
        <v>160.00000000000011</v>
      </c>
      <c r="E40" s="90"/>
      <c r="F40" s="89">
        <f>SUM(F33:F39)</f>
        <v>1770</v>
      </c>
      <c r="G40" s="62"/>
      <c r="H40" s="64"/>
      <c r="I40" s="63"/>
      <c r="J40" s="91">
        <f>SUM(J33:J39)</f>
        <v>6944.6900000000014</v>
      </c>
      <c r="K40" s="62"/>
      <c r="L40" s="91">
        <f>SUM(L33:L39)</f>
        <v>6944.6900000000014</v>
      </c>
      <c r="M40" s="62"/>
      <c r="N40" s="89">
        <f>SUM(N33:N39)</f>
        <v>160.00000000000011</v>
      </c>
      <c r="O40" s="67"/>
      <c r="P40" s="89">
        <f>SUM(P33:P39)</f>
        <v>1770</v>
      </c>
      <c r="Q40" s="62"/>
      <c r="R40" s="32"/>
      <c r="S40" s="90"/>
      <c r="T40" s="91">
        <f>SUM(T33:T39)</f>
        <v>7699.9233303915262</v>
      </c>
      <c r="U40" s="90"/>
      <c r="V40" s="90"/>
      <c r="W40" s="87"/>
      <c r="X40" s="93"/>
      <c r="Y40" s="94"/>
      <c r="Z40" s="94"/>
      <c r="AA40" s="94"/>
      <c r="AB40" s="94"/>
      <c r="AC40" s="94"/>
      <c r="AD40" s="94" t="s">
        <v>25</v>
      </c>
      <c r="AE40" s="70"/>
      <c r="AF40" s="63"/>
      <c r="AG40" s="90"/>
      <c r="AH40" s="90"/>
      <c r="AI40" s="90"/>
      <c r="AJ40" s="63"/>
      <c r="AK40" s="95"/>
      <c r="AL40" s="63"/>
      <c r="AM40" s="95"/>
      <c r="AN40" s="63"/>
      <c r="AO40" s="95"/>
      <c r="AP40" s="63"/>
      <c r="AQ40" s="95"/>
      <c r="AR40" s="96"/>
      <c r="AS40" s="96"/>
      <c r="AT40" s="96"/>
      <c r="AU40" s="96"/>
      <c r="AV40" s="96"/>
    </row>
    <row r="41" spans="1:48" ht="12.75" thickTop="1">
      <c r="A41" s="88"/>
      <c r="B41" s="79"/>
      <c r="C41" s="80"/>
      <c r="D41" s="79"/>
      <c r="E41" s="74"/>
      <c r="F41" s="26"/>
      <c r="G41" s="26"/>
      <c r="H41" s="28"/>
      <c r="I41" s="75"/>
      <c r="J41" s="29"/>
      <c r="K41" s="26"/>
      <c r="L41" s="29"/>
      <c r="M41" s="26"/>
      <c r="N41" s="76"/>
      <c r="O41" s="31"/>
      <c r="P41" s="76"/>
      <c r="Q41" s="26"/>
      <c r="R41" s="32"/>
      <c r="S41" s="75"/>
      <c r="T41" s="33"/>
      <c r="U41" s="75"/>
      <c r="V41" s="75"/>
      <c r="W41" s="34"/>
      <c r="X41" s="45"/>
      <c r="Y41" s="46"/>
      <c r="Z41" s="46"/>
      <c r="AA41" s="46"/>
      <c r="AB41" s="46"/>
      <c r="AC41" s="46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18"/>
      <c r="AS41" s="18"/>
      <c r="AT41" s="18"/>
      <c r="AU41" s="19"/>
      <c r="AV41" s="18"/>
    </row>
    <row r="42" spans="1:48" ht="12.75" thickBot="1">
      <c r="A42" s="98" t="s">
        <v>32</v>
      </c>
      <c r="B42" s="79"/>
      <c r="C42" s="80"/>
      <c r="D42" s="79"/>
      <c r="E42" s="74"/>
      <c r="F42" s="26"/>
      <c r="G42" s="26"/>
      <c r="H42" s="28"/>
      <c r="I42" s="75"/>
      <c r="J42" s="29"/>
      <c r="K42" s="26"/>
      <c r="L42" s="99">
        <f>+L40/$D40</f>
        <v>43.404312499999975</v>
      </c>
      <c r="M42" s="26"/>
      <c r="N42" s="76"/>
      <c r="O42" s="31"/>
      <c r="P42" s="76"/>
      <c r="Q42" s="26"/>
      <c r="R42" s="32"/>
      <c r="S42" s="75"/>
      <c r="T42" s="99">
        <f>+T40/$D40</f>
        <v>48.124520814947005</v>
      </c>
      <c r="U42" s="75">
        <f>+T42-L42</f>
        <v>4.7202083149470297</v>
      </c>
      <c r="V42" s="75">
        <f>U42/L42</f>
        <v>0.10874975418507164</v>
      </c>
      <c r="W42" s="34"/>
      <c r="X42" s="45"/>
      <c r="Y42" s="46"/>
      <c r="Z42" s="46"/>
      <c r="AA42" s="46"/>
      <c r="AB42" s="46"/>
      <c r="AC42" s="46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18"/>
      <c r="AS42" s="18"/>
      <c r="AT42" s="18"/>
      <c r="AU42" s="19"/>
      <c r="AV42" s="18"/>
    </row>
    <row r="43" spans="1:48" ht="12.75" thickTop="1">
      <c r="A43" s="73" t="s">
        <v>33</v>
      </c>
      <c r="B43" s="26">
        <v>1414</v>
      </c>
      <c r="C43" s="74"/>
      <c r="D43" s="26"/>
      <c r="E43" s="74"/>
      <c r="F43" s="26"/>
      <c r="G43" s="26"/>
      <c r="H43" s="28"/>
      <c r="I43" s="75"/>
      <c r="J43" s="29"/>
      <c r="K43" s="26"/>
      <c r="L43" s="29"/>
      <c r="M43" s="26"/>
      <c r="N43" s="76"/>
      <c r="O43" s="31"/>
      <c r="P43" s="76"/>
      <c r="Q43" s="26"/>
      <c r="R43" s="32"/>
      <c r="S43" s="74"/>
      <c r="T43" s="77"/>
      <c r="U43" s="74"/>
      <c r="V43" s="74"/>
      <c r="W43" s="56"/>
      <c r="X43" s="45"/>
      <c r="Y43" s="46"/>
      <c r="Z43" s="46"/>
      <c r="AA43" s="46"/>
      <c r="AB43" s="46"/>
      <c r="AC43" s="46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48"/>
      <c r="AS43" s="48"/>
      <c r="AT43" s="48"/>
      <c r="AU43" s="48"/>
      <c r="AV43" s="48"/>
    </row>
    <row r="44" spans="1:48">
      <c r="A44" s="78" t="s">
        <v>18</v>
      </c>
      <c r="B44" s="79"/>
      <c r="C44" s="80"/>
      <c r="D44" s="79">
        <v>93.000000000000057</v>
      </c>
      <c r="E44" s="74"/>
      <c r="F44" s="26"/>
      <c r="G44" s="26"/>
      <c r="H44" s="81">
        <v>8.9600000000000009</v>
      </c>
      <c r="I44" s="75"/>
      <c r="J44" s="29">
        <f>+D44*H44</f>
        <v>833.28000000000054</v>
      </c>
      <c r="K44" s="26"/>
      <c r="L44" s="29">
        <f>+J44</f>
        <v>833.28000000000054</v>
      </c>
      <c r="M44" s="26"/>
      <c r="N44" s="76">
        <f>+D44</f>
        <v>93.000000000000057</v>
      </c>
      <c r="O44" s="31"/>
      <c r="P44" s="76"/>
      <c r="Q44" s="26"/>
      <c r="R44" s="82">
        <f>+H44*(1+$W$5)</f>
        <v>9.9343977974982423</v>
      </c>
      <c r="S44" s="75"/>
      <c r="T44" s="83">
        <f>+N44*R44</f>
        <v>923.89899516733715</v>
      </c>
      <c r="U44" s="75"/>
      <c r="V44" s="75"/>
      <c r="W44" s="34"/>
      <c r="X44" s="45"/>
      <c r="Y44" s="46"/>
      <c r="Z44" s="46"/>
      <c r="AA44" s="46"/>
      <c r="AB44" s="46"/>
      <c r="AC44" s="46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18"/>
      <c r="AS44" s="18"/>
      <c r="AT44" s="18"/>
      <c r="AU44" s="19"/>
      <c r="AV44" s="18"/>
    </row>
    <row r="45" spans="1:48">
      <c r="A45" s="78" t="s">
        <v>19</v>
      </c>
      <c r="B45" s="79"/>
      <c r="C45" s="80"/>
      <c r="D45" s="79"/>
      <c r="E45" s="74"/>
      <c r="F45" s="26">
        <v>317.00000000000006</v>
      </c>
      <c r="G45" s="26"/>
      <c r="H45" s="84">
        <v>3.61</v>
      </c>
      <c r="I45" s="75"/>
      <c r="J45" s="76">
        <f>+F45*H45</f>
        <v>1144.3700000000001</v>
      </c>
      <c r="K45" s="26"/>
      <c r="L45" s="29">
        <f t="shared" ref="L45:L49" si="15">+J45</f>
        <v>1144.3700000000001</v>
      </c>
      <c r="M45" s="26"/>
      <c r="N45" s="76"/>
      <c r="O45" s="31"/>
      <c r="P45" s="76">
        <f>+F45</f>
        <v>317.00000000000006</v>
      </c>
      <c r="Q45" s="26"/>
      <c r="R45" s="82">
        <f t="shared" ref="R45:R49" si="16">+H45*(1+$W$5)</f>
        <v>4.0025866126081082</v>
      </c>
      <c r="S45" s="75"/>
      <c r="T45" s="83">
        <f>+P45*R45</f>
        <v>1268.8199561967706</v>
      </c>
      <c r="U45" s="75"/>
      <c r="V45" s="75"/>
      <c r="W45" s="34"/>
      <c r="X45" s="45"/>
      <c r="Y45" s="46"/>
      <c r="Z45" s="46"/>
      <c r="AA45" s="46"/>
      <c r="AB45" s="46"/>
      <c r="AC45" s="46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18"/>
      <c r="AS45" s="18"/>
      <c r="AT45" s="18"/>
      <c r="AU45" s="19"/>
      <c r="AV45" s="18"/>
    </row>
    <row r="46" spans="1:48">
      <c r="A46" s="78" t="s">
        <v>20</v>
      </c>
      <c r="B46" s="79"/>
      <c r="C46" s="80"/>
      <c r="D46" s="79"/>
      <c r="E46" s="74"/>
      <c r="F46" s="26">
        <v>195.00000000000003</v>
      </c>
      <c r="G46" s="26"/>
      <c r="H46" s="84">
        <v>3.29</v>
      </c>
      <c r="I46" s="75"/>
      <c r="J46" s="76">
        <f t="shared" ref="J46:J49" si="17">+F46*H46</f>
        <v>641.55000000000007</v>
      </c>
      <c r="K46" s="26"/>
      <c r="L46" s="29">
        <f t="shared" si="15"/>
        <v>641.55000000000007</v>
      </c>
      <c r="M46" s="26"/>
      <c r="N46" s="76"/>
      <c r="O46" s="31"/>
      <c r="P46" s="76">
        <f t="shared" ref="P46:P49" si="18">+F46</f>
        <v>195.00000000000003</v>
      </c>
      <c r="Q46" s="26"/>
      <c r="R46" s="82">
        <f t="shared" si="16"/>
        <v>3.6477866912688852</v>
      </c>
      <c r="S46" s="75"/>
      <c r="T46" s="83">
        <f t="shared" ref="T46:T49" si="19">+P46*R46</f>
        <v>711.31840479743278</v>
      </c>
      <c r="U46" s="75"/>
      <c r="V46" s="75"/>
      <c r="W46" s="56"/>
      <c r="X46" s="45"/>
      <c r="Y46" s="46"/>
      <c r="Z46" s="46"/>
      <c r="AA46" s="46"/>
      <c r="AB46" s="46"/>
      <c r="AC46" s="46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18"/>
      <c r="AS46" s="18"/>
      <c r="AT46" s="18"/>
      <c r="AU46" s="19"/>
      <c r="AV46" s="18"/>
    </row>
    <row r="47" spans="1:48">
      <c r="A47" s="78" t="s">
        <v>21</v>
      </c>
      <c r="B47" s="79"/>
      <c r="C47" s="80"/>
      <c r="D47" s="79"/>
      <c r="E47" s="74"/>
      <c r="F47" s="26">
        <v>300</v>
      </c>
      <c r="G47" s="26"/>
      <c r="H47" s="84">
        <v>3.12</v>
      </c>
      <c r="I47" s="75"/>
      <c r="J47" s="76">
        <f t="shared" si="17"/>
        <v>936</v>
      </c>
      <c r="K47" s="26"/>
      <c r="L47" s="29">
        <f t="shared" si="15"/>
        <v>936</v>
      </c>
      <c r="M47" s="26"/>
      <c r="N47" s="76"/>
      <c r="O47" s="31"/>
      <c r="P47" s="76">
        <f t="shared" si="18"/>
        <v>300</v>
      </c>
      <c r="Q47" s="26"/>
      <c r="R47" s="82">
        <f t="shared" si="16"/>
        <v>3.4592992330574233</v>
      </c>
      <c r="S47" s="75"/>
      <c r="T47" s="83">
        <f t="shared" si="19"/>
        <v>1037.789769917227</v>
      </c>
      <c r="U47" s="75"/>
      <c r="V47" s="75"/>
      <c r="W47" s="56"/>
      <c r="X47" s="45"/>
      <c r="Y47" s="46"/>
      <c r="Z47" s="46"/>
      <c r="AA47" s="46"/>
      <c r="AB47" s="46"/>
      <c r="AC47" s="46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18"/>
      <c r="AS47" s="48"/>
      <c r="AT47" s="18"/>
      <c r="AU47" s="19"/>
      <c r="AV47" s="18"/>
    </row>
    <row r="48" spans="1:48">
      <c r="A48" s="78" t="s">
        <v>22</v>
      </c>
      <c r="B48" s="79"/>
      <c r="C48" s="80"/>
      <c r="D48" s="79"/>
      <c r="E48" s="74"/>
      <c r="F48" s="26">
        <v>430</v>
      </c>
      <c r="G48" s="26"/>
      <c r="H48" s="84">
        <v>2.79</v>
      </c>
      <c r="I48" s="75"/>
      <c r="J48" s="76">
        <f t="shared" si="17"/>
        <v>1199.7</v>
      </c>
      <c r="K48" s="26"/>
      <c r="L48" s="29">
        <f t="shared" si="15"/>
        <v>1199.7</v>
      </c>
      <c r="M48" s="26"/>
      <c r="N48" s="76"/>
      <c r="O48" s="31"/>
      <c r="P48" s="76">
        <f t="shared" si="18"/>
        <v>430</v>
      </c>
      <c r="Q48" s="26"/>
      <c r="R48" s="82">
        <f t="shared" si="16"/>
        <v>3.0934118141763496</v>
      </c>
      <c r="S48" s="75"/>
      <c r="T48" s="83">
        <f t="shared" si="19"/>
        <v>1330.1670800958302</v>
      </c>
      <c r="U48" s="75"/>
      <c r="V48" s="75"/>
      <c r="W48" s="56"/>
      <c r="X48" s="45"/>
      <c r="Y48" s="46"/>
      <c r="Z48" s="46"/>
      <c r="AA48" s="46"/>
      <c r="AB48" s="46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18"/>
      <c r="AS48" s="48"/>
      <c r="AT48" s="18"/>
      <c r="AU48" s="19"/>
      <c r="AV48" s="18"/>
    </row>
    <row r="49" spans="1:48">
      <c r="A49" s="78" t="s">
        <v>23</v>
      </c>
      <c r="B49" s="79"/>
      <c r="C49" s="80"/>
      <c r="D49" s="79"/>
      <c r="E49" s="74"/>
      <c r="F49" s="26">
        <v>91</v>
      </c>
      <c r="G49" s="26"/>
      <c r="H49" s="84">
        <v>2.5499999999999998</v>
      </c>
      <c r="I49" s="75"/>
      <c r="J49" s="76">
        <f t="shared" si="17"/>
        <v>232.04999999999998</v>
      </c>
      <c r="K49" s="26"/>
      <c r="L49" s="29">
        <f t="shared" si="15"/>
        <v>232.04999999999998</v>
      </c>
      <c r="M49" s="26"/>
      <c r="N49" s="76"/>
      <c r="O49" s="31"/>
      <c r="P49" s="76">
        <f t="shared" si="18"/>
        <v>91</v>
      </c>
      <c r="Q49" s="26"/>
      <c r="R49" s="82">
        <f t="shared" si="16"/>
        <v>2.827311873171932</v>
      </c>
      <c r="S49" s="75"/>
      <c r="T49" s="83">
        <f t="shared" si="19"/>
        <v>257.28538045864582</v>
      </c>
      <c r="U49" s="75"/>
      <c r="V49" s="75"/>
      <c r="W49" s="56"/>
      <c r="X49" s="45"/>
      <c r="Y49" s="46"/>
      <c r="Z49" s="46"/>
      <c r="AA49" s="46"/>
      <c r="AB49" s="46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18"/>
      <c r="AS49" s="48"/>
      <c r="AT49" s="18"/>
      <c r="AU49" s="19"/>
      <c r="AV49" s="18"/>
    </row>
    <row r="50" spans="1:48" s="97" customFormat="1" ht="12.75" thickBot="1">
      <c r="A50" s="88" t="s">
        <v>34</v>
      </c>
      <c r="B50" s="89">
        <f>SUM(B43:B49)</f>
        <v>1414</v>
      </c>
      <c r="C50" s="90"/>
      <c r="D50" s="89">
        <f>SUM(D43:D49)</f>
        <v>93.000000000000057</v>
      </c>
      <c r="E50" s="90"/>
      <c r="F50" s="89">
        <f>SUM(F43:F49)</f>
        <v>1333</v>
      </c>
      <c r="G50" s="62"/>
      <c r="H50" s="64"/>
      <c r="I50" s="63"/>
      <c r="J50" s="91">
        <f>SUM(J43:J49)</f>
        <v>4986.9500000000007</v>
      </c>
      <c r="K50" s="62"/>
      <c r="L50" s="91">
        <f>SUM(L43:L49)</f>
        <v>4986.9500000000007</v>
      </c>
      <c r="M50" s="62"/>
      <c r="N50" s="89">
        <f>SUM(N43:N49)</f>
        <v>93.000000000000057</v>
      </c>
      <c r="O50" s="67"/>
      <c r="P50" s="89">
        <f>SUM(P43:P49)</f>
        <v>1333</v>
      </c>
      <c r="Q50" s="62"/>
      <c r="R50" s="32"/>
      <c r="S50" s="90"/>
      <c r="T50" s="91">
        <f>SUM(T43:T49)</f>
        <v>5529.2795866332435</v>
      </c>
      <c r="U50" s="90"/>
      <c r="V50" s="90"/>
      <c r="W50" s="87"/>
      <c r="X50" s="93"/>
      <c r="Y50" s="94"/>
      <c r="Z50" s="94"/>
      <c r="AA50" s="94"/>
      <c r="AB50" s="94"/>
      <c r="AC50" s="94"/>
      <c r="AD50" s="94" t="s">
        <v>25</v>
      </c>
      <c r="AE50" s="70"/>
      <c r="AF50" s="63"/>
      <c r="AG50" s="90"/>
      <c r="AH50" s="90"/>
      <c r="AI50" s="90"/>
      <c r="AJ50" s="63"/>
      <c r="AK50" s="95"/>
      <c r="AL50" s="63"/>
      <c r="AM50" s="95"/>
      <c r="AN50" s="63"/>
      <c r="AO50" s="95"/>
      <c r="AP50" s="63"/>
      <c r="AQ50" s="95"/>
      <c r="AR50" s="96"/>
      <c r="AS50" s="96"/>
      <c r="AT50" s="96"/>
      <c r="AU50" s="96"/>
      <c r="AV50" s="96"/>
    </row>
    <row r="51" spans="1:48" ht="12.75" thickTop="1">
      <c r="A51" s="88"/>
      <c r="B51" s="79"/>
      <c r="C51" s="80"/>
      <c r="D51" s="79"/>
      <c r="E51" s="74"/>
      <c r="F51" s="26"/>
      <c r="G51" s="26"/>
      <c r="H51" s="28"/>
      <c r="I51" s="75"/>
      <c r="J51" s="29"/>
      <c r="K51" s="26"/>
      <c r="L51" s="29"/>
      <c r="M51" s="26"/>
      <c r="N51" s="76"/>
      <c r="O51" s="31"/>
      <c r="P51" s="76"/>
      <c r="Q51" s="26"/>
      <c r="R51" s="32"/>
      <c r="S51" s="75"/>
      <c r="T51" s="33"/>
      <c r="U51" s="75"/>
      <c r="V51" s="75"/>
      <c r="W51" s="34"/>
      <c r="X51" s="45"/>
      <c r="Y51" s="46"/>
      <c r="Z51" s="46"/>
      <c r="AA51" s="46"/>
      <c r="AB51" s="46"/>
      <c r="AC51" s="46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18"/>
      <c r="AS51" s="18"/>
      <c r="AT51" s="18"/>
      <c r="AU51" s="19"/>
      <c r="AV51" s="18"/>
    </row>
    <row r="52" spans="1:48" ht="12.75" thickBot="1">
      <c r="A52" s="98" t="s">
        <v>35</v>
      </c>
      <c r="B52" s="79"/>
      <c r="C52" s="80"/>
      <c r="D52" s="79"/>
      <c r="E52" s="74"/>
      <c r="F52" s="26"/>
      <c r="G52" s="26"/>
      <c r="H52" s="28"/>
      <c r="I52" s="75"/>
      <c r="J52" s="29"/>
      <c r="K52" s="26"/>
      <c r="L52" s="99">
        <f>+L50/$D50</f>
        <v>53.623118279569866</v>
      </c>
      <c r="M52" s="26"/>
      <c r="N52" s="76"/>
      <c r="O52" s="31"/>
      <c r="P52" s="76"/>
      <c r="Q52" s="26"/>
      <c r="R52" s="32"/>
      <c r="S52" s="75"/>
      <c r="T52" s="99">
        <f>+T50/$D50</f>
        <v>59.454619211110106</v>
      </c>
      <c r="U52" s="75">
        <f>+T52-L52</f>
        <v>5.8315009315402406</v>
      </c>
      <c r="V52" s="75">
        <f>U52/L52</f>
        <v>0.10874975418507157</v>
      </c>
      <c r="W52" s="34"/>
      <c r="X52" s="45"/>
      <c r="Y52" s="46"/>
      <c r="Z52" s="46"/>
      <c r="AA52" s="46"/>
      <c r="AB52" s="46"/>
      <c r="AC52" s="46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18"/>
      <c r="AS52" s="18"/>
      <c r="AT52" s="18"/>
      <c r="AU52" s="19"/>
      <c r="AV52" s="18"/>
    </row>
    <row r="53" spans="1:48" ht="12.75" thickTop="1">
      <c r="A53" s="73" t="s">
        <v>36</v>
      </c>
      <c r="B53" s="101">
        <v>0.14399999999999999</v>
      </c>
      <c r="C53" s="74"/>
      <c r="D53" s="26"/>
      <c r="E53" s="74"/>
      <c r="F53" s="26"/>
      <c r="G53" s="26"/>
      <c r="H53" s="28"/>
      <c r="I53" s="75"/>
      <c r="J53" s="29"/>
      <c r="K53" s="26"/>
      <c r="L53" s="29"/>
      <c r="M53" s="26"/>
      <c r="N53" s="76"/>
      <c r="O53" s="31"/>
      <c r="P53" s="76"/>
      <c r="Q53" s="26"/>
      <c r="R53" s="32"/>
      <c r="S53" s="74"/>
      <c r="T53" s="77"/>
      <c r="U53" s="74"/>
      <c r="V53" s="74"/>
      <c r="W53" s="56"/>
      <c r="X53" s="45"/>
      <c r="Y53" s="46"/>
      <c r="Z53" s="46"/>
      <c r="AA53" s="46"/>
      <c r="AB53" s="46"/>
      <c r="AC53" s="46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8"/>
      <c r="AS53" s="48"/>
      <c r="AT53" s="48"/>
      <c r="AU53" s="48"/>
      <c r="AV53" s="48"/>
    </row>
    <row r="54" spans="1:48">
      <c r="A54" s="78" t="s">
        <v>18</v>
      </c>
      <c r="B54" s="79"/>
      <c r="C54" s="80"/>
      <c r="D54" s="79">
        <v>12</v>
      </c>
      <c r="E54" s="74"/>
      <c r="F54" s="26"/>
      <c r="G54" s="26"/>
      <c r="H54" s="81">
        <v>8.9600000000000009</v>
      </c>
      <c r="I54" s="75"/>
      <c r="J54" s="29">
        <f>+D54*H54</f>
        <v>107.52000000000001</v>
      </c>
      <c r="K54" s="26"/>
      <c r="L54" s="29">
        <f>+J54</f>
        <v>107.52000000000001</v>
      </c>
      <c r="M54" s="26"/>
      <c r="N54" s="76">
        <f>+D54</f>
        <v>12</v>
      </c>
      <c r="O54" s="31"/>
      <c r="P54" s="76"/>
      <c r="Q54" s="26"/>
      <c r="R54" s="82">
        <f>+H54*(1+$W$5)</f>
        <v>9.9343977974982423</v>
      </c>
      <c r="S54" s="75"/>
      <c r="T54" s="83">
        <f>+N54*R54</f>
        <v>119.21277356997891</v>
      </c>
      <c r="U54" s="75"/>
      <c r="V54" s="75"/>
      <c r="W54" s="34"/>
      <c r="X54" s="45"/>
      <c r="Y54" s="46"/>
      <c r="Z54" s="46"/>
      <c r="AA54" s="46"/>
      <c r="AB54" s="46"/>
      <c r="AC54" s="46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18"/>
      <c r="AS54" s="18"/>
      <c r="AT54" s="18"/>
      <c r="AU54" s="19"/>
      <c r="AV54" s="18"/>
    </row>
    <row r="55" spans="1:48">
      <c r="A55" s="78" t="s">
        <v>19</v>
      </c>
      <c r="B55" s="79"/>
      <c r="C55" s="80"/>
      <c r="D55" s="79"/>
      <c r="E55" s="74"/>
      <c r="F55" s="26">
        <v>0</v>
      </c>
      <c r="G55" s="26"/>
      <c r="H55" s="84">
        <v>3.61</v>
      </c>
      <c r="I55" s="75"/>
      <c r="J55" s="76">
        <f>+F55*H55</f>
        <v>0</v>
      </c>
      <c r="K55" s="26"/>
      <c r="L55" s="29">
        <f t="shared" ref="L55:L59" si="20">+J55</f>
        <v>0</v>
      </c>
      <c r="M55" s="26"/>
      <c r="N55" s="76"/>
      <c r="O55" s="31"/>
      <c r="P55" s="76">
        <f>+F55</f>
        <v>0</v>
      </c>
      <c r="Q55" s="26"/>
      <c r="R55" s="82">
        <f t="shared" ref="R55:R59" si="21">+H55*(1+$W$5)</f>
        <v>4.0025866126081082</v>
      </c>
      <c r="S55" s="75"/>
      <c r="T55" s="83">
        <f>+P55*R55</f>
        <v>0</v>
      </c>
      <c r="U55" s="75"/>
      <c r="V55" s="75"/>
      <c r="W55" s="34"/>
      <c r="X55" s="45"/>
      <c r="Y55" s="46"/>
      <c r="Z55" s="46"/>
      <c r="AA55" s="46"/>
      <c r="AB55" s="46"/>
      <c r="AC55" s="46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18"/>
      <c r="AS55" s="18"/>
      <c r="AT55" s="18"/>
      <c r="AU55" s="19"/>
      <c r="AV55" s="18"/>
    </row>
    <row r="56" spans="1:48">
      <c r="A56" s="78" t="s">
        <v>20</v>
      </c>
      <c r="B56" s="79"/>
      <c r="C56" s="80"/>
      <c r="D56" s="79"/>
      <c r="E56" s="74"/>
      <c r="F56" s="26">
        <v>0</v>
      </c>
      <c r="G56" s="26"/>
      <c r="H56" s="84">
        <v>3.29</v>
      </c>
      <c r="I56" s="75"/>
      <c r="J56" s="76">
        <f t="shared" ref="J56:J59" si="22">+F56*H56</f>
        <v>0</v>
      </c>
      <c r="K56" s="26"/>
      <c r="L56" s="29">
        <f t="shared" si="20"/>
        <v>0</v>
      </c>
      <c r="M56" s="26"/>
      <c r="N56" s="76"/>
      <c r="O56" s="31"/>
      <c r="P56" s="76">
        <f t="shared" ref="P56:P59" si="23">+F56</f>
        <v>0</v>
      </c>
      <c r="Q56" s="26"/>
      <c r="R56" s="82">
        <f t="shared" si="21"/>
        <v>3.6477866912688852</v>
      </c>
      <c r="S56" s="75"/>
      <c r="T56" s="83">
        <f t="shared" ref="T56:T59" si="24">+P56*R56</f>
        <v>0</v>
      </c>
      <c r="U56" s="75"/>
      <c r="V56" s="75"/>
      <c r="W56" s="56"/>
      <c r="X56" s="45"/>
      <c r="Y56" s="46"/>
      <c r="Z56" s="46"/>
      <c r="AA56" s="46"/>
      <c r="AB56" s="46"/>
      <c r="AC56" s="46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18"/>
      <c r="AS56" s="18"/>
      <c r="AT56" s="18"/>
      <c r="AU56" s="19"/>
      <c r="AV56" s="18"/>
    </row>
    <row r="57" spans="1:48">
      <c r="A57" s="78" t="s">
        <v>21</v>
      </c>
      <c r="B57" s="79"/>
      <c r="C57" s="80"/>
      <c r="D57" s="79"/>
      <c r="E57" s="74"/>
      <c r="F57" s="26">
        <v>0</v>
      </c>
      <c r="G57" s="26"/>
      <c r="H57" s="84">
        <v>3.12</v>
      </c>
      <c r="I57" s="75"/>
      <c r="J57" s="76">
        <f t="shared" si="22"/>
        <v>0</v>
      </c>
      <c r="K57" s="26"/>
      <c r="L57" s="29">
        <f t="shared" si="20"/>
        <v>0</v>
      </c>
      <c r="M57" s="26"/>
      <c r="N57" s="76"/>
      <c r="O57" s="31"/>
      <c r="P57" s="76">
        <f t="shared" si="23"/>
        <v>0</v>
      </c>
      <c r="Q57" s="26"/>
      <c r="R57" s="82">
        <f t="shared" si="21"/>
        <v>3.4592992330574233</v>
      </c>
      <c r="S57" s="75"/>
      <c r="T57" s="83">
        <f t="shared" si="24"/>
        <v>0</v>
      </c>
      <c r="U57" s="75"/>
      <c r="V57" s="75"/>
      <c r="W57" s="56"/>
      <c r="X57" s="45"/>
      <c r="Y57" s="46"/>
      <c r="Z57" s="46"/>
      <c r="AA57" s="46"/>
      <c r="AB57" s="46"/>
      <c r="AC57" s="46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18"/>
      <c r="AS57" s="48"/>
      <c r="AT57" s="18"/>
      <c r="AU57" s="19"/>
      <c r="AV57" s="18"/>
    </row>
    <row r="58" spans="1:48">
      <c r="A58" s="78" t="s">
        <v>22</v>
      </c>
      <c r="B58" s="79"/>
      <c r="C58" s="80"/>
      <c r="D58" s="79"/>
      <c r="E58" s="74"/>
      <c r="F58" s="26">
        <v>0</v>
      </c>
      <c r="G58" s="26"/>
      <c r="H58" s="84">
        <v>2.79</v>
      </c>
      <c r="I58" s="75"/>
      <c r="J58" s="76">
        <f t="shared" si="22"/>
        <v>0</v>
      </c>
      <c r="K58" s="26"/>
      <c r="L58" s="29">
        <f t="shared" si="20"/>
        <v>0</v>
      </c>
      <c r="M58" s="26"/>
      <c r="N58" s="76"/>
      <c r="O58" s="31"/>
      <c r="P58" s="76">
        <f t="shared" si="23"/>
        <v>0</v>
      </c>
      <c r="Q58" s="26"/>
      <c r="R58" s="82">
        <f t="shared" si="21"/>
        <v>3.0934118141763496</v>
      </c>
      <c r="S58" s="75"/>
      <c r="T58" s="83">
        <f t="shared" si="24"/>
        <v>0</v>
      </c>
      <c r="U58" s="75"/>
      <c r="V58" s="75"/>
      <c r="W58" s="56"/>
      <c r="X58" s="45"/>
      <c r="Y58" s="46"/>
      <c r="Z58" s="46"/>
      <c r="AA58" s="46"/>
      <c r="AB58" s="46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18"/>
      <c r="AS58" s="48"/>
      <c r="AT58" s="18"/>
      <c r="AU58" s="19"/>
      <c r="AV58" s="18"/>
    </row>
    <row r="59" spans="1:48">
      <c r="A59" s="78" t="s">
        <v>23</v>
      </c>
      <c r="B59" s="79"/>
      <c r="C59" s="80"/>
      <c r="D59" s="79"/>
      <c r="E59" s="74"/>
      <c r="F59" s="26">
        <v>0</v>
      </c>
      <c r="G59" s="26"/>
      <c r="H59" s="84">
        <v>2.5499999999999998</v>
      </c>
      <c r="I59" s="75"/>
      <c r="J59" s="76">
        <f t="shared" si="22"/>
        <v>0</v>
      </c>
      <c r="K59" s="26"/>
      <c r="L59" s="29">
        <f t="shared" si="20"/>
        <v>0</v>
      </c>
      <c r="M59" s="26"/>
      <c r="N59" s="76"/>
      <c r="O59" s="31"/>
      <c r="P59" s="76">
        <f t="shared" si="23"/>
        <v>0</v>
      </c>
      <c r="Q59" s="26"/>
      <c r="R59" s="82">
        <f t="shared" si="21"/>
        <v>2.827311873171932</v>
      </c>
      <c r="S59" s="75"/>
      <c r="T59" s="83">
        <f t="shared" si="24"/>
        <v>0</v>
      </c>
      <c r="U59" s="75"/>
      <c r="V59" s="75"/>
      <c r="W59" s="56"/>
      <c r="X59" s="45"/>
      <c r="Y59" s="46"/>
      <c r="Z59" s="46"/>
      <c r="AA59" s="46"/>
      <c r="AB59" s="46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18"/>
      <c r="AS59" s="48"/>
      <c r="AT59" s="18"/>
      <c r="AU59" s="19"/>
      <c r="AV59" s="18"/>
    </row>
    <row r="60" spans="1:48" s="97" customFormat="1" ht="12.75" thickBot="1">
      <c r="A60" s="88" t="s">
        <v>37</v>
      </c>
      <c r="B60" s="89">
        <f>SUM(B53:B59)</f>
        <v>0.14399999999999999</v>
      </c>
      <c r="C60" s="90"/>
      <c r="D60" s="89">
        <f>SUM(D53:D59)</f>
        <v>12</v>
      </c>
      <c r="E60" s="90"/>
      <c r="F60" s="89">
        <f>SUM(F53:F59)</f>
        <v>0</v>
      </c>
      <c r="G60" s="62"/>
      <c r="H60" s="64"/>
      <c r="I60" s="63"/>
      <c r="J60" s="91">
        <f>SUM(J53:J59)</f>
        <v>107.52000000000001</v>
      </c>
      <c r="K60" s="62"/>
      <c r="L60" s="91">
        <f>SUM(L53:L59)</f>
        <v>107.52000000000001</v>
      </c>
      <c r="M60" s="62"/>
      <c r="N60" s="89">
        <f>SUM(N53:N59)</f>
        <v>12</v>
      </c>
      <c r="O60" s="67"/>
      <c r="P60" s="89">
        <f>SUM(P53:P59)</f>
        <v>0</v>
      </c>
      <c r="Q60" s="62"/>
      <c r="R60" s="32"/>
      <c r="S60" s="90"/>
      <c r="T60" s="91">
        <f>SUM(T53:T59)</f>
        <v>119.21277356997891</v>
      </c>
      <c r="U60" s="90"/>
      <c r="V60" s="90"/>
      <c r="W60" s="87"/>
      <c r="X60" s="93"/>
      <c r="Y60" s="94"/>
      <c r="Z60" s="94"/>
      <c r="AA60" s="94"/>
      <c r="AB60" s="94"/>
      <c r="AC60" s="94"/>
      <c r="AD60" s="94" t="s">
        <v>25</v>
      </c>
      <c r="AE60" s="70"/>
      <c r="AF60" s="63"/>
      <c r="AG60" s="90"/>
      <c r="AH60" s="90"/>
      <c r="AI60" s="90"/>
      <c r="AJ60" s="63"/>
      <c r="AK60" s="95"/>
      <c r="AL60" s="63"/>
      <c r="AM60" s="95"/>
      <c r="AN60" s="63"/>
      <c r="AO60" s="95"/>
      <c r="AP60" s="63"/>
      <c r="AQ60" s="95"/>
      <c r="AR60" s="96"/>
      <c r="AS60" s="96"/>
      <c r="AT60" s="96"/>
      <c r="AU60" s="96"/>
      <c r="AV60" s="96"/>
    </row>
    <row r="61" spans="1:48" ht="12.75" thickTop="1">
      <c r="A61" s="88"/>
      <c r="B61" s="79"/>
      <c r="C61" s="80"/>
      <c r="D61" s="79"/>
      <c r="E61" s="74"/>
      <c r="F61" s="26"/>
      <c r="G61" s="26"/>
      <c r="H61" s="28"/>
      <c r="I61" s="75"/>
      <c r="J61" s="29"/>
      <c r="K61" s="26"/>
      <c r="L61" s="29"/>
      <c r="M61" s="26"/>
      <c r="N61" s="76"/>
      <c r="O61" s="31"/>
      <c r="P61" s="76"/>
      <c r="Q61" s="26"/>
      <c r="R61" s="32"/>
      <c r="S61" s="75"/>
      <c r="T61" s="33"/>
      <c r="U61" s="75"/>
      <c r="V61" s="75"/>
      <c r="W61" s="34"/>
      <c r="X61" s="45"/>
      <c r="Y61" s="46"/>
      <c r="Z61" s="46"/>
      <c r="AA61" s="46"/>
      <c r="AB61" s="46"/>
      <c r="AC61" s="46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18"/>
      <c r="AS61" s="18"/>
      <c r="AT61" s="18"/>
      <c r="AU61" s="19"/>
      <c r="AV61" s="18"/>
    </row>
    <row r="62" spans="1:48" ht="12.75" thickBot="1">
      <c r="A62" s="98" t="s">
        <v>38</v>
      </c>
      <c r="B62" s="79"/>
      <c r="C62" s="80"/>
      <c r="D62" s="79"/>
      <c r="E62" s="74"/>
      <c r="F62" s="26"/>
      <c r="G62" s="26"/>
      <c r="H62" s="28"/>
      <c r="I62" s="75"/>
      <c r="J62" s="29"/>
      <c r="K62" s="26"/>
      <c r="L62" s="99">
        <f>+L60/$D60</f>
        <v>8.9600000000000009</v>
      </c>
      <c r="M62" s="26"/>
      <c r="N62" s="76"/>
      <c r="O62" s="31"/>
      <c r="P62" s="76"/>
      <c r="Q62" s="26"/>
      <c r="R62" s="32"/>
      <c r="S62" s="75"/>
      <c r="T62" s="99">
        <f>+T60/$D60</f>
        <v>9.9343977974982423</v>
      </c>
      <c r="U62" s="75">
        <f>+T62-L62</f>
        <v>0.9743977974982414</v>
      </c>
      <c r="V62" s="75">
        <f>U62/L62</f>
        <v>0.10874975418507157</v>
      </c>
      <c r="W62" s="34"/>
      <c r="X62" s="45"/>
      <c r="Y62" s="46"/>
      <c r="Z62" s="46"/>
      <c r="AA62" s="46"/>
      <c r="AB62" s="46"/>
      <c r="AC62" s="46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18"/>
      <c r="AS62" s="18"/>
      <c r="AT62" s="18"/>
      <c r="AU62" s="19"/>
      <c r="AV62" s="18"/>
    </row>
    <row r="63" spans="1:48" ht="12.75" thickTop="1">
      <c r="A63" s="73" t="s">
        <v>39</v>
      </c>
      <c r="B63" s="26">
        <v>12954</v>
      </c>
      <c r="C63" s="74"/>
      <c r="D63" s="26"/>
      <c r="E63" s="74"/>
      <c r="F63" s="26"/>
      <c r="G63" s="26"/>
      <c r="H63" s="28"/>
      <c r="I63" s="75"/>
      <c r="J63" s="29"/>
      <c r="K63" s="26"/>
      <c r="L63" s="29"/>
      <c r="M63" s="26"/>
      <c r="N63" s="76"/>
      <c r="O63" s="31"/>
      <c r="P63" s="76"/>
      <c r="Q63" s="26"/>
      <c r="R63" s="32"/>
      <c r="S63" s="74"/>
      <c r="T63" s="77"/>
      <c r="U63" s="74"/>
      <c r="V63" s="74"/>
      <c r="W63" s="56"/>
      <c r="X63" s="45"/>
      <c r="Y63" s="46"/>
      <c r="Z63" s="46"/>
      <c r="AA63" s="46"/>
      <c r="AB63" s="46"/>
      <c r="AC63" s="46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8"/>
      <c r="AS63" s="48"/>
      <c r="AT63" s="48"/>
      <c r="AU63" s="48"/>
      <c r="AV63" s="48"/>
    </row>
    <row r="64" spans="1:48">
      <c r="A64" s="78" t="s">
        <v>40</v>
      </c>
      <c r="B64" s="79"/>
      <c r="C64" s="80"/>
      <c r="D64" s="79">
        <v>814.00000000000034</v>
      </c>
      <c r="E64" s="74"/>
      <c r="F64" s="26"/>
      <c r="G64" s="26"/>
      <c r="H64" s="81">
        <v>26.97</v>
      </c>
      <c r="I64" s="75"/>
      <c r="J64" s="29">
        <f>+D64*H64</f>
        <v>21953.580000000009</v>
      </c>
      <c r="K64" s="26"/>
      <c r="L64" s="29">
        <f>+J64</f>
        <v>21953.580000000009</v>
      </c>
      <c r="M64" s="26"/>
      <c r="N64" s="76">
        <f>+D64</f>
        <v>814.00000000000034</v>
      </c>
      <c r="O64" s="31"/>
      <c r="P64" s="76"/>
      <c r="Q64" s="26"/>
      <c r="R64" s="82">
        <f>+H64*(1+$W$5)</f>
        <v>29.902980870371376</v>
      </c>
      <c r="S64" s="75"/>
      <c r="T64" s="83">
        <f>+N64*R64</f>
        <v>24341.02642848231</v>
      </c>
      <c r="U64" s="75"/>
      <c r="V64" s="75"/>
      <c r="W64" s="34"/>
      <c r="X64" s="45"/>
      <c r="Y64" s="46"/>
      <c r="Z64" s="46"/>
      <c r="AA64" s="46"/>
      <c r="AB64" s="46"/>
      <c r="AC64" s="46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18"/>
      <c r="AS64" s="18"/>
      <c r="AT64" s="18"/>
      <c r="AU64" s="19"/>
      <c r="AV64" s="18"/>
    </row>
    <row r="65" spans="1:48">
      <c r="A65" s="78" t="s">
        <v>41</v>
      </c>
      <c r="B65" s="79"/>
      <c r="C65" s="80"/>
      <c r="D65" s="79"/>
      <c r="E65" s="74"/>
      <c r="F65" s="26">
        <v>1735.9999999999984</v>
      </c>
      <c r="G65" s="26"/>
      <c r="H65" s="84">
        <v>3.61</v>
      </c>
      <c r="I65" s="75"/>
      <c r="J65" s="76">
        <f>+F65*H65</f>
        <v>6266.9599999999937</v>
      </c>
      <c r="K65" s="26"/>
      <c r="L65" s="29">
        <f t="shared" ref="L65:L69" si="25">+J65</f>
        <v>6266.9599999999937</v>
      </c>
      <c r="M65" s="26"/>
      <c r="N65" s="76"/>
      <c r="O65" s="31"/>
      <c r="P65" s="76">
        <f>+F65</f>
        <v>1735.9999999999984</v>
      </c>
      <c r="Q65" s="26"/>
      <c r="R65" s="82">
        <f t="shared" ref="R65:R69" si="26">+H65*(1+$W$5)</f>
        <v>4.0025866126081082</v>
      </c>
      <c r="S65" s="75"/>
      <c r="T65" s="83">
        <f>+P65*R65</f>
        <v>6948.4903594876696</v>
      </c>
      <c r="U65" s="75"/>
      <c r="V65" s="75"/>
      <c r="W65" s="34"/>
      <c r="X65" s="45"/>
      <c r="Y65" s="46"/>
      <c r="Z65" s="46"/>
      <c r="AA65" s="46"/>
      <c r="AB65" s="46"/>
      <c r="AC65" s="46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18"/>
      <c r="AS65" s="18"/>
      <c r="AT65" s="18"/>
      <c r="AU65" s="19"/>
      <c r="AV65" s="18"/>
    </row>
    <row r="66" spans="1:48">
      <c r="A66" s="78" t="s">
        <v>20</v>
      </c>
      <c r="B66" s="79"/>
      <c r="C66" s="80"/>
      <c r="D66" s="79"/>
      <c r="E66" s="74"/>
      <c r="F66" s="26">
        <v>3900.0000000000014</v>
      </c>
      <c r="G66" s="26"/>
      <c r="H66" s="84">
        <v>3.29</v>
      </c>
      <c r="I66" s="75"/>
      <c r="J66" s="76">
        <f t="shared" ref="J66:J69" si="27">+F66*H66</f>
        <v>12831.000000000005</v>
      </c>
      <c r="K66" s="26"/>
      <c r="L66" s="29">
        <f t="shared" si="25"/>
        <v>12831.000000000005</v>
      </c>
      <c r="M66" s="26"/>
      <c r="N66" s="76"/>
      <c r="O66" s="31"/>
      <c r="P66" s="76">
        <f t="shared" ref="P66:P69" si="28">+F66</f>
        <v>3900.0000000000014</v>
      </c>
      <c r="Q66" s="26"/>
      <c r="R66" s="82">
        <f t="shared" si="26"/>
        <v>3.6477866912688852</v>
      </c>
      <c r="S66" s="75"/>
      <c r="T66" s="83">
        <f t="shared" ref="T66:T69" si="29">+P66*R66</f>
        <v>14226.368095948657</v>
      </c>
      <c r="U66" s="75"/>
      <c r="V66" s="75"/>
      <c r="W66" s="56"/>
      <c r="X66" s="45"/>
      <c r="Y66" s="46"/>
      <c r="Z66" s="46"/>
      <c r="AA66" s="46"/>
      <c r="AB66" s="46"/>
      <c r="AC66" s="46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18"/>
      <c r="AS66" s="18"/>
      <c r="AT66" s="18"/>
      <c r="AU66" s="19"/>
      <c r="AV66" s="18"/>
    </row>
    <row r="67" spans="1:48">
      <c r="A67" s="78" t="s">
        <v>21</v>
      </c>
      <c r="B67" s="79"/>
      <c r="C67" s="80"/>
      <c r="D67" s="79"/>
      <c r="E67" s="74"/>
      <c r="F67" s="26">
        <v>2481.2692307692309</v>
      </c>
      <c r="G67" s="26"/>
      <c r="H67" s="84">
        <v>3.12</v>
      </c>
      <c r="I67" s="75"/>
      <c r="J67" s="76">
        <f t="shared" si="27"/>
        <v>7741.56</v>
      </c>
      <c r="K67" s="26"/>
      <c r="L67" s="29">
        <f t="shared" si="25"/>
        <v>7741.56</v>
      </c>
      <c r="M67" s="26"/>
      <c r="N67" s="76"/>
      <c r="O67" s="31"/>
      <c r="P67" s="76">
        <f t="shared" si="28"/>
        <v>2481.2692307692309</v>
      </c>
      <c r="Q67" s="26"/>
      <c r="R67" s="82">
        <f t="shared" si="26"/>
        <v>3.4592992330574233</v>
      </c>
      <c r="S67" s="75"/>
      <c r="T67" s="83">
        <f t="shared" si="29"/>
        <v>8583.4527470089834</v>
      </c>
      <c r="U67" s="75"/>
      <c r="V67" s="75"/>
      <c r="W67" s="56"/>
      <c r="X67" s="45"/>
      <c r="Y67" s="46"/>
      <c r="Z67" s="46"/>
      <c r="AA67" s="46"/>
      <c r="AB67" s="46"/>
      <c r="AC67" s="46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18"/>
      <c r="AS67" s="48"/>
      <c r="AT67" s="18"/>
      <c r="AU67" s="19"/>
      <c r="AV67" s="18"/>
    </row>
    <row r="68" spans="1:48">
      <c r="A68" s="78" t="s">
        <v>22</v>
      </c>
      <c r="B68" s="79"/>
      <c r="C68" s="80"/>
      <c r="D68" s="79"/>
      <c r="E68" s="74"/>
      <c r="F68" s="26">
        <v>915</v>
      </c>
      <c r="G68" s="26"/>
      <c r="H68" s="84">
        <v>2.79</v>
      </c>
      <c r="I68" s="75"/>
      <c r="J68" s="76">
        <f t="shared" si="27"/>
        <v>2552.85</v>
      </c>
      <c r="K68" s="26"/>
      <c r="L68" s="29">
        <f t="shared" si="25"/>
        <v>2552.85</v>
      </c>
      <c r="M68" s="26"/>
      <c r="N68" s="76"/>
      <c r="O68" s="31"/>
      <c r="P68" s="76">
        <f t="shared" si="28"/>
        <v>915</v>
      </c>
      <c r="Q68" s="26"/>
      <c r="R68" s="82">
        <f t="shared" si="26"/>
        <v>3.0934118141763496</v>
      </c>
      <c r="S68" s="75"/>
      <c r="T68" s="83">
        <f t="shared" si="29"/>
        <v>2830.47180997136</v>
      </c>
      <c r="U68" s="75"/>
      <c r="V68" s="75"/>
      <c r="W68" s="56"/>
      <c r="X68" s="45"/>
      <c r="Y68" s="46"/>
      <c r="Z68" s="46"/>
      <c r="AA68" s="46"/>
      <c r="AB68" s="46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18"/>
      <c r="AS68" s="48"/>
      <c r="AT68" s="18"/>
      <c r="AU68" s="19"/>
      <c r="AV68" s="18"/>
    </row>
    <row r="69" spans="1:48">
      <c r="A69" s="78" t="s">
        <v>23</v>
      </c>
      <c r="B69" s="79"/>
      <c r="C69" s="80"/>
      <c r="D69" s="79"/>
      <c r="E69" s="74"/>
      <c r="F69" s="26">
        <v>23</v>
      </c>
      <c r="G69" s="26"/>
      <c r="H69" s="84">
        <v>2.5499999999999998</v>
      </c>
      <c r="I69" s="75"/>
      <c r="J69" s="76">
        <f t="shared" si="27"/>
        <v>58.65</v>
      </c>
      <c r="K69" s="26"/>
      <c r="L69" s="29">
        <f t="shared" si="25"/>
        <v>58.65</v>
      </c>
      <c r="M69" s="26"/>
      <c r="N69" s="76"/>
      <c r="O69" s="31"/>
      <c r="P69" s="76">
        <f t="shared" si="28"/>
        <v>23</v>
      </c>
      <c r="Q69" s="26"/>
      <c r="R69" s="82">
        <f t="shared" si="26"/>
        <v>2.827311873171932</v>
      </c>
      <c r="S69" s="75"/>
      <c r="T69" s="83">
        <f t="shared" si="29"/>
        <v>65.028173082954439</v>
      </c>
      <c r="U69" s="75"/>
      <c r="V69" s="75"/>
      <c r="W69" s="56"/>
      <c r="X69" s="45"/>
      <c r="Y69" s="46"/>
      <c r="Z69" s="46"/>
      <c r="AA69" s="46"/>
      <c r="AB69" s="46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18"/>
      <c r="AS69" s="48"/>
      <c r="AT69" s="18"/>
      <c r="AU69" s="19"/>
      <c r="AV69" s="18"/>
    </row>
    <row r="70" spans="1:48" s="97" customFormat="1" ht="12.75" thickBot="1">
      <c r="A70" s="88" t="s">
        <v>42</v>
      </c>
      <c r="B70" s="89">
        <f>SUM(B63:B69)</f>
        <v>12954</v>
      </c>
      <c r="C70" s="90"/>
      <c r="D70" s="89">
        <f>SUM(D63:D69)</f>
        <v>814.00000000000034</v>
      </c>
      <c r="E70" s="90"/>
      <c r="F70" s="89">
        <f>SUM(F63:F69)</f>
        <v>9055.2692307692305</v>
      </c>
      <c r="G70" s="62"/>
      <c r="H70" s="64"/>
      <c r="I70" s="63"/>
      <c r="J70" s="91">
        <f>SUM(J63:J69)</f>
        <v>51404.600000000006</v>
      </c>
      <c r="K70" s="62"/>
      <c r="L70" s="91">
        <f>SUM(L63:L69)</f>
        <v>51404.600000000006</v>
      </c>
      <c r="M70" s="62"/>
      <c r="N70" s="89">
        <f>SUM(N63:N69)</f>
        <v>814.00000000000034</v>
      </c>
      <c r="O70" s="67"/>
      <c r="P70" s="89">
        <f>SUM(P63:P69)</f>
        <v>9055.2692307692305</v>
      </c>
      <c r="Q70" s="62"/>
      <c r="R70" s="32"/>
      <c r="S70" s="90"/>
      <c r="T70" s="91">
        <f>SUM(T63:T69)</f>
        <v>56994.83761398193</v>
      </c>
      <c r="U70" s="90"/>
      <c r="V70" s="90"/>
      <c r="W70" s="87"/>
      <c r="X70" s="93"/>
      <c r="Y70" s="94"/>
      <c r="Z70" s="94"/>
      <c r="AA70" s="94"/>
      <c r="AB70" s="94"/>
      <c r="AC70" s="94"/>
      <c r="AD70" s="94" t="s">
        <v>25</v>
      </c>
      <c r="AE70" s="70"/>
      <c r="AF70" s="63"/>
      <c r="AG70" s="90"/>
      <c r="AH70" s="90"/>
      <c r="AI70" s="90"/>
      <c r="AJ70" s="63"/>
      <c r="AK70" s="95"/>
      <c r="AL70" s="63"/>
      <c r="AM70" s="95"/>
      <c r="AN70" s="63"/>
      <c r="AO70" s="95"/>
      <c r="AP70" s="63"/>
      <c r="AQ70" s="95"/>
      <c r="AR70" s="96"/>
      <c r="AS70" s="96"/>
      <c r="AT70" s="96"/>
      <c r="AU70" s="96"/>
      <c r="AV70" s="96"/>
    </row>
    <row r="71" spans="1:48" ht="12.75" thickTop="1">
      <c r="A71" s="88"/>
      <c r="B71" s="79"/>
      <c r="C71" s="80"/>
      <c r="D71" s="79"/>
      <c r="E71" s="74"/>
      <c r="F71" s="26"/>
      <c r="G71" s="26"/>
      <c r="H71" s="28"/>
      <c r="I71" s="75"/>
      <c r="J71" s="29"/>
      <c r="K71" s="26"/>
      <c r="L71" s="29"/>
      <c r="M71" s="26"/>
      <c r="N71" s="76"/>
      <c r="O71" s="31"/>
      <c r="P71" s="76"/>
      <c r="Q71" s="26"/>
      <c r="R71" s="32"/>
      <c r="S71" s="75"/>
      <c r="T71" s="33"/>
      <c r="U71" s="75"/>
      <c r="V71" s="75"/>
      <c r="W71" s="34"/>
      <c r="X71" s="45"/>
      <c r="Y71" s="46"/>
      <c r="Z71" s="46"/>
      <c r="AA71" s="46"/>
      <c r="AB71" s="46"/>
      <c r="AC71" s="46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18"/>
      <c r="AS71" s="18"/>
      <c r="AT71" s="18"/>
      <c r="AU71" s="19"/>
      <c r="AV71" s="18"/>
    </row>
    <row r="72" spans="1:48" ht="12.75" thickBot="1">
      <c r="A72" s="98" t="s">
        <v>43</v>
      </c>
      <c r="B72" s="79"/>
      <c r="C72" s="80"/>
      <c r="D72" s="79"/>
      <c r="E72" s="74"/>
      <c r="F72" s="26"/>
      <c r="G72" s="26"/>
      <c r="H72" s="28"/>
      <c r="I72" s="75"/>
      <c r="J72" s="29"/>
      <c r="K72" s="26"/>
      <c r="L72" s="99">
        <f>+L70/$D70</f>
        <v>63.150614250614233</v>
      </c>
      <c r="M72" s="26"/>
      <c r="N72" s="76"/>
      <c r="O72" s="31"/>
      <c r="P72" s="76"/>
      <c r="Q72" s="26"/>
      <c r="R72" s="32"/>
      <c r="S72" s="75"/>
      <c r="T72" s="99">
        <f>+T70/$D70</f>
        <v>70.018228027004795</v>
      </c>
      <c r="U72" s="75">
        <f>+T72-L72</f>
        <v>6.8676137763905629</v>
      </c>
      <c r="V72" s="75">
        <f>U72/L72</f>
        <v>0.10874975418507137</v>
      </c>
      <c r="W72" s="34"/>
      <c r="X72" s="45"/>
      <c r="Y72" s="46"/>
      <c r="Z72" s="46"/>
      <c r="AA72" s="46"/>
      <c r="AB72" s="46"/>
      <c r="AC72" s="46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18"/>
      <c r="AS72" s="18"/>
      <c r="AT72" s="18"/>
      <c r="AU72" s="19"/>
      <c r="AV72" s="18"/>
    </row>
    <row r="73" spans="1:48" ht="12.75" thickTop="1">
      <c r="A73" s="73" t="s">
        <v>44</v>
      </c>
      <c r="B73" s="26">
        <v>3118</v>
      </c>
      <c r="C73" s="74"/>
      <c r="D73" s="26"/>
      <c r="E73" s="74"/>
      <c r="F73" s="26"/>
      <c r="G73" s="26"/>
      <c r="H73" s="28"/>
      <c r="I73" s="75"/>
      <c r="J73" s="29"/>
      <c r="K73" s="26"/>
      <c r="L73" s="29"/>
      <c r="M73" s="26"/>
      <c r="N73" s="76"/>
      <c r="O73" s="31"/>
      <c r="P73" s="76"/>
      <c r="Q73" s="26"/>
      <c r="R73" s="32"/>
      <c r="S73" s="74"/>
      <c r="T73" s="77"/>
      <c r="U73" s="74"/>
      <c r="V73" s="74"/>
      <c r="W73" s="56"/>
      <c r="X73" s="45"/>
      <c r="Y73" s="46"/>
      <c r="Z73" s="46"/>
      <c r="AA73" s="46"/>
      <c r="AB73" s="46"/>
      <c r="AC73" s="46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8"/>
      <c r="AS73" s="48"/>
      <c r="AT73" s="48"/>
      <c r="AU73" s="48"/>
      <c r="AV73" s="48"/>
    </row>
    <row r="74" spans="1:48">
      <c r="A74" s="78" t="s">
        <v>40</v>
      </c>
      <c r="B74" s="79"/>
      <c r="C74" s="80"/>
      <c r="D74" s="79">
        <v>276.00000000000006</v>
      </c>
      <c r="E74" s="74"/>
      <c r="F74" s="26"/>
      <c r="G74" s="26"/>
      <c r="H74" s="81">
        <v>26.97</v>
      </c>
      <c r="I74" s="75"/>
      <c r="J74" s="29">
        <f>+D74*H74</f>
        <v>7443.7200000000012</v>
      </c>
      <c r="K74" s="26"/>
      <c r="L74" s="29">
        <f>+J74</f>
        <v>7443.7200000000012</v>
      </c>
      <c r="M74" s="26"/>
      <c r="N74" s="76">
        <f>+D74</f>
        <v>276.00000000000006</v>
      </c>
      <c r="O74" s="31"/>
      <c r="P74" s="76"/>
      <c r="Q74" s="26"/>
      <c r="R74" s="82">
        <f>+H74*(1+$W$5)</f>
        <v>29.902980870371376</v>
      </c>
      <c r="S74" s="75"/>
      <c r="T74" s="83">
        <f>+N74*R74</f>
        <v>8253.2227202225022</v>
      </c>
      <c r="U74" s="75"/>
      <c r="V74" s="75"/>
      <c r="W74" s="34"/>
      <c r="X74" s="45"/>
      <c r="Y74" s="46"/>
      <c r="Z74" s="46"/>
      <c r="AA74" s="46"/>
      <c r="AB74" s="46"/>
      <c r="AC74" s="46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18"/>
      <c r="AS74" s="18"/>
      <c r="AT74" s="18"/>
      <c r="AU74" s="19"/>
      <c r="AV74" s="18"/>
    </row>
    <row r="75" spans="1:48">
      <c r="A75" s="78" t="s">
        <v>41</v>
      </c>
      <c r="B75" s="79"/>
      <c r="C75" s="80"/>
      <c r="D75" s="79"/>
      <c r="E75" s="74"/>
      <c r="F75" s="26">
        <v>404.00000000000023</v>
      </c>
      <c r="G75" s="26"/>
      <c r="H75" s="84">
        <v>3.61</v>
      </c>
      <c r="I75" s="75"/>
      <c r="J75" s="76">
        <f>+F75*H75</f>
        <v>1458.4400000000007</v>
      </c>
      <c r="K75" s="26"/>
      <c r="L75" s="29">
        <f t="shared" ref="L75:L79" si="30">+J75</f>
        <v>1458.4400000000007</v>
      </c>
      <c r="M75" s="26"/>
      <c r="N75" s="76"/>
      <c r="O75" s="31"/>
      <c r="P75" s="76">
        <f>+F75</f>
        <v>404.00000000000023</v>
      </c>
      <c r="Q75" s="26"/>
      <c r="R75" s="82">
        <f t="shared" ref="R75:R79" si="31">+H75*(1+$W$5)</f>
        <v>4.0025866126081082</v>
      </c>
      <c r="S75" s="75"/>
      <c r="T75" s="83">
        <f>+P75*R75</f>
        <v>1617.0449914936767</v>
      </c>
      <c r="U75" s="75"/>
      <c r="V75" s="75"/>
      <c r="W75" s="34"/>
      <c r="X75" s="45"/>
      <c r="Y75" s="46"/>
      <c r="Z75" s="46"/>
      <c r="AA75" s="46"/>
      <c r="AB75" s="46"/>
      <c r="AC75" s="46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18"/>
      <c r="AS75" s="18"/>
      <c r="AT75" s="18"/>
      <c r="AU75" s="19"/>
      <c r="AV75" s="18"/>
    </row>
    <row r="76" spans="1:48">
      <c r="A76" s="78" t="s">
        <v>20</v>
      </c>
      <c r="B76" s="79"/>
      <c r="C76" s="80"/>
      <c r="D76" s="79"/>
      <c r="E76" s="74"/>
      <c r="F76" s="26">
        <v>424.99999999999983</v>
      </c>
      <c r="G76" s="26"/>
      <c r="H76" s="84">
        <v>3.29</v>
      </c>
      <c r="I76" s="75"/>
      <c r="J76" s="76">
        <f t="shared" ref="J76:J79" si="32">+F76*H76</f>
        <v>1398.2499999999995</v>
      </c>
      <c r="K76" s="26"/>
      <c r="L76" s="29">
        <f t="shared" si="30"/>
        <v>1398.2499999999995</v>
      </c>
      <c r="M76" s="26"/>
      <c r="N76" s="76"/>
      <c r="O76" s="31"/>
      <c r="P76" s="76">
        <f t="shared" ref="P76:P79" si="33">+F76</f>
        <v>424.99999999999983</v>
      </c>
      <c r="Q76" s="26"/>
      <c r="R76" s="82">
        <f t="shared" si="31"/>
        <v>3.6477866912688852</v>
      </c>
      <c r="S76" s="75"/>
      <c r="T76" s="83">
        <f t="shared" ref="T76:T79" si="34">+P76*R76</f>
        <v>1550.3093437892755</v>
      </c>
      <c r="U76" s="75"/>
      <c r="V76" s="75"/>
      <c r="W76" s="56"/>
      <c r="X76" s="45"/>
      <c r="Y76" s="46"/>
      <c r="Z76" s="46"/>
      <c r="AA76" s="46"/>
      <c r="AB76" s="46"/>
      <c r="AC76" s="46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18"/>
      <c r="AS76" s="18"/>
      <c r="AT76" s="18"/>
      <c r="AU76" s="19"/>
      <c r="AV76" s="18"/>
    </row>
    <row r="77" spans="1:48">
      <c r="A77" s="78" t="s">
        <v>21</v>
      </c>
      <c r="B77" s="79"/>
      <c r="C77" s="80"/>
      <c r="D77" s="79"/>
      <c r="E77" s="74"/>
      <c r="F77" s="26">
        <v>209</v>
      </c>
      <c r="G77" s="26"/>
      <c r="H77" s="84">
        <v>3.12</v>
      </c>
      <c r="I77" s="75"/>
      <c r="J77" s="76">
        <f t="shared" si="32"/>
        <v>652.08000000000004</v>
      </c>
      <c r="K77" s="26"/>
      <c r="L77" s="29">
        <f t="shared" si="30"/>
        <v>652.08000000000004</v>
      </c>
      <c r="M77" s="26"/>
      <c r="N77" s="76"/>
      <c r="O77" s="31"/>
      <c r="P77" s="76">
        <f t="shared" si="33"/>
        <v>209</v>
      </c>
      <c r="Q77" s="26"/>
      <c r="R77" s="82">
        <f t="shared" si="31"/>
        <v>3.4592992330574233</v>
      </c>
      <c r="S77" s="75"/>
      <c r="T77" s="83">
        <f t="shared" si="34"/>
        <v>722.99353970900142</v>
      </c>
      <c r="U77" s="75"/>
      <c r="V77" s="75"/>
      <c r="W77" s="56"/>
      <c r="X77" s="45"/>
      <c r="Y77" s="46"/>
      <c r="Z77" s="46"/>
      <c r="AA77" s="46"/>
      <c r="AB77" s="46"/>
      <c r="AC77" s="46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18"/>
      <c r="AS77" s="48"/>
      <c r="AT77" s="18"/>
      <c r="AU77" s="19"/>
      <c r="AV77" s="18"/>
    </row>
    <row r="78" spans="1:48">
      <c r="A78" s="78" t="s">
        <v>22</v>
      </c>
      <c r="B78" s="79"/>
      <c r="C78" s="80"/>
      <c r="D78" s="79"/>
      <c r="E78" s="74"/>
      <c r="F78" s="26">
        <v>232.99999999999997</v>
      </c>
      <c r="G78" s="26"/>
      <c r="H78" s="84">
        <v>2.79</v>
      </c>
      <c r="I78" s="75"/>
      <c r="J78" s="76">
        <f t="shared" si="32"/>
        <v>650.06999999999994</v>
      </c>
      <c r="K78" s="26"/>
      <c r="L78" s="29">
        <f t="shared" si="30"/>
        <v>650.06999999999994</v>
      </c>
      <c r="M78" s="26"/>
      <c r="N78" s="76"/>
      <c r="O78" s="31"/>
      <c r="P78" s="76">
        <f t="shared" si="33"/>
        <v>232.99999999999997</v>
      </c>
      <c r="Q78" s="26"/>
      <c r="R78" s="82">
        <f t="shared" si="31"/>
        <v>3.0934118141763496</v>
      </c>
      <c r="S78" s="75"/>
      <c r="T78" s="83">
        <f t="shared" si="34"/>
        <v>720.76495270308942</v>
      </c>
      <c r="U78" s="75"/>
      <c r="V78" s="75"/>
      <c r="W78" s="56"/>
      <c r="X78" s="45"/>
      <c r="Y78" s="46"/>
      <c r="Z78" s="46"/>
      <c r="AA78" s="46"/>
      <c r="AB78" s="46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18"/>
      <c r="AS78" s="48"/>
      <c r="AT78" s="18"/>
      <c r="AU78" s="19"/>
      <c r="AV78" s="18"/>
    </row>
    <row r="79" spans="1:48">
      <c r="A79" s="78" t="s">
        <v>23</v>
      </c>
      <c r="B79" s="79"/>
      <c r="C79" s="80"/>
      <c r="D79" s="79"/>
      <c r="E79" s="74"/>
      <c r="F79" s="26">
        <v>643</v>
      </c>
      <c r="G79" s="26"/>
      <c r="H79" s="84">
        <v>2.5499999999999998</v>
      </c>
      <c r="I79" s="75"/>
      <c r="J79" s="76">
        <f t="shared" si="32"/>
        <v>1639.6499999999999</v>
      </c>
      <c r="K79" s="26"/>
      <c r="L79" s="29">
        <f t="shared" si="30"/>
        <v>1639.6499999999999</v>
      </c>
      <c r="M79" s="26"/>
      <c r="N79" s="76"/>
      <c r="O79" s="31"/>
      <c r="P79" s="76">
        <f t="shared" si="33"/>
        <v>643</v>
      </c>
      <c r="Q79" s="26"/>
      <c r="R79" s="82">
        <f t="shared" si="31"/>
        <v>2.827311873171932</v>
      </c>
      <c r="S79" s="75"/>
      <c r="T79" s="83">
        <f t="shared" si="34"/>
        <v>1817.9615344495523</v>
      </c>
      <c r="U79" s="75"/>
      <c r="V79" s="75"/>
      <c r="W79" s="56"/>
      <c r="X79" s="45"/>
      <c r="Y79" s="46"/>
      <c r="Z79" s="46"/>
      <c r="AA79" s="46"/>
      <c r="AB79" s="46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18"/>
      <c r="AS79" s="48"/>
      <c r="AT79" s="18"/>
      <c r="AU79" s="19"/>
      <c r="AV79" s="18"/>
    </row>
    <row r="80" spans="1:48" s="97" customFormat="1" ht="12.75" thickBot="1">
      <c r="A80" s="88" t="s">
        <v>45</v>
      </c>
      <c r="B80" s="89">
        <f>SUM(B73:B79)</f>
        <v>3118</v>
      </c>
      <c r="C80" s="90"/>
      <c r="D80" s="89">
        <f>SUM(D73:D79)</f>
        <v>276.00000000000006</v>
      </c>
      <c r="E80" s="90"/>
      <c r="F80" s="89">
        <f>SUM(F73:F79)</f>
        <v>1914</v>
      </c>
      <c r="G80" s="62"/>
      <c r="H80" s="64"/>
      <c r="I80" s="63"/>
      <c r="J80" s="91">
        <f>SUM(J73:J79)</f>
        <v>13242.210000000001</v>
      </c>
      <c r="K80" s="62"/>
      <c r="L80" s="91">
        <f>SUM(L73:L79)</f>
        <v>13242.210000000001</v>
      </c>
      <c r="M80" s="62"/>
      <c r="N80" s="89">
        <f>SUM(N73:N79)</f>
        <v>276.00000000000006</v>
      </c>
      <c r="O80" s="67"/>
      <c r="P80" s="89">
        <f>SUM(P73:P79)</f>
        <v>1914</v>
      </c>
      <c r="Q80" s="62"/>
      <c r="R80" s="32"/>
      <c r="S80" s="90"/>
      <c r="T80" s="91">
        <f>SUM(T73:T79)</f>
        <v>14682.297082367097</v>
      </c>
      <c r="U80" s="90"/>
      <c r="V80" s="102"/>
      <c r="W80" s="87"/>
      <c r="X80" s="93"/>
      <c r="Y80" s="94"/>
      <c r="Z80" s="94"/>
      <c r="AA80" s="94"/>
      <c r="AB80" s="94"/>
      <c r="AC80" s="94"/>
      <c r="AD80" s="94" t="s">
        <v>25</v>
      </c>
      <c r="AE80" s="70"/>
      <c r="AF80" s="63"/>
      <c r="AG80" s="90"/>
      <c r="AH80" s="90"/>
      <c r="AI80" s="90"/>
      <c r="AJ80" s="63"/>
      <c r="AK80" s="95"/>
      <c r="AL80" s="63"/>
      <c r="AM80" s="95"/>
      <c r="AN80" s="63"/>
      <c r="AO80" s="95"/>
      <c r="AP80" s="63"/>
      <c r="AQ80" s="95"/>
      <c r="AR80" s="96"/>
      <c r="AS80" s="96"/>
      <c r="AT80" s="96"/>
      <c r="AU80" s="96"/>
      <c r="AV80" s="96"/>
    </row>
    <row r="81" spans="1:48" ht="12.75" thickTop="1">
      <c r="A81" s="88"/>
      <c r="B81" s="79"/>
      <c r="C81" s="80"/>
      <c r="D81" s="79"/>
      <c r="E81" s="74"/>
      <c r="F81" s="26"/>
      <c r="G81" s="26"/>
      <c r="H81" s="28"/>
      <c r="I81" s="75"/>
      <c r="J81" s="29"/>
      <c r="K81" s="26"/>
      <c r="L81" s="29"/>
      <c r="M81" s="26"/>
      <c r="N81" s="76"/>
      <c r="O81" s="31"/>
      <c r="P81" s="76"/>
      <c r="Q81" s="26"/>
      <c r="R81" s="32"/>
      <c r="S81" s="75"/>
      <c r="T81" s="33"/>
      <c r="U81" s="75"/>
      <c r="V81" s="75"/>
      <c r="W81" s="34"/>
      <c r="X81" s="45"/>
      <c r="Y81" s="46"/>
      <c r="Z81" s="46"/>
      <c r="AA81" s="46"/>
      <c r="AB81" s="46"/>
      <c r="AC81" s="46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18"/>
      <c r="AS81" s="18"/>
      <c r="AT81" s="18"/>
      <c r="AU81" s="19"/>
      <c r="AV81" s="18"/>
    </row>
    <row r="82" spans="1:48" ht="12.75" thickBot="1">
      <c r="A82" s="98" t="s">
        <v>46</v>
      </c>
      <c r="B82" s="79"/>
      <c r="C82" s="80"/>
      <c r="D82" s="79"/>
      <c r="E82" s="74"/>
      <c r="F82" s="26"/>
      <c r="G82" s="26"/>
      <c r="H82" s="28"/>
      <c r="I82" s="75"/>
      <c r="J82" s="29"/>
      <c r="K82" s="26"/>
      <c r="L82" s="99">
        <f>+L80/$D80</f>
        <v>47.979021739130431</v>
      </c>
      <c r="M82" s="26"/>
      <c r="N82" s="76"/>
      <c r="O82" s="31"/>
      <c r="P82" s="76"/>
      <c r="Q82" s="26"/>
      <c r="R82" s="32"/>
      <c r="S82" s="75"/>
      <c r="T82" s="99">
        <f>+T80/$D80</f>
        <v>53.196728559301064</v>
      </c>
      <c r="U82" s="75">
        <f>+T82-L82</f>
        <v>5.2177068201706334</v>
      </c>
      <c r="V82" s="75">
        <f>U82/L82</f>
        <v>0.10874975418507145</v>
      </c>
      <c r="W82" s="34"/>
      <c r="X82" s="45"/>
      <c r="Y82" s="46"/>
      <c r="Z82" s="46"/>
      <c r="AA82" s="46"/>
      <c r="AB82" s="46"/>
      <c r="AC82" s="46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18"/>
      <c r="AS82" s="18"/>
      <c r="AT82" s="18"/>
      <c r="AU82" s="19"/>
      <c r="AV82" s="18"/>
    </row>
    <row r="83" spans="1:48" ht="12.75" thickTop="1">
      <c r="A83" s="73" t="s">
        <v>47</v>
      </c>
      <c r="B83" s="26">
        <v>541</v>
      </c>
      <c r="C83" s="74"/>
      <c r="D83" s="26"/>
      <c r="E83" s="74"/>
      <c r="F83" s="26"/>
      <c r="G83" s="26"/>
      <c r="H83" s="28"/>
      <c r="I83" s="75"/>
      <c r="J83" s="29"/>
      <c r="K83" s="26"/>
      <c r="L83" s="29"/>
      <c r="M83" s="26"/>
      <c r="N83" s="76"/>
      <c r="O83" s="31"/>
      <c r="P83" s="76"/>
      <c r="Q83" s="26"/>
      <c r="R83" s="32"/>
      <c r="S83" s="74"/>
      <c r="T83" s="77"/>
      <c r="U83" s="74"/>
      <c r="V83" s="74"/>
      <c r="W83" s="56"/>
      <c r="X83" s="45"/>
      <c r="Y83" s="46"/>
      <c r="Z83" s="46"/>
      <c r="AA83" s="46"/>
      <c r="AB83" s="46"/>
      <c r="AC83" s="46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8"/>
      <c r="AS83" s="48"/>
      <c r="AT83" s="48"/>
      <c r="AU83" s="48"/>
      <c r="AV83" s="48"/>
    </row>
    <row r="84" spans="1:48">
      <c r="A84" s="78" t="s">
        <v>40</v>
      </c>
      <c r="B84" s="79"/>
      <c r="C84" s="80"/>
      <c r="D84" s="79">
        <v>36.000000000000007</v>
      </c>
      <c r="E84" s="74"/>
      <c r="F84" s="26"/>
      <c r="G84" s="26"/>
      <c r="H84" s="81">
        <v>26.97</v>
      </c>
      <c r="I84" s="75"/>
      <c r="J84" s="29">
        <f>+D84*H84</f>
        <v>970.92000000000019</v>
      </c>
      <c r="K84" s="26"/>
      <c r="L84" s="29">
        <f>+J84</f>
        <v>970.92000000000019</v>
      </c>
      <c r="M84" s="26"/>
      <c r="N84" s="76">
        <f>+D84</f>
        <v>36.000000000000007</v>
      </c>
      <c r="O84" s="31"/>
      <c r="P84" s="76"/>
      <c r="Q84" s="26"/>
      <c r="R84" s="82">
        <f>+H84*(1+$W$5)</f>
        <v>29.902980870371376</v>
      </c>
      <c r="S84" s="75"/>
      <c r="T84" s="83">
        <f>+N84*R84</f>
        <v>1076.5073113333697</v>
      </c>
      <c r="U84" s="75"/>
      <c r="V84" s="75"/>
      <c r="W84" s="34"/>
      <c r="X84" s="45"/>
      <c r="Y84" s="46"/>
      <c r="Z84" s="46"/>
      <c r="AA84" s="46"/>
      <c r="AB84" s="46"/>
      <c r="AC84" s="46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18"/>
      <c r="AS84" s="18"/>
      <c r="AT84" s="18"/>
      <c r="AU84" s="19"/>
      <c r="AV84" s="18"/>
    </row>
    <row r="85" spans="1:48">
      <c r="A85" s="78" t="s">
        <v>41</v>
      </c>
      <c r="B85" s="79"/>
      <c r="C85" s="80"/>
      <c r="D85" s="79"/>
      <c r="E85" s="74"/>
      <c r="F85" s="26">
        <v>92.999999999999986</v>
      </c>
      <c r="G85" s="26"/>
      <c r="H85" s="84">
        <v>3.61</v>
      </c>
      <c r="I85" s="75"/>
      <c r="J85" s="76">
        <f>+F85*H85</f>
        <v>335.72999999999996</v>
      </c>
      <c r="K85" s="26"/>
      <c r="L85" s="29">
        <f t="shared" ref="L85:L89" si="35">+J85</f>
        <v>335.72999999999996</v>
      </c>
      <c r="M85" s="26"/>
      <c r="N85" s="76"/>
      <c r="O85" s="31"/>
      <c r="P85" s="76">
        <f>+F85</f>
        <v>92.999999999999986</v>
      </c>
      <c r="Q85" s="26"/>
      <c r="R85" s="82">
        <f t="shared" ref="R85:R89" si="36">+H85*(1+$W$5)</f>
        <v>4.0025866126081082</v>
      </c>
      <c r="S85" s="75"/>
      <c r="T85" s="83">
        <f>+P85*R85</f>
        <v>372.24055497255398</v>
      </c>
      <c r="U85" s="75"/>
      <c r="V85" s="75"/>
      <c r="W85" s="34"/>
      <c r="X85" s="45"/>
      <c r="Y85" s="46"/>
      <c r="Z85" s="46"/>
      <c r="AA85" s="46"/>
      <c r="AB85" s="46"/>
      <c r="AC85" s="46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18"/>
      <c r="AS85" s="18"/>
      <c r="AT85" s="18"/>
      <c r="AU85" s="19"/>
      <c r="AV85" s="18"/>
    </row>
    <row r="86" spans="1:48">
      <c r="A86" s="78" t="s">
        <v>20</v>
      </c>
      <c r="B86" s="79"/>
      <c r="C86" s="80"/>
      <c r="D86" s="79"/>
      <c r="E86" s="74"/>
      <c r="F86" s="26">
        <v>217.00000000000006</v>
      </c>
      <c r="G86" s="26"/>
      <c r="H86" s="84">
        <v>3.29</v>
      </c>
      <c r="I86" s="75"/>
      <c r="J86" s="76">
        <f t="shared" ref="J86:J89" si="37">+F86*H86</f>
        <v>713.93000000000018</v>
      </c>
      <c r="K86" s="26"/>
      <c r="L86" s="29">
        <f t="shared" si="35"/>
        <v>713.93000000000018</v>
      </c>
      <c r="M86" s="26"/>
      <c r="N86" s="76"/>
      <c r="O86" s="31"/>
      <c r="P86" s="76">
        <f t="shared" ref="P86:P89" si="38">+F86</f>
        <v>217.00000000000006</v>
      </c>
      <c r="Q86" s="26"/>
      <c r="R86" s="82">
        <f t="shared" si="36"/>
        <v>3.6477866912688852</v>
      </c>
      <c r="S86" s="75"/>
      <c r="T86" s="83">
        <f t="shared" ref="T86:T89" si="39">+P86*R86</f>
        <v>791.56971200534826</v>
      </c>
      <c r="U86" s="75"/>
      <c r="V86" s="75"/>
      <c r="W86" s="56"/>
      <c r="X86" s="45"/>
      <c r="Y86" s="46"/>
      <c r="Z86" s="46"/>
      <c r="AA86" s="46"/>
      <c r="AB86" s="46"/>
      <c r="AC86" s="46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18"/>
      <c r="AS86" s="18"/>
      <c r="AT86" s="18"/>
      <c r="AU86" s="19"/>
      <c r="AV86" s="18"/>
    </row>
    <row r="87" spans="1:48">
      <c r="A87" s="78" t="s">
        <v>21</v>
      </c>
      <c r="B87" s="79"/>
      <c r="C87" s="80"/>
      <c r="D87" s="79"/>
      <c r="E87" s="74"/>
      <c r="F87" s="26">
        <v>50</v>
      </c>
      <c r="G87" s="26"/>
      <c r="H87" s="84">
        <v>3.12</v>
      </c>
      <c r="I87" s="75"/>
      <c r="J87" s="76">
        <f t="shared" si="37"/>
        <v>156</v>
      </c>
      <c r="K87" s="26"/>
      <c r="L87" s="29">
        <f t="shared" si="35"/>
        <v>156</v>
      </c>
      <c r="M87" s="26"/>
      <c r="N87" s="76"/>
      <c r="O87" s="31"/>
      <c r="P87" s="76">
        <f t="shared" si="38"/>
        <v>50</v>
      </c>
      <c r="Q87" s="26"/>
      <c r="R87" s="82">
        <f t="shared" si="36"/>
        <v>3.4592992330574233</v>
      </c>
      <c r="S87" s="75"/>
      <c r="T87" s="83">
        <f t="shared" si="39"/>
        <v>172.96496165287115</v>
      </c>
      <c r="U87" s="75"/>
      <c r="V87" s="75"/>
      <c r="W87" s="56"/>
      <c r="X87" s="45"/>
      <c r="Y87" s="46"/>
      <c r="Z87" s="46"/>
      <c r="AA87" s="46"/>
      <c r="AB87" s="46"/>
      <c r="AC87" s="46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18"/>
      <c r="AS87" s="48"/>
      <c r="AT87" s="18"/>
      <c r="AU87" s="19"/>
      <c r="AV87" s="18"/>
    </row>
    <row r="88" spans="1:48">
      <c r="A88" s="78" t="s">
        <v>22</v>
      </c>
      <c r="B88" s="79"/>
      <c r="C88" s="80"/>
      <c r="D88" s="79"/>
      <c r="E88" s="74"/>
      <c r="F88" s="26">
        <v>0</v>
      </c>
      <c r="G88" s="26"/>
      <c r="H88" s="84">
        <v>2.79</v>
      </c>
      <c r="I88" s="75"/>
      <c r="J88" s="76">
        <f t="shared" si="37"/>
        <v>0</v>
      </c>
      <c r="K88" s="26"/>
      <c r="L88" s="29">
        <f t="shared" si="35"/>
        <v>0</v>
      </c>
      <c r="M88" s="26"/>
      <c r="N88" s="76"/>
      <c r="O88" s="31"/>
      <c r="P88" s="76">
        <f t="shared" si="38"/>
        <v>0</v>
      </c>
      <c r="Q88" s="26"/>
      <c r="R88" s="82">
        <f t="shared" si="36"/>
        <v>3.0934118141763496</v>
      </c>
      <c r="S88" s="75"/>
      <c r="T88" s="83">
        <f t="shared" si="39"/>
        <v>0</v>
      </c>
      <c r="U88" s="75"/>
      <c r="V88" s="75"/>
      <c r="W88" s="56"/>
      <c r="X88" s="45"/>
      <c r="Y88" s="46"/>
      <c r="Z88" s="46"/>
      <c r="AA88" s="46"/>
      <c r="AB88" s="46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18"/>
      <c r="AS88" s="48"/>
      <c r="AT88" s="18"/>
      <c r="AU88" s="19"/>
      <c r="AV88" s="18"/>
    </row>
    <row r="89" spans="1:48">
      <c r="A89" s="78" t="s">
        <v>23</v>
      </c>
      <c r="B89" s="79"/>
      <c r="C89" s="80"/>
      <c r="D89" s="79"/>
      <c r="E89" s="74"/>
      <c r="F89" s="26">
        <v>0</v>
      </c>
      <c r="G89" s="26"/>
      <c r="H89" s="84">
        <v>2.5499999999999998</v>
      </c>
      <c r="I89" s="75"/>
      <c r="J89" s="76">
        <f t="shared" si="37"/>
        <v>0</v>
      </c>
      <c r="K89" s="26"/>
      <c r="L89" s="29">
        <f t="shared" si="35"/>
        <v>0</v>
      </c>
      <c r="M89" s="26"/>
      <c r="N89" s="76"/>
      <c r="O89" s="31"/>
      <c r="P89" s="76">
        <f t="shared" si="38"/>
        <v>0</v>
      </c>
      <c r="Q89" s="26"/>
      <c r="R89" s="82">
        <f t="shared" si="36"/>
        <v>2.827311873171932</v>
      </c>
      <c r="S89" s="75"/>
      <c r="T89" s="83">
        <f t="shared" si="39"/>
        <v>0</v>
      </c>
      <c r="U89" s="75"/>
      <c r="V89" s="75"/>
      <c r="W89" s="56"/>
      <c r="X89" s="45"/>
      <c r="Y89" s="46"/>
      <c r="Z89" s="46"/>
      <c r="AA89" s="46"/>
      <c r="AB89" s="46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8"/>
      <c r="AS89" s="48"/>
      <c r="AT89" s="18"/>
      <c r="AU89" s="19"/>
      <c r="AV89" s="18"/>
    </row>
    <row r="90" spans="1:48" s="97" customFormat="1" ht="12.75" thickBot="1">
      <c r="A90" s="88" t="s">
        <v>48</v>
      </c>
      <c r="B90" s="89">
        <f>SUM(B83:B89)</f>
        <v>541</v>
      </c>
      <c r="C90" s="90"/>
      <c r="D90" s="89">
        <f>SUM(D83:D89)</f>
        <v>36.000000000000007</v>
      </c>
      <c r="E90" s="90"/>
      <c r="F90" s="89">
        <f>SUM(F83:F89)</f>
        <v>360.00000000000006</v>
      </c>
      <c r="G90" s="62"/>
      <c r="H90" s="64"/>
      <c r="I90" s="63"/>
      <c r="J90" s="91">
        <f>SUM(J83:J89)</f>
        <v>2176.5800000000004</v>
      </c>
      <c r="K90" s="62"/>
      <c r="L90" s="91">
        <f>SUM(L83:L89)</f>
        <v>2176.5800000000004</v>
      </c>
      <c r="M90" s="62"/>
      <c r="N90" s="89">
        <f>SUM(N83:N89)</f>
        <v>36.000000000000007</v>
      </c>
      <c r="O90" s="67"/>
      <c r="P90" s="89">
        <f>SUM(P83:P89)</f>
        <v>360.00000000000006</v>
      </c>
      <c r="Q90" s="62"/>
      <c r="R90" s="32"/>
      <c r="S90" s="90"/>
      <c r="T90" s="91">
        <f>SUM(T83:T89)</f>
        <v>2413.2825399641433</v>
      </c>
      <c r="U90" s="90"/>
      <c r="V90" s="102"/>
      <c r="W90" s="87"/>
      <c r="X90" s="93"/>
      <c r="Y90" s="94"/>
      <c r="Z90" s="94"/>
      <c r="AA90" s="94"/>
      <c r="AB90" s="94"/>
      <c r="AC90" s="94"/>
      <c r="AD90" s="94" t="s">
        <v>25</v>
      </c>
      <c r="AE90" s="70"/>
      <c r="AF90" s="63"/>
      <c r="AG90" s="90"/>
      <c r="AH90" s="90"/>
      <c r="AI90" s="90"/>
      <c r="AJ90" s="63"/>
      <c r="AK90" s="95"/>
      <c r="AL90" s="63"/>
      <c r="AM90" s="95"/>
      <c r="AN90" s="63"/>
      <c r="AO90" s="95"/>
      <c r="AP90" s="63"/>
      <c r="AQ90" s="95"/>
      <c r="AR90" s="96"/>
      <c r="AS90" s="96"/>
      <c r="AT90" s="96"/>
      <c r="AU90" s="96"/>
      <c r="AV90" s="96"/>
    </row>
    <row r="91" spans="1:48" ht="12.75" thickTop="1">
      <c r="A91" s="88"/>
      <c r="B91" s="79"/>
      <c r="C91" s="80"/>
      <c r="D91" s="79"/>
      <c r="E91" s="74"/>
      <c r="F91" s="26"/>
      <c r="G91" s="26"/>
      <c r="H91" s="28"/>
      <c r="I91" s="75"/>
      <c r="J91" s="29"/>
      <c r="K91" s="26"/>
      <c r="L91" s="29"/>
      <c r="M91" s="26"/>
      <c r="N91" s="76"/>
      <c r="O91" s="31"/>
      <c r="P91" s="76"/>
      <c r="Q91" s="26"/>
      <c r="R91" s="32"/>
      <c r="S91" s="75"/>
      <c r="T91" s="33"/>
      <c r="U91" s="75"/>
      <c r="V91" s="75"/>
      <c r="W91" s="34"/>
      <c r="X91" s="45"/>
      <c r="Y91" s="46"/>
      <c r="Z91" s="46"/>
      <c r="AA91" s="46"/>
      <c r="AB91" s="46"/>
      <c r="AC91" s="46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18"/>
      <c r="AS91" s="18"/>
      <c r="AT91" s="18"/>
      <c r="AU91" s="19"/>
      <c r="AV91" s="18"/>
    </row>
    <row r="92" spans="1:48" ht="12.75" thickBot="1">
      <c r="A92" s="98" t="s">
        <v>49</v>
      </c>
      <c r="B92" s="79"/>
      <c r="C92" s="80"/>
      <c r="D92" s="79"/>
      <c r="E92" s="74"/>
      <c r="F92" s="26"/>
      <c r="G92" s="26"/>
      <c r="H92" s="28"/>
      <c r="I92" s="75"/>
      <c r="J92" s="29"/>
      <c r="K92" s="26"/>
      <c r="L92" s="99">
        <f>+L90/$D90</f>
        <v>60.460555555555551</v>
      </c>
      <c r="M92" s="26"/>
      <c r="N92" s="76"/>
      <c r="O92" s="31"/>
      <c r="P92" s="76"/>
      <c r="Q92" s="26"/>
      <c r="R92" s="32"/>
      <c r="S92" s="75"/>
      <c r="T92" s="99">
        <f>+T90/$D90</f>
        <v>67.035626110115075</v>
      </c>
      <c r="U92" s="75">
        <f>+T92-L92</f>
        <v>6.5750705545595238</v>
      </c>
      <c r="V92" s="75">
        <f>U92/L92</f>
        <v>0.10874975418507148</v>
      </c>
      <c r="W92" s="34"/>
      <c r="X92" s="45"/>
      <c r="Y92" s="46"/>
      <c r="Z92" s="46"/>
      <c r="AA92" s="46"/>
      <c r="AB92" s="46"/>
      <c r="AC92" s="46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18"/>
      <c r="AS92" s="18"/>
      <c r="AT92" s="18"/>
      <c r="AU92" s="19"/>
      <c r="AV92" s="18"/>
    </row>
    <row r="93" spans="1:48" ht="12.75" thickTop="1">
      <c r="A93" s="73" t="s">
        <v>50</v>
      </c>
      <c r="B93" s="26">
        <v>161</v>
      </c>
      <c r="C93" s="74"/>
      <c r="D93" s="26"/>
      <c r="E93" s="74"/>
      <c r="F93" s="26"/>
      <c r="G93" s="26"/>
      <c r="H93" s="28"/>
      <c r="I93" s="75"/>
      <c r="J93" s="29"/>
      <c r="K93" s="26"/>
      <c r="L93" s="29"/>
      <c r="M93" s="26"/>
      <c r="N93" s="76"/>
      <c r="O93" s="31"/>
      <c r="P93" s="76"/>
      <c r="Q93" s="26"/>
      <c r="R93" s="32"/>
      <c r="S93" s="74"/>
      <c r="T93" s="77"/>
      <c r="U93" s="74"/>
      <c r="V93" s="74"/>
      <c r="W93" s="56"/>
      <c r="X93" s="45"/>
      <c r="Y93" s="46"/>
      <c r="Z93" s="46"/>
      <c r="AA93" s="46"/>
      <c r="AB93" s="46"/>
      <c r="AC93" s="46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8"/>
      <c r="AS93" s="48"/>
      <c r="AT93" s="48"/>
      <c r="AU93" s="48"/>
      <c r="AV93" s="48"/>
    </row>
    <row r="94" spans="1:48">
      <c r="A94" s="78" t="s">
        <v>40</v>
      </c>
      <c r="B94" s="79"/>
      <c r="C94" s="80"/>
      <c r="D94" s="79">
        <v>12</v>
      </c>
      <c r="E94" s="74"/>
      <c r="F94" s="26"/>
      <c r="G94" s="26"/>
      <c r="H94" s="81">
        <v>26.97</v>
      </c>
      <c r="I94" s="75"/>
      <c r="J94" s="29">
        <f>+D94*H94</f>
        <v>323.64</v>
      </c>
      <c r="K94" s="26"/>
      <c r="L94" s="29">
        <f>+J94</f>
        <v>323.64</v>
      </c>
      <c r="M94" s="26"/>
      <c r="N94" s="76">
        <f>+D94</f>
        <v>12</v>
      </c>
      <c r="O94" s="31"/>
      <c r="P94" s="76"/>
      <c r="Q94" s="26"/>
      <c r="R94" s="82">
        <f>+H94*(1+$W$5)</f>
        <v>29.902980870371376</v>
      </c>
      <c r="S94" s="75"/>
      <c r="T94" s="83">
        <f>+N94*R94</f>
        <v>358.8357704444565</v>
      </c>
      <c r="U94" s="75"/>
      <c r="V94" s="75"/>
      <c r="W94" s="34"/>
      <c r="X94" s="45"/>
      <c r="Y94" s="46"/>
      <c r="Z94" s="46"/>
      <c r="AA94" s="46"/>
      <c r="AB94" s="46"/>
      <c r="AC94" s="46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18"/>
      <c r="AS94" s="18"/>
      <c r="AT94" s="18"/>
      <c r="AU94" s="19"/>
      <c r="AV94" s="18"/>
    </row>
    <row r="95" spans="1:48">
      <c r="A95" s="78" t="s">
        <v>41</v>
      </c>
      <c r="B95" s="79"/>
      <c r="C95" s="80"/>
      <c r="D95" s="79"/>
      <c r="E95" s="74"/>
      <c r="F95" s="26">
        <v>12</v>
      </c>
      <c r="G95" s="26"/>
      <c r="H95" s="84">
        <v>3.61</v>
      </c>
      <c r="I95" s="75"/>
      <c r="J95" s="76">
        <f>+F95*H95</f>
        <v>43.32</v>
      </c>
      <c r="K95" s="26"/>
      <c r="L95" s="29">
        <f t="shared" ref="L95:L99" si="40">+J95</f>
        <v>43.32</v>
      </c>
      <c r="M95" s="26"/>
      <c r="N95" s="76"/>
      <c r="O95" s="31"/>
      <c r="P95" s="76">
        <f>+F95</f>
        <v>12</v>
      </c>
      <c r="Q95" s="26"/>
      <c r="R95" s="82">
        <f t="shared" ref="R95:R99" si="41">+H95*(1+$W$5)</f>
        <v>4.0025866126081082</v>
      </c>
      <c r="S95" s="75"/>
      <c r="T95" s="83">
        <f>+P95*R95</f>
        <v>48.031039351297295</v>
      </c>
      <c r="U95" s="75"/>
      <c r="V95" s="75"/>
      <c r="W95" s="34"/>
      <c r="X95" s="45"/>
      <c r="Y95" s="46"/>
      <c r="Z95" s="46"/>
      <c r="AA95" s="46"/>
      <c r="AB95" s="46"/>
      <c r="AC95" s="46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18"/>
      <c r="AS95" s="18"/>
      <c r="AT95" s="18"/>
      <c r="AU95" s="19"/>
      <c r="AV95" s="18"/>
    </row>
    <row r="96" spans="1:48">
      <c r="A96" s="78" t="s">
        <v>20</v>
      </c>
      <c r="B96" s="79"/>
      <c r="C96" s="80"/>
      <c r="D96" s="79"/>
      <c r="E96" s="74"/>
      <c r="F96" s="26">
        <v>37</v>
      </c>
      <c r="G96" s="26"/>
      <c r="H96" s="84">
        <v>3.29</v>
      </c>
      <c r="I96" s="75"/>
      <c r="J96" s="76">
        <f t="shared" ref="J96:J99" si="42">+F96*H96</f>
        <v>121.73</v>
      </c>
      <c r="K96" s="26"/>
      <c r="L96" s="29">
        <f t="shared" si="40"/>
        <v>121.73</v>
      </c>
      <c r="M96" s="26"/>
      <c r="N96" s="76"/>
      <c r="O96" s="31"/>
      <c r="P96" s="76">
        <f t="shared" ref="P96:P99" si="43">+F96</f>
        <v>37</v>
      </c>
      <c r="Q96" s="26"/>
      <c r="R96" s="82">
        <f t="shared" si="41"/>
        <v>3.6477866912688852</v>
      </c>
      <c r="S96" s="75"/>
      <c r="T96" s="83">
        <f t="shared" ref="T96:T99" si="44">+P96*R96</f>
        <v>134.96810757694874</v>
      </c>
      <c r="U96" s="75"/>
      <c r="V96" s="75"/>
      <c r="W96" s="56"/>
      <c r="X96" s="45"/>
      <c r="Y96" s="46"/>
      <c r="Z96" s="46"/>
      <c r="AA96" s="46"/>
      <c r="AB96" s="46"/>
      <c r="AC96" s="46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18"/>
      <c r="AS96" s="18"/>
      <c r="AT96" s="18"/>
      <c r="AU96" s="19"/>
      <c r="AV96" s="18"/>
    </row>
    <row r="97" spans="1:48">
      <c r="A97" s="78" t="s">
        <v>21</v>
      </c>
      <c r="B97" s="79"/>
      <c r="C97" s="80"/>
      <c r="D97" s="79"/>
      <c r="E97" s="74"/>
      <c r="F97" s="26">
        <v>40</v>
      </c>
      <c r="G97" s="26"/>
      <c r="H97" s="84">
        <v>3.12</v>
      </c>
      <c r="I97" s="75"/>
      <c r="J97" s="76">
        <f t="shared" si="42"/>
        <v>124.80000000000001</v>
      </c>
      <c r="K97" s="26"/>
      <c r="L97" s="29">
        <f t="shared" si="40"/>
        <v>124.80000000000001</v>
      </c>
      <c r="M97" s="26"/>
      <c r="N97" s="76"/>
      <c r="O97" s="31"/>
      <c r="P97" s="76">
        <f t="shared" si="43"/>
        <v>40</v>
      </c>
      <c r="Q97" s="26"/>
      <c r="R97" s="82">
        <f t="shared" si="41"/>
        <v>3.4592992330574233</v>
      </c>
      <c r="S97" s="75"/>
      <c r="T97" s="83">
        <f t="shared" si="44"/>
        <v>138.37196932229693</v>
      </c>
      <c r="U97" s="75"/>
      <c r="V97" s="75"/>
      <c r="W97" s="56"/>
      <c r="X97" s="45"/>
      <c r="Y97" s="46"/>
      <c r="Z97" s="46"/>
      <c r="AA97" s="46"/>
      <c r="AB97" s="46"/>
      <c r="AC97" s="46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18"/>
      <c r="AS97" s="48"/>
      <c r="AT97" s="18"/>
      <c r="AU97" s="19"/>
      <c r="AV97" s="18"/>
    </row>
    <row r="98" spans="1:48">
      <c r="A98" s="78" t="s">
        <v>22</v>
      </c>
      <c r="B98" s="79"/>
      <c r="C98" s="80"/>
      <c r="D98" s="79"/>
      <c r="E98" s="74"/>
      <c r="F98" s="26">
        <v>19</v>
      </c>
      <c r="G98" s="26"/>
      <c r="H98" s="84">
        <v>2.79</v>
      </c>
      <c r="I98" s="75"/>
      <c r="J98" s="76">
        <f t="shared" si="42"/>
        <v>53.01</v>
      </c>
      <c r="K98" s="26"/>
      <c r="L98" s="29">
        <f t="shared" si="40"/>
        <v>53.01</v>
      </c>
      <c r="M98" s="26"/>
      <c r="N98" s="76"/>
      <c r="O98" s="31"/>
      <c r="P98" s="76">
        <f t="shared" si="43"/>
        <v>19</v>
      </c>
      <c r="Q98" s="26"/>
      <c r="R98" s="82">
        <f t="shared" si="41"/>
        <v>3.0934118141763496</v>
      </c>
      <c r="S98" s="75"/>
      <c r="T98" s="83">
        <f t="shared" si="44"/>
        <v>58.774824469350641</v>
      </c>
      <c r="U98" s="75"/>
      <c r="V98" s="75"/>
      <c r="W98" s="56"/>
      <c r="X98" s="45"/>
      <c r="Y98" s="46"/>
      <c r="Z98" s="46"/>
      <c r="AA98" s="46"/>
      <c r="AB98" s="46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18"/>
      <c r="AS98" s="48"/>
      <c r="AT98" s="18"/>
      <c r="AU98" s="19"/>
      <c r="AV98" s="18"/>
    </row>
    <row r="99" spans="1:48">
      <c r="A99" s="78" t="s">
        <v>23</v>
      </c>
      <c r="B99" s="79"/>
      <c r="C99" s="80"/>
      <c r="D99" s="79"/>
      <c r="E99" s="74"/>
      <c r="F99" s="26">
        <v>0</v>
      </c>
      <c r="G99" s="26"/>
      <c r="H99" s="84">
        <v>2.5499999999999998</v>
      </c>
      <c r="I99" s="75"/>
      <c r="J99" s="76">
        <f t="shared" si="42"/>
        <v>0</v>
      </c>
      <c r="K99" s="26"/>
      <c r="L99" s="29">
        <f t="shared" si="40"/>
        <v>0</v>
      </c>
      <c r="M99" s="26"/>
      <c r="N99" s="76"/>
      <c r="O99" s="31"/>
      <c r="P99" s="76">
        <f t="shared" si="43"/>
        <v>0</v>
      </c>
      <c r="Q99" s="26"/>
      <c r="R99" s="82">
        <f t="shared" si="41"/>
        <v>2.827311873171932</v>
      </c>
      <c r="S99" s="75"/>
      <c r="T99" s="83">
        <f t="shared" si="44"/>
        <v>0</v>
      </c>
      <c r="U99" s="75"/>
      <c r="V99" s="75"/>
      <c r="W99" s="56"/>
      <c r="X99" s="45"/>
      <c r="Y99" s="46"/>
      <c r="Z99" s="46"/>
      <c r="AA99" s="46"/>
      <c r="AB99" s="46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18"/>
      <c r="AS99" s="48"/>
      <c r="AT99" s="18"/>
      <c r="AU99" s="19"/>
      <c r="AV99" s="18"/>
    </row>
    <row r="100" spans="1:48" s="97" customFormat="1" ht="12.75" thickBot="1">
      <c r="A100" s="88" t="s">
        <v>51</v>
      </c>
      <c r="B100" s="89">
        <f>SUM(B93:B99)</f>
        <v>161</v>
      </c>
      <c r="C100" s="90"/>
      <c r="D100" s="89">
        <f>SUM(D93:D99)</f>
        <v>12</v>
      </c>
      <c r="E100" s="90"/>
      <c r="F100" s="89">
        <f>SUM(F93:F99)</f>
        <v>108</v>
      </c>
      <c r="G100" s="62"/>
      <c r="H100" s="64"/>
      <c r="I100" s="63"/>
      <c r="J100" s="91">
        <f>SUM(J93:J99)</f>
        <v>666.5</v>
      </c>
      <c r="K100" s="62"/>
      <c r="L100" s="91">
        <f>SUM(L93:L99)</f>
        <v>666.5</v>
      </c>
      <c r="M100" s="62"/>
      <c r="N100" s="89">
        <f>SUM(N93:N99)</f>
        <v>12</v>
      </c>
      <c r="O100" s="67"/>
      <c r="P100" s="89">
        <f>SUM(P93:P99)</f>
        <v>108</v>
      </c>
      <c r="Q100" s="62"/>
      <c r="R100" s="32"/>
      <c r="S100" s="90"/>
      <c r="T100" s="91">
        <f>SUM(T93:T99)</f>
        <v>738.98171116435003</v>
      </c>
      <c r="U100" s="90"/>
      <c r="V100" s="90"/>
      <c r="W100" s="87"/>
      <c r="X100" s="93"/>
      <c r="Y100" s="94"/>
      <c r="Z100" s="94"/>
      <c r="AA100" s="94"/>
      <c r="AB100" s="94"/>
      <c r="AC100" s="94"/>
      <c r="AD100" s="94" t="s">
        <v>25</v>
      </c>
      <c r="AE100" s="70"/>
      <c r="AF100" s="63"/>
      <c r="AG100" s="90"/>
      <c r="AH100" s="90"/>
      <c r="AI100" s="90"/>
      <c r="AJ100" s="63"/>
      <c r="AK100" s="95"/>
      <c r="AL100" s="63"/>
      <c r="AM100" s="95"/>
      <c r="AN100" s="63"/>
      <c r="AO100" s="95"/>
      <c r="AP100" s="63"/>
      <c r="AQ100" s="95"/>
      <c r="AR100" s="96"/>
      <c r="AS100" s="96"/>
      <c r="AT100" s="96"/>
      <c r="AU100" s="96"/>
      <c r="AV100" s="96"/>
    </row>
    <row r="101" spans="1:48" ht="12.75" thickTop="1">
      <c r="A101" s="88"/>
      <c r="B101" s="79"/>
      <c r="C101" s="80"/>
      <c r="D101" s="79"/>
      <c r="E101" s="74"/>
      <c r="F101" s="26"/>
      <c r="G101" s="26"/>
      <c r="H101" s="28"/>
      <c r="I101" s="75"/>
      <c r="J101" s="29"/>
      <c r="K101" s="26"/>
      <c r="L101" s="29"/>
      <c r="M101" s="26"/>
      <c r="N101" s="76"/>
      <c r="O101" s="31"/>
      <c r="P101" s="76"/>
      <c r="Q101" s="26"/>
      <c r="R101" s="32"/>
      <c r="S101" s="75"/>
      <c r="T101" s="33"/>
      <c r="U101" s="75"/>
      <c r="V101" s="75"/>
      <c r="W101" s="34"/>
      <c r="X101" s="45"/>
      <c r="Y101" s="46"/>
      <c r="Z101" s="46"/>
      <c r="AA101" s="46"/>
      <c r="AB101" s="46"/>
      <c r="AC101" s="46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18"/>
      <c r="AS101" s="18"/>
      <c r="AT101" s="18"/>
      <c r="AU101" s="19"/>
      <c r="AV101" s="18"/>
    </row>
    <row r="102" spans="1:48" ht="12.75" thickBot="1">
      <c r="A102" s="98" t="s">
        <v>52</v>
      </c>
      <c r="B102" s="79"/>
      <c r="C102" s="80"/>
      <c r="D102" s="79"/>
      <c r="E102" s="74"/>
      <c r="F102" s="26"/>
      <c r="G102" s="26"/>
      <c r="H102" s="28"/>
      <c r="I102" s="75"/>
      <c r="J102" s="29"/>
      <c r="K102" s="26"/>
      <c r="L102" s="99">
        <f>+L100/$D100</f>
        <v>55.541666666666664</v>
      </c>
      <c r="M102" s="26"/>
      <c r="N102" s="76"/>
      <c r="O102" s="31"/>
      <c r="P102" s="76"/>
      <c r="Q102" s="26"/>
      <c r="R102" s="32"/>
      <c r="S102" s="75"/>
      <c r="T102" s="99">
        <f>+T100/$D100</f>
        <v>61.581809263695838</v>
      </c>
      <c r="U102" s="75">
        <f>+T102-L102</f>
        <v>6.040142597029174</v>
      </c>
      <c r="V102" s="75">
        <f>U102/L102</f>
        <v>0.10874975418507141</v>
      </c>
      <c r="W102" s="34"/>
      <c r="X102" s="45"/>
      <c r="Y102" s="46"/>
      <c r="Z102" s="46"/>
      <c r="AA102" s="46"/>
      <c r="AB102" s="46"/>
      <c r="AC102" s="46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18"/>
      <c r="AS102" s="18"/>
      <c r="AT102" s="18"/>
      <c r="AU102" s="19"/>
      <c r="AV102" s="18"/>
    </row>
    <row r="103" spans="1:48" ht="12.75" thickTop="1">
      <c r="A103" s="98"/>
      <c r="B103" s="79"/>
      <c r="C103" s="80"/>
      <c r="D103" s="79"/>
      <c r="E103" s="74"/>
      <c r="F103" s="26"/>
      <c r="G103" s="26"/>
      <c r="H103" s="28"/>
      <c r="I103" s="75"/>
      <c r="J103" s="29"/>
      <c r="K103" s="26"/>
      <c r="L103" s="29"/>
      <c r="M103" s="26"/>
      <c r="N103" s="76"/>
      <c r="O103" s="31"/>
      <c r="P103" s="76"/>
      <c r="Q103" s="26"/>
      <c r="R103" s="32"/>
      <c r="S103" s="75"/>
      <c r="T103" s="33"/>
      <c r="U103" s="75"/>
      <c r="V103" s="75"/>
      <c r="W103" s="34"/>
      <c r="X103" s="45"/>
      <c r="Y103" s="46"/>
      <c r="Z103" s="46"/>
      <c r="AA103" s="46"/>
      <c r="AB103" s="46"/>
      <c r="AC103" s="46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18"/>
      <c r="AS103" s="18"/>
      <c r="AT103" s="18"/>
      <c r="AU103" s="19"/>
      <c r="AV103" s="18"/>
    </row>
    <row r="104" spans="1:48">
      <c r="A104" s="73" t="s">
        <v>53</v>
      </c>
      <c r="B104" s="26">
        <v>8956</v>
      </c>
      <c r="C104" s="74"/>
      <c r="D104" s="26"/>
      <c r="E104" s="74"/>
      <c r="F104" s="26"/>
      <c r="G104" s="26"/>
      <c r="H104" s="28"/>
      <c r="I104" s="75"/>
      <c r="J104" s="29"/>
      <c r="K104" s="26"/>
      <c r="L104" s="29"/>
      <c r="M104" s="26"/>
      <c r="N104" s="76"/>
      <c r="O104" s="31"/>
      <c r="P104" s="76"/>
      <c r="Q104" s="26"/>
      <c r="R104" s="32"/>
      <c r="S104" s="74"/>
      <c r="T104" s="77"/>
      <c r="U104" s="74"/>
      <c r="V104" s="74"/>
      <c r="W104" s="56"/>
      <c r="X104" s="45"/>
      <c r="Y104" s="46"/>
      <c r="Z104" s="46"/>
      <c r="AA104" s="46"/>
      <c r="AB104" s="46"/>
      <c r="AC104" s="46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8"/>
      <c r="AS104" s="48"/>
      <c r="AT104" s="48"/>
      <c r="AU104" s="48"/>
      <c r="AV104" s="48"/>
    </row>
    <row r="105" spans="1:48">
      <c r="A105" s="78" t="s">
        <v>54</v>
      </c>
      <c r="B105" s="79"/>
      <c r="C105" s="80"/>
      <c r="D105" s="79">
        <v>210.99999999999972</v>
      </c>
      <c r="E105" s="74"/>
      <c r="F105" s="26"/>
      <c r="G105" s="26"/>
      <c r="H105" s="81">
        <v>51.22</v>
      </c>
      <c r="I105" s="75"/>
      <c r="J105" s="29">
        <f>+D105*H105</f>
        <v>10807.419999999986</v>
      </c>
      <c r="K105" s="26"/>
      <c r="L105" s="29">
        <f>+J105</f>
        <v>10807.419999999986</v>
      </c>
      <c r="M105" s="26"/>
      <c r="N105" s="76">
        <f>+D105</f>
        <v>210.99999999999972</v>
      </c>
      <c r="O105" s="31"/>
      <c r="P105" s="76"/>
      <c r="Q105" s="26"/>
      <c r="R105" s="82">
        <f>+H105*(1+$W$5)</f>
        <v>56.790162409359361</v>
      </c>
      <c r="S105" s="75"/>
      <c r="T105" s="83">
        <f>+N105*R105</f>
        <v>11982.724268374808</v>
      </c>
      <c r="U105" s="75"/>
      <c r="V105" s="75"/>
      <c r="W105" s="34"/>
      <c r="X105" s="45"/>
      <c r="Y105" s="46"/>
      <c r="Z105" s="46"/>
      <c r="AA105" s="46"/>
      <c r="AB105" s="46"/>
      <c r="AC105" s="46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18"/>
      <c r="AS105" s="18"/>
      <c r="AT105" s="18"/>
      <c r="AU105" s="19"/>
      <c r="AV105" s="18"/>
    </row>
    <row r="106" spans="1:48">
      <c r="A106" s="78" t="s">
        <v>55</v>
      </c>
      <c r="B106" s="79"/>
      <c r="C106" s="80"/>
      <c r="D106" s="79"/>
      <c r="E106" s="74"/>
      <c r="F106" s="26">
        <v>1431.9999999999986</v>
      </c>
      <c r="G106" s="26"/>
      <c r="H106" s="84">
        <v>3.29</v>
      </c>
      <c r="I106" s="75"/>
      <c r="J106" s="76">
        <f>+F106*H106</f>
        <v>4711.2799999999952</v>
      </c>
      <c r="K106" s="26"/>
      <c r="L106" s="29">
        <f t="shared" ref="L106:L109" si="45">+J106</f>
        <v>4711.2799999999952</v>
      </c>
      <c r="M106" s="26"/>
      <c r="N106" s="76"/>
      <c r="O106" s="31"/>
      <c r="P106" s="76">
        <f>+F106</f>
        <v>1431.9999999999986</v>
      </c>
      <c r="Q106" s="26"/>
      <c r="R106" s="82">
        <f t="shared" ref="R106:R109" si="46">+H106*(1+$W$5)</f>
        <v>3.6477866912688852</v>
      </c>
      <c r="S106" s="75"/>
      <c r="T106" s="83">
        <f>+P106*R106</f>
        <v>5223.6305418970387</v>
      </c>
      <c r="U106" s="75"/>
      <c r="V106" s="75"/>
      <c r="W106" s="34"/>
      <c r="X106" s="45"/>
      <c r="Y106" s="46"/>
      <c r="Z106" s="46"/>
      <c r="AA106" s="46"/>
      <c r="AB106" s="46"/>
      <c r="AC106" s="46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18"/>
      <c r="AS106" s="18"/>
      <c r="AT106" s="18"/>
      <c r="AU106" s="19"/>
      <c r="AV106" s="18"/>
    </row>
    <row r="107" spans="1:48">
      <c r="A107" s="78" t="s">
        <v>21</v>
      </c>
      <c r="B107" s="79"/>
      <c r="C107" s="80"/>
      <c r="D107" s="79"/>
      <c r="E107" s="74"/>
      <c r="F107" s="26">
        <v>2460</v>
      </c>
      <c r="G107" s="26"/>
      <c r="H107" s="84">
        <v>3.12</v>
      </c>
      <c r="I107" s="75"/>
      <c r="J107" s="76">
        <f t="shared" ref="J107:J109" si="47">+F107*H107</f>
        <v>7675.2</v>
      </c>
      <c r="K107" s="26"/>
      <c r="L107" s="29">
        <f t="shared" si="45"/>
        <v>7675.2</v>
      </c>
      <c r="M107" s="26"/>
      <c r="N107" s="76"/>
      <c r="O107" s="31"/>
      <c r="P107" s="76">
        <f t="shared" ref="P107:P109" si="48">+F107</f>
        <v>2460</v>
      </c>
      <c r="Q107" s="26"/>
      <c r="R107" s="82">
        <f t="shared" si="46"/>
        <v>3.4592992330574233</v>
      </c>
      <c r="S107" s="75"/>
      <c r="T107" s="83">
        <f t="shared" ref="T107:T109" si="49">+P107*R107</f>
        <v>8509.8761133212611</v>
      </c>
      <c r="U107" s="75"/>
      <c r="V107" s="75"/>
      <c r="W107" s="56"/>
      <c r="X107" s="45"/>
      <c r="Y107" s="46"/>
      <c r="Z107" s="46"/>
      <c r="AA107" s="46"/>
      <c r="AB107" s="46"/>
      <c r="AC107" s="46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18"/>
      <c r="AS107" s="18"/>
      <c r="AT107" s="18"/>
      <c r="AU107" s="19"/>
      <c r="AV107" s="18"/>
    </row>
    <row r="108" spans="1:48">
      <c r="A108" s="78" t="s">
        <v>22</v>
      </c>
      <c r="B108" s="79"/>
      <c r="C108" s="80"/>
      <c r="D108" s="79"/>
      <c r="E108" s="74"/>
      <c r="F108" s="26">
        <v>1986.0000000000002</v>
      </c>
      <c r="G108" s="26"/>
      <c r="H108" s="84">
        <v>2.79</v>
      </c>
      <c r="I108" s="75"/>
      <c r="J108" s="76">
        <f t="shared" si="47"/>
        <v>5540.9400000000005</v>
      </c>
      <c r="K108" s="26"/>
      <c r="L108" s="29">
        <f t="shared" si="45"/>
        <v>5540.9400000000005</v>
      </c>
      <c r="M108" s="26"/>
      <c r="N108" s="76"/>
      <c r="O108" s="31"/>
      <c r="P108" s="76">
        <f t="shared" si="48"/>
        <v>1986.0000000000002</v>
      </c>
      <c r="Q108" s="26"/>
      <c r="R108" s="82">
        <f t="shared" si="46"/>
        <v>3.0934118141763496</v>
      </c>
      <c r="S108" s="75"/>
      <c r="T108" s="83">
        <f t="shared" si="49"/>
        <v>6143.5158629542311</v>
      </c>
      <c r="U108" s="75"/>
      <c r="V108" s="75"/>
      <c r="W108" s="56"/>
      <c r="X108" s="45"/>
      <c r="Y108" s="46"/>
      <c r="Z108" s="46"/>
      <c r="AA108" s="46"/>
      <c r="AB108" s="46"/>
      <c r="AC108" s="46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18"/>
      <c r="AS108" s="48"/>
      <c r="AT108" s="18"/>
      <c r="AU108" s="19"/>
      <c r="AV108" s="18"/>
    </row>
    <row r="109" spans="1:48">
      <c r="A109" s="78" t="s">
        <v>23</v>
      </c>
      <c r="B109" s="79"/>
      <c r="C109" s="80"/>
      <c r="D109" s="79"/>
      <c r="E109" s="74"/>
      <c r="F109" s="26">
        <v>1088</v>
      </c>
      <c r="G109" s="26"/>
      <c r="H109" s="84">
        <v>2.5499999999999998</v>
      </c>
      <c r="I109" s="75"/>
      <c r="J109" s="76">
        <f t="shared" si="47"/>
        <v>2774.3999999999996</v>
      </c>
      <c r="K109" s="26"/>
      <c r="L109" s="29">
        <f t="shared" si="45"/>
        <v>2774.3999999999996</v>
      </c>
      <c r="M109" s="26"/>
      <c r="N109" s="76"/>
      <c r="O109" s="31"/>
      <c r="P109" s="76">
        <f t="shared" si="48"/>
        <v>1088</v>
      </c>
      <c r="Q109" s="26"/>
      <c r="R109" s="82">
        <f t="shared" si="46"/>
        <v>2.827311873171932</v>
      </c>
      <c r="S109" s="75"/>
      <c r="T109" s="83">
        <f t="shared" si="49"/>
        <v>3076.1153180110618</v>
      </c>
      <c r="U109" s="75"/>
      <c r="V109" s="75"/>
      <c r="W109" s="56"/>
      <c r="X109" s="45"/>
      <c r="Y109" s="46"/>
      <c r="Z109" s="46"/>
      <c r="AA109" s="46"/>
      <c r="AB109" s="46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18"/>
      <c r="AS109" s="48"/>
      <c r="AT109" s="18"/>
      <c r="AU109" s="19"/>
      <c r="AV109" s="18"/>
    </row>
    <row r="110" spans="1:48" s="97" customFormat="1" ht="12.75" thickBot="1">
      <c r="A110" s="88" t="s">
        <v>56</v>
      </c>
      <c r="B110" s="103">
        <f>SUM(B104:B109)</f>
        <v>8956</v>
      </c>
      <c r="C110" s="90"/>
      <c r="D110" s="103">
        <f>SUM(D104:D109)</f>
        <v>210.99999999999972</v>
      </c>
      <c r="E110" s="90"/>
      <c r="F110" s="103">
        <f>SUM(F104:F109)</f>
        <v>6965.9999999999991</v>
      </c>
      <c r="G110" s="62"/>
      <c r="H110" s="64"/>
      <c r="I110" s="63"/>
      <c r="J110" s="104">
        <f>SUM(J105:J109)</f>
        <v>31509.239999999983</v>
      </c>
      <c r="K110" s="62"/>
      <c r="L110" s="104">
        <f>SUM(L105:L109)</f>
        <v>31509.239999999983</v>
      </c>
      <c r="M110" s="62"/>
      <c r="N110" s="103">
        <f>SUM(N104:N109)</f>
        <v>210.99999999999972</v>
      </c>
      <c r="O110" s="67"/>
      <c r="P110" s="103">
        <f>SUM(P104:P109)</f>
        <v>6965.9999999999991</v>
      </c>
      <c r="Q110" s="62"/>
      <c r="R110" s="82"/>
      <c r="S110" s="90"/>
      <c r="T110" s="104">
        <f>SUM(T105:T109)</f>
        <v>34935.8621045584</v>
      </c>
      <c r="U110" s="90"/>
      <c r="V110" s="90"/>
      <c r="W110" s="87"/>
      <c r="X110" s="93"/>
      <c r="Y110" s="94"/>
      <c r="Z110" s="94"/>
      <c r="AA110" s="94"/>
      <c r="AB110" s="94"/>
      <c r="AC110" s="94"/>
      <c r="AD110" s="94" t="s">
        <v>25</v>
      </c>
      <c r="AE110" s="70"/>
      <c r="AF110" s="63"/>
      <c r="AG110" s="90"/>
      <c r="AH110" s="90"/>
      <c r="AI110" s="90"/>
      <c r="AJ110" s="63"/>
      <c r="AK110" s="95"/>
      <c r="AL110" s="63"/>
      <c r="AM110" s="95"/>
      <c r="AN110" s="63"/>
      <c r="AO110" s="95"/>
      <c r="AP110" s="63"/>
      <c r="AQ110" s="95"/>
      <c r="AR110" s="96"/>
      <c r="AS110" s="96"/>
      <c r="AT110" s="96"/>
      <c r="AU110" s="96"/>
      <c r="AV110" s="96"/>
    </row>
    <row r="111" spans="1:48" ht="12.75" thickTop="1">
      <c r="A111" s="88"/>
      <c r="B111" s="79"/>
      <c r="C111" s="80"/>
      <c r="D111" s="79"/>
      <c r="E111" s="74"/>
      <c r="F111" s="26"/>
      <c r="G111" s="26"/>
      <c r="H111" s="28"/>
      <c r="I111" s="75"/>
      <c r="J111" s="29"/>
      <c r="K111" s="26"/>
      <c r="L111" s="29"/>
      <c r="M111" s="26"/>
      <c r="N111" s="76"/>
      <c r="O111" s="31"/>
      <c r="P111" s="76"/>
      <c r="Q111" s="26"/>
      <c r="R111" s="32"/>
      <c r="S111" s="75"/>
      <c r="T111" s="33"/>
      <c r="U111" s="75"/>
      <c r="V111" s="75"/>
      <c r="W111" s="34"/>
      <c r="X111" s="45"/>
      <c r="Y111" s="46"/>
      <c r="Z111" s="46"/>
      <c r="AA111" s="46"/>
      <c r="AB111" s="46"/>
      <c r="AC111" s="46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8"/>
      <c r="AS111" s="18"/>
      <c r="AT111" s="18"/>
      <c r="AU111" s="19"/>
      <c r="AV111" s="18"/>
    </row>
    <row r="112" spans="1:48" ht="12.75" thickBot="1">
      <c r="A112" s="98" t="s">
        <v>57</v>
      </c>
      <c r="B112" s="79"/>
      <c r="C112" s="80"/>
      <c r="D112" s="79"/>
      <c r="E112" s="74"/>
      <c r="F112" s="26"/>
      <c r="G112" s="26"/>
      <c r="H112" s="28"/>
      <c r="I112" s="75"/>
      <c r="J112" s="29"/>
      <c r="K112" s="26"/>
      <c r="L112" s="99">
        <f>+L110/$D110</f>
        <v>149.33289099526078</v>
      </c>
      <c r="M112" s="26"/>
      <c r="N112" s="76"/>
      <c r="O112" s="31"/>
      <c r="P112" s="76"/>
      <c r="Q112" s="26"/>
      <c r="R112" s="32"/>
      <c r="S112" s="75"/>
      <c r="T112" s="99">
        <f>+T110/$D110</f>
        <v>165.57280618274146</v>
      </c>
      <c r="U112" s="75">
        <f>+T112-L112</f>
        <v>16.239915187480676</v>
      </c>
      <c r="V112" s="75">
        <f>U112/L112</f>
        <v>0.10874975418507142</v>
      </c>
      <c r="W112" s="34"/>
      <c r="X112" s="45"/>
      <c r="Y112" s="46"/>
      <c r="Z112" s="46"/>
      <c r="AA112" s="46"/>
      <c r="AB112" s="46"/>
      <c r="AC112" s="46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8"/>
      <c r="AS112" s="18"/>
      <c r="AT112" s="18"/>
      <c r="AU112" s="19"/>
      <c r="AV112" s="18"/>
    </row>
    <row r="113" spans="1:48" ht="12.75" thickTop="1">
      <c r="A113" s="73" t="s">
        <v>58</v>
      </c>
      <c r="B113" s="26">
        <v>2887</v>
      </c>
      <c r="C113" s="74"/>
      <c r="D113" s="26"/>
      <c r="E113" s="74"/>
      <c r="F113" s="26"/>
      <c r="G113" s="26"/>
      <c r="H113" s="28"/>
      <c r="I113" s="75"/>
      <c r="J113" s="29"/>
      <c r="K113" s="26"/>
      <c r="L113" s="29"/>
      <c r="M113" s="26"/>
      <c r="N113" s="76"/>
      <c r="O113" s="31"/>
      <c r="P113" s="76"/>
      <c r="Q113" s="26"/>
      <c r="R113" s="32"/>
      <c r="S113" s="74"/>
      <c r="T113" s="77"/>
      <c r="U113" s="74"/>
      <c r="V113" s="74"/>
      <c r="W113" s="56"/>
      <c r="X113" s="45"/>
      <c r="Y113" s="46"/>
      <c r="Z113" s="46"/>
      <c r="AA113" s="46"/>
      <c r="AB113" s="46"/>
      <c r="AC113" s="46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48"/>
      <c r="AS113" s="48"/>
      <c r="AT113" s="48"/>
      <c r="AU113" s="48"/>
      <c r="AV113" s="48"/>
    </row>
    <row r="114" spans="1:48">
      <c r="A114" s="78" t="s">
        <v>54</v>
      </c>
      <c r="B114" s="79"/>
      <c r="C114" s="80"/>
      <c r="D114" s="79">
        <v>59.999999999999936</v>
      </c>
      <c r="E114" s="74"/>
      <c r="F114" s="26"/>
      <c r="G114" s="26"/>
      <c r="H114" s="81">
        <v>51.22</v>
      </c>
      <c r="I114" s="75"/>
      <c r="J114" s="29">
        <f>+D114*H114</f>
        <v>3073.1999999999966</v>
      </c>
      <c r="K114" s="26"/>
      <c r="L114" s="29">
        <f>+J114</f>
        <v>3073.1999999999966</v>
      </c>
      <c r="M114" s="26"/>
      <c r="N114" s="76">
        <f>+D114</f>
        <v>59.999999999999936</v>
      </c>
      <c r="O114" s="31"/>
      <c r="P114" s="76"/>
      <c r="Q114" s="26"/>
      <c r="R114" s="82">
        <f>+H114*(1+$W$5)</f>
        <v>56.790162409359361</v>
      </c>
      <c r="S114" s="75"/>
      <c r="T114" s="83">
        <f>+N114*R114</f>
        <v>3407.409744561558</v>
      </c>
      <c r="U114" s="75"/>
      <c r="V114" s="75"/>
      <c r="W114" s="34"/>
      <c r="X114" s="45"/>
      <c r="Y114" s="46"/>
      <c r="Z114" s="46"/>
      <c r="AA114" s="46"/>
      <c r="AB114" s="46"/>
      <c r="AC114" s="46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18"/>
      <c r="AS114" s="18"/>
      <c r="AT114" s="18"/>
      <c r="AU114" s="19"/>
      <c r="AV114" s="18"/>
    </row>
    <row r="115" spans="1:48">
      <c r="A115" s="78" t="s">
        <v>55</v>
      </c>
      <c r="B115" s="79"/>
      <c r="C115" s="80"/>
      <c r="D115" s="79"/>
      <c r="E115" s="74"/>
      <c r="F115" s="26">
        <v>344.00000000000011</v>
      </c>
      <c r="G115" s="26"/>
      <c r="H115" s="84">
        <v>3.29</v>
      </c>
      <c r="I115" s="75"/>
      <c r="J115" s="76">
        <f>+F115*H115</f>
        <v>1131.7600000000004</v>
      </c>
      <c r="K115" s="26"/>
      <c r="L115" s="29">
        <f t="shared" ref="L115:L118" si="50">+J115</f>
        <v>1131.7600000000004</v>
      </c>
      <c r="M115" s="26"/>
      <c r="N115" s="76"/>
      <c r="O115" s="31"/>
      <c r="P115" s="76">
        <f>+F115</f>
        <v>344.00000000000011</v>
      </c>
      <c r="Q115" s="26"/>
      <c r="R115" s="82">
        <f t="shared" ref="R115:R118" si="51">+H115*(1+$W$5)</f>
        <v>3.6477866912688852</v>
      </c>
      <c r="S115" s="75"/>
      <c r="T115" s="83">
        <f>+P115*R115</f>
        <v>1254.8386217964969</v>
      </c>
      <c r="U115" s="75"/>
      <c r="V115" s="75"/>
      <c r="W115" s="34"/>
      <c r="X115" s="45"/>
      <c r="Y115" s="46"/>
      <c r="Z115" s="46"/>
      <c r="AA115" s="46"/>
      <c r="AB115" s="46"/>
      <c r="AC115" s="46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18"/>
      <c r="AS115" s="18"/>
      <c r="AT115" s="18"/>
      <c r="AU115" s="19"/>
      <c r="AV115" s="18"/>
    </row>
    <row r="116" spans="1:48">
      <c r="A116" s="78" t="s">
        <v>21</v>
      </c>
      <c r="B116" s="79"/>
      <c r="C116" s="80"/>
      <c r="D116" s="79"/>
      <c r="E116" s="74"/>
      <c r="F116" s="26">
        <v>602</v>
      </c>
      <c r="G116" s="26"/>
      <c r="H116" s="84">
        <v>3.12</v>
      </c>
      <c r="I116" s="75"/>
      <c r="J116" s="76">
        <f t="shared" ref="J116:J118" si="52">+F116*H116</f>
        <v>1878.24</v>
      </c>
      <c r="K116" s="26"/>
      <c r="L116" s="29">
        <f t="shared" si="50"/>
        <v>1878.24</v>
      </c>
      <c r="M116" s="26"/>
      <c r="N116" s="76"/>
      <c r="O116" s="31"/>
      <c r="P116" s="76">
        <f t="shared" ref="P116:P118" si="53">+F116</f>
        <v>602</v>
      </c>
      <c r="Q116" s="26"/>
      <c r="R116" s="82">
        <f t="shared" si="51"/>
        <v>3.4592992330574233</v>
      </c>
      <c r="S116" s="75"/>
      <c r="T116" s="83">
        <f t="shared" ref="T116:T118" si="54">+P116*R116</f>
        <v>2082.4981383005688</v>
      </c>
      <c r="U116" s="75"/>
      <c r="V116" s="75"/>
      <c r="W116" s="56"/>
      <c r="X116" s="45"/>
      <c r="Y116" s="46"/>
      <c r="Z116" s="46"/>
      <c r="AA116" s="46"/>
      <c r="AB116" s="46"/>
      <c r="AC116" s="46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18"/>
      <c r="AS116" s="18"/>
      <c r="AT116" s="18"/>
      <c r="AU116" s="19"/>
      <c r="AV116" s="18"/>
    </row>
    <row r="117" spans="1:48">
      <c r="A117" s="78" t="s">
        <v>22</v>
      </c>
      <c r="B117" s="79"/>
      <c r="C117" s="80"/>
      <c r="D117" s="79"/>
      <c r="E117" s="74"/>
      <c r="F117" s="26">
        <v>553</v>
      </c>
      <c r="G117" s="26"/>
      <c r="H117" s="84">
        <v>2.79</v>
      </c>
      <c r="I117" s="75"/>
      <c r="J117" s="76">
        <f t="shared" si="52"/>
        <v>1542.8700000000001</v>
      </c>
      <c r="K117" s="26"/>
      <c r="L117" s="29">
        <f t="shared" si="50"/>
        <v>1542.8700000000001</v>
      </c>
      <c r="M117" s="26"/>
      <c r="N117" s="76"/>
      <c r="O117" s="31"/>
      <c r="P117" s="76">
        <f t="shared" si="53"/>
        <v>553</v>
      </c>
      <c r="Q117" s="26"/>
      <c r="R117" s="82">
        <f t="shared" si="51"/>
        <v>3.0934118141763496</v>
      </c>
      <c r="S117" s="75"/>
      <c r="T117" s="83">
        <f t="shared" si="54"/>
        <v>1710.6567332395214</v>
      </c>
      <c r="U117" s="75"/>
      <c r="V117" s="75"/>
      <c r="W117" s="56"/>
      <c r="X117" s="45"/>
      <c r="Y117" s="46"/>
      <c r="Z117" s="46"/>
      <c r="AA117" s="46"/>
      <c r="AB117" s="46"/>
      <c r="AC117" s="46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18"/>
      <c r="AS117" s="48"/>
      <c r="AT117" s="18"/>
      <c r="AU117" s="19"/>
      <c r="AV117" s="18"/>
    </row>
    <row r="118" spans="1:48">
      <c r="A118" s="78" t="s">
        <v>23</v>
      </c>
      <c r="B118" s="79"/>
      <c r="C118" s="80"/>
      <c r="D118" s="79"/>
      <c r="E118" s="74"/>
      <c r="F118" s="26">
        <v>911</v>
      </c>
      <c r="G118" s="26"/>
      <c r="H118" s="84">
        <v>2.5499999999999998</v>
      </c>
      <c r="I118" s="75"/>
      <c r="J118" s="76">
        <f t="shared" si="52"/>
        <v>2323.0499999999997</v>
      </c>
      <c r="K118" s="26"/>
      <c r="L118" s="29">
        <f t="shared" si="50"/>
        <v>2323.0499999999997</v>
      </c>
      <c r="M118" s="26"/>
      <c r="N118" s="76"/>
      <c r="O118" s="31"/>
      <c r="P118" s="76">
        <f t="shared" si="53"/>
        <v>911</v>
      </c>
      <c r="Q118" s="26"/>
      <c r="R118" s="82">
        <f t="shared" si="51"/>
        <v>2.827311873171932</v>
      </c>
      <c r="S118" s="75"/>
      <c r="T118" s="83">
        <f t="shared" si="54"/>
        <v>2575.6811164596302</v>
      </c>
      <c r="U118" s="75"/>
      <c r="V118" s="75"/>
      <c r="W118" s="56"/>
      <c r="X118" s="45"/>
      <c r="Y118" s="46"/>
      <c r="Z118" s="46"/>
      <c r="AA118" s="46"/>
      <c r="AB118" s="46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18"/>
      <c r="AS118" s="48"/>
      <c r="AT118" s="18"/>
      <c r="AU118" s="19"/>
      <c r="AV118" s="18"/>
    </row>
    <row r="119" spans="1:48" s="97" customFormat="1" ht="12.75" thickBot="1">
      <c r="A119" s="88" t="s">
        <v>59</v>
      </c>
      <c r="B119" s="103">
        <f>SUM(B113:B118)</f>
        <v>2887</v>
      </c>
      <c r="C119" s="90"/>
      <c r="D119" s="103">
        <f>SUM(D113:D118)</f>
        <v>59.999999999999936</v>
      </c>
      <c r="E119" s="90"/>
      <c r="F119" s="103">
        <f>SUM(F113:F118)</f>
        <v>2410</v>
      </c>
      <c r="G119" s="62"/>
      <c r="H119" s="64"/>
      <c r="I119" s="63"/>
      <c r="J119" s="104">
        <f>SUM(J114:J118)</f>
        <v>9949.1199999999972</v>
      </c>
      <c r="K119" s="62"/>
      <c r="L119" s="104">
        <f>SUM(L114:L118)</f>
        <v>9949.1199999999972</v>
      </c>
      <c r="M119" s="62"/>
      <c r="N119" s="103">
        <f>SUM(N113:N118)</f>
        <v>59.999999999999936</v>
      </c>
      <c r="O119" s="67"/>
      <c r="P119" s="103">
        <f>SUM(P113:P118)</f>
        <v>2410</v>
      </c>
      <c r="Q119" s="62"/>
      <c r="R119" s="82"/>
      <c r="S119" s="90"/>
      <c r="T119" s="104">
        <f>SUM(T114:T118)</f>
        <v>11031.084354357776</v>
      </c>
      <c r="U119" s="90"/>
      <c r="V119" s="90"/>
      <c r="W119" s="87"/>
      <c r="X119" s="93"/>
      <c r="Y119" s="94"/>
      <c r="Z119" s="94"/>
      <c r="AA119" s="94"/>
      <c r="AB119" s="94"/>
      <c r="AC119" s="94"/>
      <c r="AD119" s="94" t="s">
        <v>25</v>
      </c>
      <c r="AE119" s="70"/>
      <c r="AF119" s="63"/>
      <c r="AG119" s="90"/>
      <c r="AH119" s="90"/>
      <c r="AI119" s="90"/>
      <c r="AJ119" s="63"/>
      <c r="AK119" s="95"/>
      <c r="AL119" s="63"/>
      <c r="AM119" s="95"/>
      <c r="AN119" s="63"/>
      <c r="AO119" s="95"/>
      <c r="AP119" s="63"/>
      <c r="AQ119" s="95"/>
      <c r="AR119" s="96"/>
      <c r="AS119" s="96"/>
      <c r="AT119" s="96"/>
      <c r="AU119" s="96"/>
      <c r="AV119" s="96"/>
    </row>
    <row r="120" spans="1:48" ht="12.75" thickTop="1">
      <c r="A120" s="88"/>
      <c r="B120" s="79"/>
      <c r="C120" s="80"/>
      <c r="D120" s="79"/>
      <c r="E120" s="74"/>
      <c r="F120" s="26"/>
      <c r="G120" s="26"/>
      <c r="H120" s="28"/>
      <c r="I120" s="75"/>
      <c r="J120" s="29"/>
      <c r="K120" s="26"/>
      <c r="L120" s="29"/>
      <c r="M120" s="26"/>
      <c r="N120" s="76"/>
      <c r="O120" s="31"/>
      <c r="P120" s="76"/>
      <c r="Q120" s="26"/>
      <c r="R120" s="32"/>
      <c r="S120" s="75"/>
      <c r="T120" s="33"/>
      <c r="U120" s="75"/>
      <c r="V120" s="75"/>
      <c r="W120" s="34"/>
      <c r="X120" s="45"/>
      <c r="Y120" s="46"/>
      <c r="Z120" s="46"/>
      <c r="AA120" s="46"/>
      <c r="AB120" s="46"/>
      <c r="AC120" s="46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18"/>
      <c r="AS120" s="18"/>
      <c r="AT120" s="18"/>
      <c r="AU120" s="19"/>
      <c r="AV120" s="18"/>
    </row>
    <row r="121" spans="1:48" ht="12.75" thickBot="1">
      <c r="A121" s="98" t="s">
        <v>60</v>
      </c>
      <c r="B121" s="79"/>
      <c r="C121" s="80"/>
      <c r="D121" s="79"/>
      <c r="E121" s="74"/>
      <c r="F121" s="26"/>
      <c r="G121" s="26"/>
      <c r="H121" s="28"/>
      <c r="I121" s="75"/>
      <c r="J121" s="29"/>
      <c r="K121" s="26"/>
      <c r="L121" s="99">
        <f>+L119/$D119</f>
        <v>165.81866666666679</v>
      </c>
      <c r="M121" s="26"/>
      <c r="N121" s="76"/>
      <c r="O121" s="31"/>
      <c r="P121" s="76"/>
      <c r="Q121" s="26"/>
      <c r="R121" s="32"/>
      <c r="S121" s="75"/>
      <c r="T121" s="99">
        <f>+T119/$D119</f>
        <v>183.85140590596313</v>
      </c>
      <c r="U121" s="75">
        <f>+T121-L121</f>
        <v>18.032739239296347</v>
      </c>
      <c r="V121" s="75">
        <f>U121/L121</f>
        <v>0.10874975418507166</v>
      </c>
      <c r="W121" s="34"/>
      <c r="X121" s="45"/>
      <c r="Y121" s="46"/>
      <c r="Z121" s="46"/>
      <c r="AA121" s="46"/>
      <c r="AB121" s="46"/>
      <c r="AC121" s="46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18"/>
      <c r="AS121" s="18"/>
      <c r="AT121" s="18"/>
      <c r="AU121" s="19"/>
      <c r="AV121" s="18"/>
    </row>
    <row r="122" spans="1:48" ht="12.75" thickTop="1">
      <c r="A122" s="73" t="s">
        <v>61</v>
      </c>
      <c r="B122" s="26">
        <v>1187</v>
      </c>
      <c r="C122" s="74"/>
      <c r="D122" s="26"/>
      <c r="E122" s="74"/>
      <c r="F122" s="26"/>
      <c r="G122" s="26"/>
      <c r="H122" s="105"/>
      <c r="I122" s="75"/>
      <c r="J122" s="29"/>
      <c r="K122" s="26"/>
      <c r="L122" s="29"/>
      <c r="M122" s="26"/>
      <c r="N122" s="76"/>
      <c r="O122" s="31"/>
      <c r="P122" s="76"/>
      <c r="Q122" s="26"/>
      <c r="R122" s="32"/>
      <c r="S122" s="74"/>
      <c r="T122" s="77"/>
      <c r="U122" s="74"/>
      <c r="V122" s="74"/>
      <c r="W122" s="56"/>
      <c r="X122" s="45"/>
      <c r="Y122" s="46"/>
      <c r="Z122" s="46"/>
      <c r="AA122" s="46"/>
      <c r="AB122" s="46"/>
      <c r="AC122" s="46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48"/>
      <c r="AS122" s="48"/>
      <c r="AT122" s="48"/>
      <c r="AU122" s="48"/>
      <c r="AV122" s="48"/>
    </row>
    <row r="123" spans="1:48">
      <c r="A123" s="78" t="s">
        <v>54</v>
      </c>
      <c r="B123" s="79"/>
      <c r="C123" s="80"/>
      <c r="D123" s="79">
        <v>24.000000000000007</v>
      </c>
      <c r="E123" s="74"/>
      <c r="F123" s="26"/>
      <c r="G123" s="26"/>
      <c r="H123" s="81">
        <v>51.22</v>
      </c>
      <c r="I123" s="75"/>
      <c r="J123" s="29">
        <f>+D123*H123</f>
        <v>1229.2800000000004</v>
      </c>
      <c r="K123" s="26"/>
      <c r="L123" s="29">
        <f>+J123</f>
        <v>1229.2800000000004</v>
      </c>
      <c r="M123" s="26"/>
      <c r="N123" s="76">
        <f>+D123</f>
        <v>24.000000000000007</v>
      </c>
      <c r="O123" s="31"/>
      <c r="P123" s="76"/>
      <c r="Q123" s="26"/>
      <c r="R123" s="82">
        <f>+H123*(1+$W$5)</f>
        <v>56.790162409359361</v>
      </c>
      <c r="S123" s="75"/>
      <c r="T123" s="83">
        <f>+N123*R123</f>
        <v>1362.9638978246251</v>
      </c>
      <c r="U123" s="75"/>
      <c r="V123" s="75"/>
      <c r="W123" s="34"/>
      <c r="X123" s="45"/>
      <c r="Y123" s="46"/>
      <c r="Z123" s="46"/>
      <c r="AA123" s="46"/>
      <c r="AB123" s="46"/>
      <c r="AC123" s="46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18"/>
      <c r="AS123" s="18"/>
      <c r="AT123" s="18"/>
      <c r="AU123" s="19"/>
      <c r="AV123" s="18"/>
    </row>
    <row r="124" spans="1:48">
      <c r="A124" s="78" t="s">
        <v>55</v>
      </c>
      <c r="B124" s="79"/>
      <c r="C124" s="80"/>
      <c r="D124" s="79"/>
      <c r="E124" s="74"/>
      <c r="F124" s="26">
        <v>267.00000000000011</v>
      </c>
      <c r="G124" s="26"/>
      <c r="H124" s="84">
        <v>3.29</v>
      </c>
      <c r="I124" s="75"/>
      <c r="J124" s="76">
        <f>+F124*H124</f>
        <v>878.4300000000004</v>
      </c>
      <c r="K124" s="26"/>
      <c r="L124" s="29">
        <f t="shared" ref="L124:L127" si="55">+J124</f>
        <v>878.4300000000004</v>
      </c>
      <c r="M124" s="26"/>
      <c r="N124" s="76"/>
      <c r="O124" s="31"/>
      <c r="P124" s="76">
        <f>+F124</f>
        <v>267.00000000000011</v>
      </c>
      <c r="Q124" s="26"/>
      <c r="R124" s="82">
        <f t="shared" ref="R124:R127" si="56">+H124*(1+$W$5)</f>
        <v>3.6477866912688852</v>
      </c>
      <c r="S124" s="75"/>
      <c r="T124" s="83">
        <f>+P124*R124</f>
        <v>973.95904656879281</v>
      </c>
      <c r="U124" s="75"/>
      <c r="V124" s="75"/>
      <c r="W124" s="34"/>
      <c r="X124" s="45"/>
      <c r="Y124" s="46"/>
      <c r="Z124" s="46"/>
      <c r="AA124" s="46"/>
      <c r="AB124" s="46"/>
      <c r="AC124" s="46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18"/>
      <c r="AS124" s="18"/>
      <c r="AT124" s="18"/>
      <c r="AU124" s="19"/>
      <c r="AV124" s="18"/>
    </row>
    <row r="125" spans="1:48">
      <c r="A125" s="78" t="s">
        <v>21</v>
      </c>
      <c r="B125" s="79"/>
      <c r="C125" s="80"/>
      <c r="D125" s="79"/>
      <c r="E125" s="74"/>
      <c r="F125" s="26">
        <v>385</v>
      </c>
      <c r="G125" s="26"/>
      <c r="H125" s="84">
        <v>3.12</v>
      </c>
      <c r="I125" s="75"/>
      <c r="J125" s="76">
        <f t="shared" ref="J125:J127" si="57">+F125*H125</f>
        <v>1201.2</v>
      </c>
      <c r="K125" s="26"/>
      <c r="L125" s="29">
        <f t="shared" si="55"/>
        <v>1201.2</v>
      </c>
      <c r="M125" s="26"/>
      <c r="N125" s="76"/>
      <c r="O125" s="31"/>
      <c r="P125" s="76">
        <f t="shared" ref="P125:P127" si="58">+F125</f>
        <v>385</v>
      </c>
      <c r="Q125" s="26"/>
      <c r="R125" s="82">
        <f t="shared" si="56"/>
        <v>3.4592992330574233</v>
      </c>
      <c r="S125" s="75"/>
      <c r="T125" s="83">
        <f t="shared" ref="T125:T127" si="59">+P125*R125</f>
        <v>1331.8302047271079</v>
      </c>
      <c r="U125" s="75"/>
      <c r="V125" s="75"/>
      <c r="W125" s="56"/>
      <c r="X125" s="45"/>
      <c r="Y125" s="46"/>
      <c r="Z125" s="46"/>
      <c r="AA125" s="46"/>
      <c r="AB125" s="46"/>
      <c r="AC125" s="46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18"/>
      <c r="AS125" s="18"/>
      <c r="AT125" s="18"/>
      <c r="AU125" s="19"/>
      <c r="AV125" s="18"/>
    </row>
    <row r="126" spans="1:48">
      <c r="A126" s="78" t="s">
        <v>22</v>
      </c>
      <c r="B126" s="79"/>
      <c r="C126" s="80"/>
      <c r="D126" s="79"/>
      <c r="E126" s="74"/>
      <c r="F126" s="26">
        <v>170</v>
      </c>
      <c r="G126" s="26"/>
      <c r="H126" s="84">
        <v>2.79</v>
      </c>
      <c r="I126" s="75"/>
      <c r="J126" s="76">
        <f t="shared" si="57"/>
        <v>474.3</v>
      </c>
      <c r="K126" s="26"/>
      <c r="L126" s="29">
        <f t="shared" si="55"/>
        <v>474.3</v>
      </c>
      <c r="M126" s="26"/>
      <c r="N126" s="76"/>
      <c r="O126" s="31"/>
      <c r="P126" s="76">
        <f t="shared" si="58"/>
        <v>170</v>
      </c>
      <c r="Q126" s="26"/>
      <c r="R126" s="82">
        <f t="shared" si="56"/>
        <v>3.0934118141763496</v>
      </c>
      <c r="S126" s="75"/>
      <c r="T126" s="83">
        <f t="shared" si="59"/>
        <v>525.88000840997938</v>
      </c>
      <c r="U126" s="75"/>
      <c r="V126" s="75"/>
      <c r="W126" s="56"/>
      <c r="X126" s="45"/>
      <c r="Y126" s="46"/>
      <c r="Z126" s="46"/>
      <c r="AA126" s="46"/>
      <c r="AB126" s="46"/>
      <c r="AC126" s="46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18"/>
      <c r="AS126" s="48"/>
      <c r="AT126" s="18"/>
      <c r="AU126" s="19"/>
      <c r="AV126" s="18"/>
    </row>
    <row r="127" spans="1:48">
      <c r="A127" s="78" t="s">
        <v>23</v>
      </c>
      <c r="B127" s="79"/>
      <c r="C127" s="80"/>
      <c r="D127" s="79"/>
      <c r="E127" s="74"/>
      <c r="F127" s="26">
        <v>56</v>
      </c>
      <c r="G127" s="26"/>
      <c r="H127" s="84">
        <v>2.5499999999999998</v>
      </c>
      <c r="I127" s="75"/>
      <c r="J127" s="76">
        <f t="shared" si="57"/>
        <v>142.79999999999998</v>
      </c>
      <c r="K127" s="26"/>
      <c r="L127" s="29">
        <f t="shared" si="55"/>
        <v>142.79999999999998</v>
      </c>
      <c r="M127" s="26"/>
      <c r="N127" s="76"/>
      <c r="O127" s="31"/>
      <c r="P127" s="76">
        <f t="shared" si="58"/>
        <v>56</v>
      </c>
      <c r="Q127" s="26"/>
      <c r="R127" s="82">
        <f t="shared" si="56"/>
        <v>2.827311873171932</v>
      </c>
      <c r="S127" s="75"/>
      <c r="T127" s="83">
        <f t="shared" si="59"/>
        <v>158.32946489762818</v>
      </c>
      <c r="U127" s="75"/>
      <c r="V127" s="75"/>
      <c r="W127" s="56"/>
      <c r="X127" s="45"/>
      <c r="Y127" s="46"/>
      <c r="Z127" s="46"/>
      <c r="AA127" s="46"/>
      <c r="AB127" s="46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18"/>
      <c r="AS127" s="48"/>
      <c r="AT127" s="18"/>
      <c r="AU127" s="19"/>
      <c r="AV127" s="18"/>
    </row>
    <row r="128" spans="1:48" s="97" customFormat="1" ht="12.75" thickBot="1">
      <c r="A128" s="88" t="s">
        <v>62</v>
      </c>
      <c r="B128" s="103">
        <f>SUM(B122:B127)</f>
        <v>1187</v>
      </c>
      <c r="C128" s="90"/>
      <c r="D128" s="103">
        <f>SUM(D122:D127)</f>
        <v>24.000000000000007</v>
      </c>
      <c r="E128" s="90"/>
      <c r="F128" s="103">
        <f>SUM(F122:F127)</f>
        <v>878.00000000000011</v>
      </c>
      <c r="G128" s="62"/>
      <c r="H128" s="64"/>
      <c r="I128" s="63"/>
      <c r="J128" s="104">
        <f>SUM(J123:J127)</f>
        <v>3926.0100000000011</v>
      </c>
      <c r="K128" s="62"/>
      <c r="L128" s="104">
        <f>SUM(L123:L127)</f>
        <v>3926.0100000000011</v>
      </c>
      <c r="M128" s="62"/>
      <c r="N128" s="103">
        <f>SUM(N122:N127)</f>
        <v>24.000000000000007</v>
      </c>
      <c r="O128" s="67"/>
      <c r="P128" s="103">
        <f>SUM(P122:P127)</f>
        <v>878.00000000000011</v>
      </c>
      <c r="Q128" s="62"/>
      <c r="R128" s="82"/>
      <c r="S128" s="90"/>
      <c r="T128" s="104">
        <f>SUM(T123:T127)</f>
        <v>4352.9626224281328</v>
      </c>
      <c r="U128" s="90"/>
      <c r="V128" s="90"/>
      <c r="W128" s="87"/>
      <c r="X128" s="93"/>
      <c r="Y128" s="94"/>
      <c r="Z128" s="94"/>
      <c r="AA128" s="94"/>
      <c r="AB128" s="94"/>
      <c r="AC128" s="94"/>
      <c r="AD128" s="94" t="s">
        <v>25</v>
      </c>
      <c r="AE128" s="70"/>
      <c r="AF128" s="63"/>
      <c r="AG128" s="90"/>
      <c r="AH128" s="90"/>
      <c r="AI128" s="90"/>
      <c r="AJ128" s="63"/>
      <c r="AK128" s="95"/>
      <c r="AL128" s="63"/>
      <c r="AM128" s="95"/>
      <c r="AN128" s="63"/>
      <c r="AO128" s="95"/>
      <c r="AP128" s="63"/>
      <c r="AQ128" s="95"/>
      <c r="AR128" s="96"/>
      <c r="AS128" s="96"/>
      <c r="AT128" s="96"/>
      <c r="AU128" s="96"/>
      <c r="AV128" s="96"/>
    </row>
    <row r="129" spans="1:48" ht="12.75" thickTop="1">
      <c r="A129" s="88"/>
      <c r="B129" s="79"/>
      <c r="C129" s="80"/>
      <c r="D129" s="79"/>
      <c r="E129" s="74"/>
      <c r="F129" s="26"/>
      <c r="G129" s="26"/>
      <c r="H129" s="28"/>
      <c r="I129" s="75"/>
      <c r="J129" s="29"/>
      <c r="K129" s="26"/>
      <c r="L129" s="29"/>
      <c r="M129" s="26"/>
      <c r="N129" s="76"/>
      <c r="O129" s="31"/>
      <c r="P129" s="76"/>
      <c r="Q129" s="26"/>
      <c r="R129" s="32"/>
      <c r="S129" s="75"/>
      <c r="T129" s="33"/>
      <c r="U129" s="75"/>
      <c r="V129" s="75"/>
      <c r="W129" s="34"/>
      <c r="X129" s="45"/>
      <c r="Y129" s="46"/>
      <c r="Z129" s="46"/>
      <c r="AA129" s="46"/>
      <c r="AB129" s="46"/>
      <c r="AC129" s="46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18"/>
      <c r="AS129" s="18"/>
      <c r="AT129" s="18"/>
      <c r="AU129" s="19"/>
      <c r="AV129" s="18"/>
    </row>
    <row r="130" spans="1:48" ht="12.75" thickBot="1">
      <c r="A130" s="98" t="s">
        <v>63</v>
      </c>
      <c r="B130" s="79"/>
      <c r="C130" s="80"/>
      <c r="D130" s="79"/>
      <c r="E130" s="74"/>
      <c r="F130" s="26"/>
      <c r="G130" s="26"/>
      <c r="H130" s="28"/>
      <c r="I130" s="75"/>
      <c r="J130" s="29"/>
      <c r="K130" s="26"/>
      <c r="L130" s="99">
        <f>+L128/$D128</f>
        <v>163.58375000000001</v>
      </c>
      <c r="M130" s="26"/>
      <c r="N130" s="76"/>
      <c r="O130" s="31"/>
      <c r="P130" s="76"/>
      <c r="Q130" s="26"/>
      <c r="R130" s="32"/>
      <c r="S130" s="75"/>
      <c r="T130" s="99">
        <f>+T128/$D128</f>
        <v>181.37344260117214</v>
      </c>
      <c r="U130" s="75">
        <f>+T130-L130</f>
        <v>17.789692601172135</v>
      </c>
      <c r="V130" s="75">
        <f>U130/L130</f>
        <v>0.10874975418507116</v>
      </c>
      <c r="W130" s="34"/>
      <c r="X130" s="45"/>
      <c r="Y130" s="46"/>
      <c r="Z130" s="46"/>
      <c r="AA130" s="46"/>
      <c r="AB130" s="46"/>
      <c r="AC130" s="46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18"/>
      <c r="AS130" s="18"/>
      <c r="AT130" s="18"/>
      <c r="AU130" s="19"/>
      <c r="AV130" s="18"/>
    </row>
    <row r="131" spans="1:48" ht="12.75" thickTop="1">
      <c r="A131" s="73" t="s">
        <v>64</v>
      </c>
      <c r="B131" s="26">
        <v>26670</v>
      </c>
      <c r="C131" s="74"/>
      <c r="D131" s="26"/>
      <c r="E131" s="74"/>
      <c r="F131" s="26"/>
      <c r="G131" s="26"/>
      <c r="H131" s="105"/>
      <c r="I131" s="75"/>
      <c r="J131" s="29"/>
      <c r="K131" s="26"/>
      <c r="L131" s="29"/>
      <c r="M131" s="26"/>
      <c r="N131" s="76"/>
      <c r="O131" s="31"/>
      <c r="P131" s="76"/>
      <c r="Q131" s="26"/>
      <c r="R131" s="32"/>
      <c r="S131" s="74"/>
      <c r="T131" s="77"/>
      <c r="U131" s="74"/>
      <c r="V131" s="74"/>
      <c r="W131" s="56"/>
      <c r="X131" s="45"/>
      <c r="Y131" s="46"/>
      <c r="Z131" s="46"/>
      <c r="AA131" s="46"/>
      <c r="AB131" s="46"/>
      <c r="AC131" s="46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48"/>
      <c r="AS131" s="48"/>
      <c r="AT131" s="48"/>
      <c r="AU131" s="48"/>
      <c r="AV131" s="48"/>
    </row>
    <row r="132" spans="1:48">
      <c r="A132" s="78" t="s">
        <v>65</v>
      </c>
      <c r="B132" s="79"/>
      <c r="C132" s="80"/>
      <c r="D132" s="79">
        <v>344.99999999999898</v>
      </c>
      <c r="E132" s="74"/>
      <c r="F132" s="26"/>
      <c r="G132" s="26"/>
      <c r="H132" s="81">
        <v>78.8</v>
      </c>
      <c r="I132" s="75"/>
      <c r="J132" s="29">
        <f>+D132*H132</f>
        <v>27185.99999999992</v>
      </c>
      <c r="K132" s="26"/>
      <c r="L132" s="29">
        <f>+J132</f>
        <v>27185.99999999992</v>
      </c>
      <c r="M132" s="26"/>
      <c r="N132" s="76">
        <f>+D132</f>
        <v>344.99999999999898</v>
      </c>
      <c r="O132" s="31"/>
      <c r="P132" s="76"/>
      <c r="Q132" s="26"/>
      <c r="R132" s="82">
        <f>+H132*(1+$W$5)</f>
        <v>87.369480629783624</v>
      </c>
      <c r="S132" s="75"/>
      <c r="T132" s="83">
        <f>+N132*R132</f>
        <v>30142.470817275262</v>
      </c>
      <c r="U132" s="75"/>
      <c r="V132" s="75"/>
      <c r="W132" s="34"/>
      <c r="X132" s="45"/>
      <c r="Y132" s="46"/>
      <c r="Z132" s="46"/>
      <c r="AA132" s="46"/>
      <c r="AB132" s="46"/>
      <c r="AC132" s="46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18"/>
      <c r="AS132" s="18"/>
      <c r="AT132" s="18"/>
      <c r="AU132" s="19"/>
      <c r="AV132" s="18"/>
    </row>
    <row r="133" spans="1:48">
      <c r="A133" s="78" t="s">
        <v>66</v>
      </c>
      <c r="B133" s="79"/>
      <c r="C133" s="80"/>
      <c r="D133" s="79"/>
      <c r="E133" s="74"/>
      <c r="F133" s="26">
        <v>791.99999999999898</v>
      </c>
      <c r="G133" s="26"/>
      <c r="H133" s="84">
        <v>3.29</v>
      </c>
      <c r="I133" s="75"/>
      <c r="J133" s="76">
        <f>+F133*H133</f>
        <v>2605.6799999999967</v>
      </c>
      <c r="K133" s="26"/>
      <c r="L133" s="29">
        <f t="shared" ref="L133:L136" si="60">+J133</f>
        <v>2605.6799999999967</v>
      </c>
      <c r="M133" s="26"/>
      <c r="N133" s="76"/>
      <c r="O133" s="31"/>
      <c r="P133" s="76">
        <f>+F133</f>
        <v>791.99999999999898</v>
      </c>
      <c r="Q133" s="26"/>
      <c r="R133" s="82">
        <f t="shared" ref="R133:R136" si="61">+H133*(1+$W$5)</f>
        <v>3.6477866912688852</v>
      </c>
      <c r="S133" s="75"/>
      <c r="T133" s="83">
        <f>+P133*R133</f>
        <v>2889.0470594849535</v>
      </c>
      <c r="U133" s="75"/>
      <c r="V133" s="75"/>
      <c r="W133" s="34"/>
      <c r="X133" s="45"/>
      <c r="Y133" s="46"/>
      <c r="Z133" s="46"/>
      <c r="AA133" s="46"/>
      <c r="AB133" s="46"/>
      <c r="AC133" s="46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18"/>
      <c r="AS133" s="18"/>
      <c r="AT133" s="18"/>
      <c r="AU133" s="19"/>
      <c r="AV133" s="18"/>
    </row>
    <row r="134" spans="1:48">
      <c r="A134" s="78" t="s">
        <v>21</v>
      </c>
      <c r="B134" s="79"/>
      <c r="C134" s="80"/>
      <c r="D134" s="79"/>
      <c r="E134" s="74"/>
      <c r="F134" s="26">
        <v>3752</v>
      </c>
      <c r="G134" s="26"/>
      <c r="H134" s="84">
        <v>3.12</v>
      </c>
      <c r="I134" s="75"/>
      <c r="J134" s="76">
        <f t="shared" ref="J134:J136" si="62">+F134*H134</f>
        <v>11706.24</v>
      </c>
      <c r="K134" s="26"/>
      <c r="L134" s="29">
        <f t="shared" si="60"/>
        <v>11706.24</v>
      </c>
      <c r="M134" s="26"/>
      <c r="N134" s="76"/>
      <c r="O134" s="31"/>
      <c r="P134" s="76">
        <f t="shared" ref="P134:P136" si="63">+F134</f>
        <v>3752</v>
      </c>
      <c r="Q134" s="26"/>
      <c r="R134" s="82">
        <f t="shared" si="61"/>
        <v>3.4592992330574233</v>
      </c>
      <c r="S134" s="75"/>
      <c r="T134" s="83">
        <f t="shared" ref="T134:T136" si="64">+P134*R134</f>
        <v>12979.290722431451</v>
      </c>
      <c r="U134" s="75"/>
      <c r="V134" s="75"/>
      <c r="W134" s="56"/>
      <c r="X134" s="45"/>
      <c r="Y134" s="46"/>
      <c r="Z134" s="46"/>
      <c r="AA134" s="46"/>
      <c r="AB134" s="46"/>
      <c r="AC134" s="46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18"/>
      <c r="AS134" s="18"/>
      <c r="AT134" s="18"/>
      <c r="AU134" s="19"/>
      <c r="AV134" s="18"/>
    </row>
    <row r="135" spans="1:48">
      <c r="A135" s="78" t="s">
        <v>22</v>
      </c>
      <c r="B135" s="79"/>
      <c r="C135" s="80"/>
      <c r="D135" s="79"/>
      <c r="E135" s="74"/>
      <c r="F135" s="26">
        <v>5230</v>
      </c>
      <c r="G135" s="26"/>
      <c r="H135" s="84">
        <v>2.79</v>
      </c>
      <c r="I135" s="75"/>
      <c r="J135" s="76">
        <f t="shared" si="62"/>
        <v>14591.7</v>
      </c>
      <c r="K135" s="26"/>
      <c r="L135" s="29">
        <f t="shared" si="60"/>
        <v>14591.7</v>
      </c>
      <c r="M135" s="26"/>
      <c r="N135" s="76"/>
      <c r="O135" s="31"/>
      <c r="P135" s="76">
        <f t="shared" si="63"/>
        <v>5230</v>
      </c>
      <c r="Q135" s="26"/>
      <c r="R135" s="82">
        <f t="shared" si="61"/>
        <v>3.0934118141763496</v>
      </c>
      <c r="S135" s="75"/>
      <c r="T135" s="83">
        <f t="shared" si="64"/>
        <v>16178.543788142308</v>
      </c>
      <c r="U135" s="75"/>
      <c r="V135" s="75"/>
      <c r="W135" s="56"/>
      <c r="X135" s="45"/>
      <c r="Y135" s="46"/>
      <c r="Z135" s="46"/>
      <c r="AA135" s="46"/>
      <c r="AB135" s="46"/>
      <c r="AC135" s="46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18"/>
      <c r="AS135" s="48"/>
      <c r="AT135" s="18"/>
      <c r="AU135" s="19"/>
      <c r="AV135" s="18"/>
    </row>
    <row r="136" spans="1:48">
      <c r="A136" s="78" t="s">
        <v>23</v>
      </c>
      <c r="B136" s="79"/>
      <c r="C136" s="80"/>
      <c r="D136" s="79"/>
      <c r="E136" s="74"/>
      <c r="F136" s="26">
        <v>11395.999999999998</v>
      </c>
      <c r="G136" s="26"/>
      <c r="H136" s="84">
        <v>2.5499999999999998</v>
      </c>
      <c r="I136" s="75"/>
      <c r="J136" s="76">
        <f t="shared" si="62"/>
        <v>29059.799999999992</v>
      </c>
      <c r="K136" s="26"/>
      <c r="L136" s="29">
        <f t="shared" si="60"/>
        <v>29059.799999999992</v>
      </c>
      <c r="M136" s="26"/>
      <c r="N136" s="76"/>
      <c r="O136" s="31"/>
      <c r="P136" s="76">
        <f t="shared" si="63"/>
        <v>11395.999999999998</v>
      </c>
      <c r="Q136" s="26"/>
      <c r="R136" s="82">
        <f t="shared" si="61"/>
        <v>2.827311873171932</v>
      </c>
      <c r="S136" s="75"/>
      <c r="T136" s="83">
        <f t="shared" si="64"/>
        <v>32220.046106667331</v>
      </c>
      <c r="U136" s="75"/>
      <c r="V136" s="75"/>
      <c r="W136" s="56"/>
      <c r="X136" s="45"/>
      <c r="Y136" s="46"/>
      <c r="Z136" s="46"/>
      <c r="AA136" s="46"/>
      <c r="AB136" s="46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18"/>
      <c r="AS136" s="48"/>
      <c r="AT136" s="18"/>
      <c r="AU136" s="19"/>
      <c r="AV136" s="18"/>
    </row>
    <row r="137" spans="1:48" s="97" customFormat="1" ht="12.75" thickBot="1">
      <c r="A137" s="88" t="s">
        <v>67</v>
      </c>
      <c r="B137" s="103">
        <f>SUM(B131:B136)</f>
        <v>26670</v>
      </c>
      <c r="C137" s="90"/>
      <c r="D137" s="103">
        <f>SUM(D131:D136)</f>
        <v>344.99999999999898</v>
      </c>
      <c r="E137" s="90"/>
      <c r="F137" s="103">
        <f>SUM(F131:F136)</f>
        <v>21170</v>
      </c>
      <c r="G137" s="62"/>
      <c r="H137" s="64"/>
      <c r="I137" s="63"/>
      <c r="J137" s="104">
        <f>SUM(J132:J136)</f>
        <v>85149.419999999911</v>
      </c>
      <c r="K137" s="62"/>
      <c r="L137" s="104">
        <f>SUM(L132:L136)</f>
        <v>85149.419999999911</v>
      </c>
      <c r="M137" s="62"/>
      <c r="N137" s="103">
        <f>SUM(N131:N136)</f>
        <v>344.99999999999898</v>
      </c>
      <c r="O137" s="67"/>
      <c r="P137" s="103">
        <f>SUM(P131:P136)</f>
        <v>21170</v>
      </c>
      <c r="Q137" s="62"/>
      <c r="R137" s="82"/>
      <c r="S137" s="90"/>
      <c r="T137" s="104">
        <f>SUM(T132:T136)</f>
        <v>94409.398494001303</v>
      </c>
      <c r="U137" s="90"/>
      <c r="V137" s="90"/>
      <c r="W137" s="87"/>
      <c r="X137" s="93"/>
      <c r="Y137" s="94"/>
      <c r="Z137" s="94"/>
      <c r="AA137" s="94"/>
      <c r="AB137" s="94"/>
      <c r="AC137" s="94"/>
      <c r="AD137" s="94" t="s">
        <v>25</v>
      </c>
      <c r="AE137" s="70"/>
      <c r="AF137" s="63"/>
      <c r="AG137" s="90"/>
      <c r="AH137" s="90"/>
      <c r="AI137" s="90"/>
      <c r="AJ137" s="63"/>
      <c r="AK137" s="95"/>
      <c r="AL137" s="63"/>
      <c r="AM137" s="95"/>
      <c r="AN137" s="63"/>
      <c r="AO137" s="95"/>
      <c r="AP137" s="63"/>
      <c r="AQ137" s="95"/>
      <c r="AR137" s="96"/>
      <c r="AS137" s="96"/>
      <c r="AT137" s="96"/>
      <c r="AU137" s="96"/>
      <c r="AV137" s="96"/>
    </row>
    <row r="138" spans="1:48" ht="12.75" thickTop="1">
      <c r="A138" s="88"/>
      <c r="B138" s="79"/>
      <c r="C138" s="80"/>
      <c r="D138" s="79"/>
      <c r="E138" s="74"/>
      <c r="F138" s="26"/>
      <c r="G138" s="26"/>
      <c r="H138" s="28"/>
      <c r="I138" s="75"/>
      <c r="J138" s="29"/>
      <c r="K138" s="26"/>
      <c r="L138" s="29"/>
      <c r="M138" s="26"/>
      <c r="N138" s="76"/>
      <c r="O138" s="31"/>
      <c r="P138" s="76"/>
      <c r="Q138" s="26"/>
      <c r="R138" s="32"/>
      <c r="S138" s="75"/>
      <c r="T138" s="33"/>
      <c r="U138" s="75"/>
      <c r="V138" s="75"/>
      <c r="W138" s="34"/>
      <c r="X138" s="45"/>
      <c r="Y138" s="46"/>
      <c r="Z138" s="46"/>
      <c r="AA138" s="46"/>
      <c r="AB138" s="46"/>
      <c r="AC138" s="46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18"/>
      <c r="AS138" s="18"/>
      <c r="AT138" s="18"/>
      <c r="AU138" s="19"/>
      <c r="AV138" s="18"/>
    </row>
    <row r="139" spans="1:48" ht="12.75" thickBot="1">
      <c r="A139" s="98" t="s">
        <v>68</v>
      </c>
      <c r="B139" s="79"/>
      <c r="C139" s="80"/>
      <c r="D139" s="79"/>
      <c r="E139" s="74"/>
      <c r="F139" s="26"/>
      <c r="G139" s="26"/>
      <c r="H139" s="28"/>
      <c r="I139" s="75"/>
      <c r="J139" s="29"/>
      <c r="K139" s="26"/>
      <c r="L139" s="99">
        <f>+L137/$D137</f>
        <v>246.80991304347873</v>
      </c>
      <c r="M139" s="26"/>
      <c r="N139" s="76"/>
      <c r="O139" s="31"/>
      <c r="P139" s="76"/>
      <c r="Q139" s="26"/>
      <c r="R139" s="32"/>
      <c r="S139" s="75"/>
      <c r="T139" s="99">
        <f>+T137/$D137</f>
        <v>273.65043041739591</v>
      </c>
      <c r="U139" s="75">
        <f>+T139-L139</f>
        <v>26.84051737391718</v>
      </c>
      <c r="V139" s="75">
        <f t="shared" ref="V139" si="65">U139/L139</f>
        <v>0.10874975418507149</v>
      </c>
      <c r="W139" s="34"/>
      <c r="X139" s="45"/>
      <c r="Y139" s="46"/>
      <c r="Z139" s="46"/>
      <c r="AA139" s="46"/>
      <c r="AB139" s="46"/>
      <c r="AC139" s="46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18"/>
      <c r="AS139" s="18"/>
      <c r="AT139" s="18"/>
      <c r="AU139" s="19"/>
      <c r="AV139" s="18"/>
    </row>
    <row r="140" spans="1:48" ht="12.75" thickTop="1">
      <c r="A140" s="73" t="s">
        <v>69</v>
      </c>
      <c r="B140" s="26">
        <v>835</v>
      </c>
      <c r="C140" s="74"/>
      <c r="D140" s="26"/>
      <c r="E140" s="74"/>
      <c r="F140" s="26"/>
      <c r="G140" s="26"/>
      <c r="H140" s="105"/>
      <c r="I140" s="75"/>
      <c r="J140" s="29"/>
      <c r="K140" s="26"/>
      <c r="L140" s="29"/>
      <c r="M140" s="26"/>
      <c r="N140" s="76"/>
      <c r="O140" s="31"/>
      <c r="P140" s="76"/>
      <c r="Q140" s="26"/>
      <c r="R140" s="32"/>
      <c r="S140" s="74"/>
      <c r="T140" s="77"/>
      <c r="U140" s="74"/>
      <c r="V140" s="74"/>
      <c r="W140" s="56"/>
      <c r="X140" s="45"/>
      <c r="Y140" s="46"/>
      <c r="Z140" s="46"/>
      <c r="AA140" s="46"/>
      <c r="AB140" s="46"/>
      <c r="AC140" s="46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48"/>
      <c r="AS140" s="48"/>
      <c r="AT140" s="48"/>
      <c r="AU140" s="48"/>
      <c r="AV140" s="48"/>
    </row>
    <row r="141" spans="1:48">
      <c r="A141" s="78" t="s">
        <v>65</v>
      </c>
      <c r="B141" s="79"/>
      <c r="C141" s="80"/>
      <c r="D141" s="79">
        <v>48.000000000000021</v>
      </c>
      <c r="E141" s="74"/>
      <c r="F141" s="26"/>
      <c r="G141" s="26"/>
      <c r="H141" s="81">
        <v>78.8</v>
      </c>
      <c r="I141" s="75"/>
      <c r="J141" s="29">
        <f>+D141*H141</f>
        <v>3782.4000000000015</v>
      </c>
      <c r="K141" s="26"/>
      <c r="L141" s="29">
        <f>+J141</f>
        <v>3782.4000000000015</v>
      </c>
      <c r="M141" s="26"/>
      <c r="N141" s="76">
        <f>+D141</f>
        <v>48.000000000000021</v>
      </c>
      <c r="O141" s="31"/>
      <c r="P141" s="76"/>
      <c r="Q141" s="26"/>
      <c r="R141" s="82">
        <f>+H141*(1+$W$5)</f>
        <v>87.369480629783624</v>
      </c>
      <c r="S141" s="75"/>
      <c r="T141" s="83">
        <f>+N141*R141</f>
        <v>4193.7350702296162</v>
      </c>
      <c r="U141" s="75"/>
      <c r="V141" s="75"/>
      <c r="W141" s="34"/>
      <c r="X141" s="45"/>
      <c r="Y141" s="46"/>
      <c r="Z141" s="46"/>
      <c r="AA141" s="46"/>
      <c r="AB141" s="46"/>
      <c r="AC141" s="46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18"/>
      <c r="AS141" s="18"/>
      <c r="AT141" s="18"/>
      <c r="AU141" s="19"/>
      <c r="AV141" s="18"/>
    </row>
    <row r="142" spans="1:48">
      <c r="A142" s="78" t="s">
        <v>66</v>
      </c>
      <c r="B142" s="79"/>
      <c r="C142" s="80"/>
      <c r="D142" s="79"/>
      <c r="E142" s="74"/>
      <c r="F142" s="26">
        <v>42.999999999999993</v>
      </c>
      <c r="G142" s="26"/>
      <c r="H142" s="84">
        <v>3.29</v>
      </c>
      <c r="I142" s="75"/>
      <c r="J142" s="76">
        <f>+F142*H142</f>
        <v>141.46999999999997</v>
      </c>
      <c r="K142" s="26"/>
      <c r="L142" s="29">
        <f t="shared" ref="L142:L145" si="66">+J142</f>
        <v>141.46999999999997</v>
      </c>
      <c r="M142" s="26"/>
      <c r="N142" s="76"/>
      <c r="O142" s="31"/>
      <c r="P142" s="76">
        <f>+F142</f>
        <v>42.999999999999993</v>
      </c>
      <c r="Q142" s="26"/>
      <c r="R142" s="82">
        <f t="shared" ref="R142:R145" si="67">+H142*(1+$W$5)</f>
        <v>3.6477866912688852</v>
      </c>
      <c r="S142" s="75"/>
      <c r="T142" s="83">
        <f>+P142*R142</f>
        <v>156.85482772456203</v>
      </c>
      <c r="U142" s="75"/>
      <c r="V142" s="75"/>
      <c r="W142" s="34"/>
      <c r="X142" s="45"/>
      <c r="Y142" s="46"/>
      <c r="Z142" s="46"/>
      <c r="AA142" s="46"/>
      <c r="AB142" s="46"/>
      <c r="AC142" s="46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18"/>
      <c r="AS142" s="18"/>
      <c r="AT142" s="18"/>
      <c r="AU142" s="19"/>
      <c r="AV142" s="18"/>
    </row>
    <row r="143" spans="1:48">
      <c r="A143" s="78" t="s">
        <v>21</v>
      </c>
      <c r="B143" s="79"/>
      <c r="C143" s="80"/>
      <c r="D143" s="79"/>
      <c r="E143" s="74"/>
      <c r="F143" s="26">
        <v>212</v>
      </c>
      <c r="G143" s="26"/>
      <c r="H143" s="84">
        <v>3.12</v>
      </c>
      <c r="I143" s="75"/>
      <c r="J143" s="76">
        <f t="shared" ref="J143:J145" si="68">+F143*H143</f>
        <v>661.44</v>
      </c>
      <c r="K143" s="26"/>
      <c r="L143" s="29">
        <f t="shared" si="66"/>
        <v>661.44</v>
      </c>
      <c r="M143" s="26"/>
      <c r="N143" s="76"/>
      <c r="O143" s="31"/>
      <c r="P143" s="76">
        <f t="shared" ref="P143:P145" si="69">+F143</f>
        <v>212</v>
      </c>
      <c r="Q143" s="26"/>
      <c r="R143" s="82">
        <f t="shared" si="67"/>
        <v>3.4592992330574233</v>
      </c>
      <c r="S143" s="75"/>
      <c r="T143" s="83">
        <f t="shared" ref="T143:T145" si="70">+P143*R143</f>
        <v>733.37143740817373</v>
      </c>
      <c r="U143" s="75"/>
      <c r="V143" s="75"/>
      <c r="W143" s="56"/>
      <c r="X143" s="45"/>
      <c r="Y143" s="46"/>
      <c r="Z143" s="46"/>
      <c r="AA143" s="46"/>
      <c r="AB143" s="46"/>
      <c r="AC143" s="46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18"/>
      <c r="AS143" s="18"/>
      <c r="AT143" s="18"/>
      <c r="AU143" s="19"/>
      <c r="AV143" s="18"/>
    </row>
    <row r="144" spans="1:48">
      <c r="A144" s="78" t="s">
        <v>22</v>
      </c>
      <c r="B144" s="79"/>
      <c r="C144" s="80"/>
      <c r="D144" s="79"/>
      <c r="E144" s="74"/>
      <c r="F144" s="26">
        <v>238</v>
      </c>
      <c r="G144" s="26"/>
      <c r="H144" s="84">
        <v>2.79</v>
      </c>
      <c r="I144" s="75"/>
      <c r="J144" s="76">
        <f t="shared" si="68"/>
        <v>664.02</v>
      </c>
      <c r="K144" s="26"/>
      <c r="L144" s="29">
        <f t="shared" si="66"/>
        <v>664.02</v>
      </c>
      <c r="M144" s="26"/>
      <c r="N144" s="76"/>
      <c r="O144" s="31"/>
      <c r="P144" s="76">
        <f t="shared" si="69"/>
        <v>238</v>
      </c>
      <c r="Q144" s="26"/>
      <c r="R144" s="82">
        <f t="shared" si="67"/>
        <v>3.0934118141763496</v>
      </c>
      <c r="S144" s="75"/>
      <c r="T144" s="83">
        <f t="shared" si="70"/>
        <v>736.23201177397118</v>
      </c>
      <c r="U144" s="75"/>
      <c r="V144" s="75"/>
      <c r="W144" s="56"/>
      <c r="X144" s="45"/>
      <c r="Y144" s="46"/>
      <c r="Z144" s="46"/>
      <c r="AA144" s="46"/>
      <c r="AB144" s="46"/>
      <c r="AC144" s="46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18"/>
      <c r="AS144" s="48"/>
      <c r="AT144" s="18"/>
      <c r="AU144" s="19"/>
      <c r="AV144" s="18"/>
    </row>
    <row r="145" spans="1:48">
      <c r="A145" s="78" t="s">
        <v>23</v>
      </c>
      <c r="B145" s="79"/>
      <c r="C145" s="80"/>
      <c r="D145" s="79"/>
      <c r="E145" s="74"/>
      <c r="F145" s="26">
        <v>8</v>
      </c>
      <c r="G145" s="26"/>
      <c r="H145" s="84">
        <v>2.5499999999999998</v>
      </c>
      <c r="I145" s="75"/>
      <c r="J145" s="76">
        <f t="shared" si="68"/>
        <v>20.399999999999999</v>
      </c>
      <c r="K145" s="26"/>
      <c r="L145" s="29">
        <f t="shared" si="66"/>
        <v>20.399999999999999</v>
      </c>
      <c r="M145" s="26"/>
      <c r="N145" s="76"/>
      <c r="O145" s="31"/>
      <c r="P145" s="76">
        <f t="shared" si="69"/>
        <v>8</v>
      </c>
      <c r="Q145" s="26"/>
      <c r="R145" s="82">
        <f t="shared" si="67"/>
        <v>2.827311873171932</v>
      </c>
      <c r="S145" s="75"/>
      <c r="T145" s="83">
        <f t="shared" si="70"/>
        <v>22.618494985375456</v>
      </c>
      <c r="U145" s="75"/>
      <c r="V145" s="75"/>
      <c r="W145" s="56"/>
      <c r="X145" s="45"/>
      <c r="Y145" s="46"/>
      <c r="Z145" s="46"/>
      <c r="AA145" s="46"/>
      <c r="AB145" s="46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18"/>
      <c r="AS145" s="48"/>
      <c r="AT145" s="18"/>
      <c r="AU145" s="19"/>
      <c r="AV145" s="18"/>
    </row>
    <row r="146" spans="1:48" s="97" customFormat="1" ht="12.75" thickBot="1">
      <c r="A146" s="88" t="s">
        <v>70</v>
      </c>
      <c r="B146" s="103">
        <f>SUM(B140:B145)</f>
        <v>835</v>
      </c>
      <c r="C146" s="90"/>
      <c r="D146" s="103">
        <f>SUM(D140:D145)</f>
        <v>48.000000000000021</v>
      </c>
      <c r="E146" s="90"/>
      <c r="F146" s="103">
        <f>SUM(F140:F145)</f>
        <v>501</v>
      </c>
      <c r="G146" s="62"/>
      <c r="H146" s="64"/>
      <c r="I146" s="63"/>
      <c r="J146" s="104">
        <f>SUM(J141:J145)</f>
        <v>5269.7300000000014</v>
      </c>
      <c r="K146" s="62"/>
      <c r="L146" s="104">
        <f>SUM(L141:L145)</f>
        <v>5269.7300000000014</v>
      </c>
      <c r="M146" s="62"/>
      <c r="N146" s="103">
        <f>SUM(N140:N145)</f>
        <v>48.000000000000021</v>
      </c>
      <c r="O146" s="67"/>
      <c r="P146" s="103">
        <f>SUM(P140:P145)</f>
        <v>501</v>
      </c>
      <c r="Q146" s="62"/>
      <c r="R146" s="82"/>
      <c r="S146" s="90"/>
      <c r="T146" s="104">
        <f>SUM(T141:T145)</f>
        <v>5842.8118421216977</v>
      </c>
      <c r="U146" s="90"/>
      <c r="V146" s="90"/>
      <c r="W146" s="87"/>
      <c r="X146" s="93"/>
      <c r="Y146" s="94"/>
      <c r="Z146" s="94"/>
      <c r="AA146" s="94"/>
      <c r="AB146" s="94"/>
      <c r="AC146" s="94"/>
      <c r="AD146" s="94" t="s">
        <v>25</v>
      </c>
      <c r="AE146" s="70"/>
      <c r="AF146" s="63"/>
      <c r="AG146" s="90"/>
      <c r="AH146" s="90"/>
      <c r="AI146" s="90"/>
      <c r="AJ146" s="63"/>
      <c r="AK146" s="95"/>
      <c r="AL146" s="63"/>
      <c r="AM146" s="95"/>
      <c r="AN146" s="63"/>
      <c r="AO146" s="95"/>
      <c r="AP146" s="63"/>
      <c r="AQ146" s="95"/>
      <c r="AR146" s="96"/>
      <c r="AS146" s="96"/>
      <c r="AT146" s="96"/>
      <c r="AU146" s="96"/>
      <c r="AV146" s="96"/>
    </row>
    <row r="147" spans="1:48" ht="12.75" thickTop="1">
      <c r="A147" s="88"/>
      <c r="B147" s="79"/>
      <c r="C147" s="80"/>
      <c r="D147" s="79"/>
      <c r="E147" s="74"/>
      <c r="F147" s="26"/>
      <c r="G147" s="26"/>
      <c r="H147" s="28"/>
      <c r="I147" s="75"/>
      <c r="J147" s="29"/>
      <c r="K147" s="26"/>
      <c r="L147" s="29"/>
      <c r="M147" s="26"/>
      <c r="N147" s="76"/>
      <c r="O147" s="31"/>
      <c r="P147" s="76"/>
      <c r="Q147" s="26"/>
      <c r="R147" s="32"/>
      <c r="S147" s="75"/>
      <c r="T147" s="33"/>
      <c r="U147" s="75"/>
      <c r="V147" s="75"/>
      <c r="W147" s="34"/>
      <c r="X147" s="45"/>
      <c r="Y147" s="46"/>
      <c r="Z147" s="46"/>
      <c r="AA147" s="46"/>
      <c r="AB147" s="46"/>
      <c r="AC147" s="46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18"/>
      <c r="AS147" s="18"/>
      <c r="AT147" s="18"/>
      <c r="AU147" s="19"/>
      <c r="AV147" s="18"/>
    </row>
    <row r="148" spans="1:48" ht="12.75" thickBot="1">
      <c r="A148" s="98" t="s">
        <v>71</v>
      </c>
      <c r="B148" s="79"/>
      <c r="C148" s="80"/>
      <c r="D148" s="79"/>
      <c r="E148" s="74"/>
      <c r="F148" s="26"/>
      <c r="G148" s="26"/>
      <c r="H148" s="28"/>
      <c r="I148" s="75"/>
      <c r="J148" s="29"/>
      <c r="K148" s="26"/>
      <c r="L148" s="99">
        <f>+L146/$D146</f>
        <v>109.78604166666665</v>
      </c>
      <c r="M148" s="26"/>
      <c r="N148" s="76"/>
      <c r="O148" s="31"/>
      <c r="P148" s="76"/>
      <c r="Q148" s="26"/>
      <c r="R148" s="32"/>
      <c r="S148" s="75"/>
      <c r="T148" s="99">
        <f>+T146/$D146</f>
        <v>121.72524671086865</v>
      </c>
      <c r="U148" s="75">
        <f>+T148-L148</f>
        <v>11.939205044201998</v>
      </c>
      <c r="V148" s="75">
        <f>U148/L148</f>
        <v>0.10874975418507134</v>
      </c>
      <c r="W148" s="34"/>
      <c r="X148" s="45"/>
      <c r="Y148" s="46"/>
      <c r="Z148" s="46"/>
      <c r="AA148" s="46"/>
      <c r="AB148" s="46"/>
      <c r="AC148" s="46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18"/>
      <c r="AS148" s="18"/>
      <c r="AT148" s="18"/>
      <c r="AU148" s="19"/>
      <c r="AV148" s="18"/>
    </row>
    <row r="149" spans="1:48" ht="12.75" thickTop="1">
      <c r="A149" s="73" t="s">
        <v>72</v>
      </c>
      <c r="B149" s="26">
        <v>6537</v>
      </c>
      <c r="C149" s="74"/>
      <c r="D149" s="26"/>
      <c r="E149" s="74"/>
      <c r="F149" s="26"/>
      <c r="G149" s="26"/>
      <c r="H149" s="105"/>
      <c r="I149" s="75"/>
      <c r="J149" s="29"/>
      <c r="K149" s="26"/>
      <c r="L149" s="29"/>
      <c r="M149" s="26"/>
      <c r="N149" s="76"/>
      <c r="O149" s="31"/>
      <c r="P149" s="76"/>
      <c r="Q149" s="26"/>
      <c r="R149" s="32"/>
      <c r="S149" s="74"/>
      <c r="T149" s="77"/>
      <c r="U149" s="74"/>
      <c r="V149" s="74"/>
      <c r="W149" s="56"/>
      <c r="X149" s="45"/>
      <c r="Y149" s="46"/>
      <c r="Z149" s="46"/>
      <c r="AA149" s="46"/>
      <c r="AB149" s="46"/>
      <c r="AC149" s="46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48"/>
      <c r="AS149" s="48"/>
      <c r="AT149" s="48"/>
      <c r="AU149" s="48"/>
      <c r="AV149" s="48"/>
    </row>
    <row r="150" spans="1:48">
      <c r="A150" s="78" t="s">
        <v>65</v>
      </c>
      <c r="B150" s="79"/>
      <c r="C150" s="80"/>
      <c r="D150" s="79">
        <v>191.99999999999963</v>
      </c>
      <c r="E150" s="74"/>
      <c r="F150" s="26"/>
      <c r="G150" s="26"/>
      <c r="H150" s="81">
        <v>78.8</v>
      </c>
      <c r="I150" s="75"/>
      <c r="J150" s="29">
        <f>+D150*H150</f>
        <v>15129.599999999969</v>
      </c>
      <c r="K150" s="26"/>
      <c r="L150" s="29">
        <f>+J150</f>
        <v>15129.599999999969</v>
      </c>
      <c r="M150" s="26"/>
      <c r="N150" s="76">
        <f>+D150</f>
        <v>191.99999999999963</v>
      </c>
      <c r="O150" s="31"/>
      <c r="P150" s="76"/>
      <c r="Q150" s="26"/>
      <c r="R150" s="82">
        <f>+H150*(1+$W$5)</f>
        <v>87.369480629783624</v>
      </c>
      <c r="S150" s="75"/>
      <c r="T150" s="83">
        <f>+N150*R150</f>
        <v>16774.940280918425</v>
      </c>
      <c r="U150" s="75"/>
      <c r="V150" s="75"/>
      <c r="W150" s="34"/>
      <c r="X150" s="45"/>
      <c r="Y150" s="46"/>
      <c r="Z150" s="46"/>
      <c r="AA150" s="46"/>
      <c r="AB150" s="46"/>
      <c r="AC150" s="46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18"/>
      <c r="AS150" s="18"/>
      <c r="AT150" s="18"/>
      <c r="AU150" s="19"/>
      <c r="AV150" s="18"/>
    </row>
    <row r="151" spans="1:48">
      <c r="A151" s="78" t="s">
        <v>66</v>
      </c>
      <c r="B151" s="79"/>
      <c r="C151" s="80"/>
      <c r="D151" s="79"/>
      <c r="E151" s="74"/>
      <c r="F151" s="26">
        <v>292.99999999999994</v>
      </c>
      <c r="G151" s="26"/>
      <c r="H151" s="84">
        <v>3.29</v>
      </c>
      <c r="I151" s="75"/>
      <c r="J151" s="76">
        <f>+F151*H151</f>
        <v>963.9699999999998</v>
      </c>
      <c r="K151" s="26"/>
      <c r="L151" s="29">
        <f t="shared" ref="L151:L154" si="71">+J151</f>
        <v>963.9699999999998</v>
      </c>
      <c r="M151" s="26"/>
      <c r="N151" s="76"/>
      <c r="O151" s="31"/>
      <c r="P151" s="76">
        <f>+F151</f>
        <v>292.99999999999994</v>
      </c>
      <c r="Q151" s="26"/>
      <c r="R151" s="82">
        <f t="shared" ref="R151:R154" si="72">+H151*(1+$W$5)</f>
        <v>3.6477866912688852</v>
      </c>
      <c r="S151" s="75"/>
      <c r="T151" s="83">
        <f>+P151*R151</f>
        <v>1068.8015005417831</v>
      </c>
      <c r="U151" s="75"/>
      <c r="V151" s="75"/>
      <c r="W151" s="34"/>
      <c r="X151" s="45"/>
      <c r="Y151" s="46"/>
      <c r="Z151" s="46"/>
      <c r="AA151" s="46"/>
      <c r="AB151" s="46"/>
      <c r="AC151" s="46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18"/>
      <c r="AS151" s="18"/>
      <c r="AT151" s="18"/>
      <c r="AU151" s="19"/>
      <c r="AV151" s="18"/>
    </row>
    <row r="152" spans="1:48">
      <c r="A152" s="78" t="s">
        <v>21</v>
      </c>
      <c r="B152" s="79"/>
      <c r="C152" s="80"/>
      <c r="D152" s="79"/>
      <c r="E152" s="74"/>
      <c r="F152" s="26">
        <v>1521</v>
      </c>
      <c r="G152" s="26"/>
      <c r="H152" s="84">
        <v>3.12</v>
      </c>
      <c r="I152" s="75"/>
      <c r="J152" s="76">
        <f t="shared" ref="J152:J154" si="73">+F152*H152</f>
        <v>4745.5200000000004</v>
      </c>
      <c r="K152" s="26"/>
      <c r="L152" s="29">
        <f t="shared" si="71"/>
        <v>4745.5200000000004</v>
      </c>
      <c r="M152" s="26"/>
      <c r="N152" s="76"/>
      <c r="O152" s="31"/>
      <c r="P152" s="76">
        <f t="shared" ref="P152:P154" si="74">+F152</f>
        <v>1521</v>
      </c>
      <c r="Q152" s="26"/>
      <c r="R152" s="82">
        <f t="shared" si="72"/>
        <v>3.4592992330574233</v>
      </c>
      <c r="S152" s="75"/>
      <c r="T152" s="83">
        <f t="shared" ref="T152:T154" si="75">+P152*R152</f>
        <v>5261.594133480341</v>
      </c>
      <c r="U152" s="75"/>
      <c r="V152" s="75"/>
      <c r="W152" s="56"/>
      <c r="X152" s="45"/>
      <c r="Y152" s="46"/>
      <c r="Z152" s="46"/>
      <c r="AA152" s="46"/>
      <c r="AB152" s="46"/>
      <c r="AC152" s="46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18"/>
      <c r="AS152" s="18"/>
      <c r="AT152" s="18"/>
      <c r="AU152" s="19"/>
      <c r="AV152" s="18"/>
    </row>
    <row r="153" spans="1:48">
      <c r="A153" s="78" t="s">
        <v>22</v>
      </c>
      <c r="B153" s="79"/>
      <c r="C153" s="80"/>
      <c r="D153" s="79"/>
      <c r="E153" s="74"/>
      <c r="F153" s="26">
        <v>1595.0000000000005</v>
      </c>
      <c r="G153" s="26"/>
      <c r="H153" s="84">
        <v>2.79</v>
      </c>
      <c r="I153" s="75"/>
      <c r="J153" s="76">
        <f t="shared" si="73"/>
        <v>4450.0500000000011</v>
      </c>
      <c r="K153" s="26"/>
      <c r="L153" s="29">
        <f t="shared" si="71"/>
        <v>4450.0500000000011</v>
      </c>
      <c r="M153" s="26"/>
      <c r="N153" s="76"/>
      <c r="O153" s="31"/>
      <c r="P153" s="76">
        <f t="shared" si="74"/>
        <v>1595.0000000000005</v>
      </c>
      <c r="Q153" s="26"/>
      <c r="R153" s="82">
        <f t="shared" si="72"/>
        <v>3.0934118141763496</v>
      </c>
      <c r="S153" s="75"/>
      <c r="T153" s="83">
        <f t="shared" si="75"/>
        <v>4933.9918436112794</v>
      </c>
      <c r="U153" s="75"/>
      <c r="V153" s="75"/>
      <c r="W153" s="56"/>
      <c r="X153" s="45"/>
      <c r="Y153" s="46"/>
      <c r="Z153" s="46"/>
      <c r="AA153" s="46"/>
      <c r="AB153" s="46"/>
      <c r="AC153" s="46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18"/>
      <c r="AS153" s="48"/>
      <c r="AT153" s="18"/>
      <c r="AU153" s="19"/>
      <c r="AV153" s="18"/>
    </row>
    <row r="154" spans="1:48">
      <c r="A154" s="78" t="s">
        <v>23</v>
      </c>
      <c r="B154" s="79"/>
      <c r="C154" s="80"/>
      <c r="D154" s="79"/>
      <c r="E154" s="74"/>
      <c r="F154" s="26">
        <v>1019</v>
      </c>
      <c r="G154" s="26"/>
      <c r="H154" s="84">
        <v>2.5499999999999998</v>
      </c>
      <c r="I154" s="75"/>
      <c r="J154" s="76">
        <f t="shared" si="73"/>
        <v>2598.4499999999998</v>
      </c>
      <c r="K154" s="26"/>
      <c r="L154" s="29">
        <f t="shared" si="71"/>
        <v>2598.4499999999998</v>
      </c>
      <c r="M154" s="26"/>
      <c r="N154" s="76"/>
      <c r="O154" s="31"/>
      <c r="P154" s="76">
        <f t="shared" si="74"/>
        <v>1019</v>
      </c>
      <c r="Q154" s="26"/>
      <c r="R154" s="82">
        <f t="shared" si="72"/>
        <v>2.827311873171932</v>
      </c>
      <c r="S154" s="75"/>
      <c r="T154" s="83">
        <f t="shared" si="75"/>
        <v>2881.0307987621986</v>
      </c>
      <c r="U154" s="75"/>
      <c r="V154" s="75"/>
      <c r="W154" s="56"/>
      <c r="X154" s="45"/>
      <c r="Y154" s="46"/>
      <c r="Z154" s="46"/>
      <c r="AA154" s="46"/>
      <c r="AB154" s="46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18"/>
      <c r="AS154" s="48"/>
      <c r="AT154" s="18"/>
      <c r="AU154" s="19"/>
      <c r="AV154" s="18"/>
    </row>
    <row r="155" spans="1:48" s="97" customFormat="1" ht="12.75" thickBot="1">
      <c r="A155" s="88" t="s">
        <v>73</v>
      </c>
      <c r="B155" s="103">
        <f>SUM(B149:B154)</f>
        <v>6537</v>
      </c>
      <c r="C155" s="90"/>
      <c r="D155" s="103">
        <f>SUM(D149:D154)</f>
        <v>191.99999999999963</v>
      </c>
      <c r="E155" s="90"/>
      <c r="F155" s="103">
        <f>SUM(F149:F154)</f>
        <v>4428</v>
      </c>
      <c r="G155" s="62"/>
      <c r="H155" s="64"/>
      <c r="I155" s="63"/>
      <c r="J155" s="104">
        <f>SUM(J150:J154)</f>
        <v>27887.589999999971</v>
      </c>
      <c r="K155" s="62"/>
      <c r="L155" s="104">
        <f>SUM(L150:L154)</f>
        <v>27887.589999999971</v>
      </c>
      <c r="M155" s="62"/>
      <c r="N155" s="103">
        <f>SUM(N149:N154)</f>
        <v>191.99999999999963</v>
      </c>
      <c r="O155" s="67"/>
      <c r="P155" s="103">
        <f>SUM(P149:P154)</f>
        <v>4428</v>
      </c>
      <c r="Q155" s="62"/>
      <c r="R155" s="82"/>
      <c r="S155" s="90"/>
      <c r="T155" s="104">
        <f>SUM(T150:T154)</f>
        <v>30920.35855731403</v>
      </c>
      <c r="U155" s="90"/>
      <c r="V155" s="90"/>
      <c r="W155" s="87"/>
      <c r="X155" s="93"/>
      <c r="Y155" s="94"/>
      <c r="Z155" s="94"/>
      <c r="AA155" s="94"/>
      <c r="AB155" s="94"/>
      <c r="AC155" s="94"/>
      <c r="AD155" s="94" t="s">
        <v>25</v>
      </c>
      <c r="AE155" s="70"/>
      <c r="AF155" s="63"/>
      <c r="AG155" s="90"/>
      <c r="AH155" s="90"/>
      <c r="AI155" s="90"/>
      <c r="AJ155" s="63"/>
      <c r="AK155" s="95"/>
      <c r="AL155" s="63"/>
      <c r="AM155" s="95"/>
      <c r="AN155" s="63"/>
      <c r="AO155" s="95"/>
      <c r="AP155" s="63"/>
      <c r="AQ155" s="95"/>
      <c r="AR155" s="96"/>
      <c r="AS155" s="96"/>
      <c r="AT155" s="96"/>
      <c r="AU155" s="96"/>
      <c r="AV155" s="96"/>
    </row>
    <row r="156" spans="1:48" ht="12.75" thickTop="1">
      <c r="A156" s="88"/>
      <c r="B156" s="79"/>
      <c r="C156" s="80"/>
      <c r="D156" s="79"/>
      <c r="E156" s="74"/>
      <c r="F156" s="26"/>
      <c r="G156" s="26"/>
      <c r="H156" s="28"/>
      <c r="I156" s="75"/>
      <c r="J156" s="29"/>
      <c r="K156" s="26"/>
      <c r="L156" s="29"/>
      <c r="M156" s="26"/>
      <c r="N156" s="76"/>
      <c r="O156" s="31"/>
      <c r="P156" s="76"/>
      <c r="Q156" s="26"/>
      <c r="R156" s="32"/>
      <c r="S156" s="75"/>
      <c r="T156" s="33"/>
      <c r="U156" s="75"/>
      <c r="V156" s="75"/>
      <c r="W156" s="34"/>
      <c r="X156" s="45"/>
      <c r="Y156" s="46"/>
      <c r="Z156" s="46"/>
      <c r="AA156" s="46"/>
      <c r="AB156" s="46"/>
      <c r="AC156" s="46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18"/>
      <c r="AS156" s="18"/>
      <c r="AT156" s="18"/>
      <c r="AU156" s="19"/>
      <c r="AV156" s="18"/>
    </row>
    <row r="157" spans="1:48" ht="12.75" thickBot="1">
      <c r="A157" s="98" t="s">
        <v>74</v>
      </c>
      <c r="B157" s="79"/>
      <c r="C157" s="80"/>
      <c r="D157" s="79"/>
      <c r="E157" s="74"/>
      <c r="F157" s="26"/>
      <c r="G157" s="26"/>
      <c r="H157" s="28"/>
      <c r="I157" s="75"/>
      <c r="J157" s="29"/>
      <c r="K157" s="26"/>
      <c r="L157" s="99">
        <f>+L155/$D155</f>
        <v>145.24786458333347</v>
      </c>
      <c r="M157" s="26"/>
      <c r="N157" s="76"/>
      <c r="O157" s="31"/>
      <c r="P157" s="76"/>
      <c r="Q157" s="26"/>
      <c r="R157" s="32"/>
      <c r="S157" s="75"/>
      <c r="T157" s="99">
        <f>+T155/$D155</f>
        <v>161.04353415267755</v>
      </c>
      <c r="U157" s="75">
        <f>+T157-L157</f>
        <v>15.795669569344085</v>
      </c>
      <c r="V157" s="75">
        <f>U157/L157</f>
        <v>0.10874975418507163</v>
      </c>
      <c r="W157" s="34"/>
      <c r="X157" s="45"/>
      <c r="Y157" s="46"/>
      <c r="Z157" s="46"/>
      <c r="AA157" s="46"/>
      <c r="AB157" s="46"/>
      <c r="AC157" s="46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18"/>
      <c r="AS157" s="18"/>
      <c r="AT157" s="18"/>
      <c r="AU157" s="19"/>
      <c r="AV157" s="18"/>
    </row>
    <row r="158" spans="1:48" ht="12.75" thickTop="1">
      <c r="A158" s="98"/>
      <c r="B158" s="79"/>
      <c r="C158" s="80"/>
      <c r="D158" s="79"/>
      <c r="E158" s="74"/>
      <c r="F158" s="26"/>
      <c r="G158" s="26"/>
      <c r="H158" s="28"/>
      <c r="I158" s="75"/>
      <c r="J158" s="29"/>
      <c r="K158" s="26"/>
      <c r="L158" s="29"/>
      <c r="M158" s="26"/>
      <c r="N158" s="76"/>
      <c r="O158" s="31"/>
      <c r="P158" s="76"/>
      <c r="Q158" s="26"/>
      <c r="R158" s="32"/>
      <c r="S158" s="75"/>
      <c r="T158" s="106"/>
      <c r="U158" s="75"/>
      <c r="V158" s="75"/>
      <c r="W158" s="34"/>
      <c r="X158" s="45"/>
      <c r="Y158" s="46"/>
      <c r="Z158" s="46"/>
      <c r="AA158" s="46"/>
      <c r="AB158" s="46"/>
      <c r="AC158" s="46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18"/>
      <c r="AS158" s="18"/>
      <c r="AT158" s="18"/>
      <c r="AU158" s="19"/>
      <c r="AV158" s="18"/>
    </row>
    <row r="159" spans="1:48">
      <c r="A159" s="73" t="s">
        <v>75</v>
      </c>
      <c r="B159" s="26">
        <v>4137</v>
      </c>
      <c r="C159" s="74"/>
      <c r="D159" s="26"/>
      <c r="E159" s="74"/>
      <c r="F159" s="26"/>
      <c r="G159" s="26"/>
      <c r="H159" s="105"/>
      <c r="I159" s="75"/>
      <c r="J159" s="29"/>
      <c r="K159" s="26"/>
      <c r="L159" s="29"/>
      <c r="M159" s="26"/>
      <c r="N159" s="76"/>
      <c r="O159" s="31"/>
      <c r="P159" s="76"/>
      <c r="Q159" s="26"/>
      <c r="R159" s="32"/>
      <c r="S159" s="74"/>
      <c r="T159" s="77"/>
      <c r="U159" s="74"/>
      <c r="V159" s="74"/>
      <c r="W159" s="56"/>
      <c r="X159" s="45"/>
      <c r="Y159" s="46"/>
      <c r="Z159" s="46"/>
      <c r="AA159" s="46"/>
      <c r="AB159" s="46"/>
      <c r="AC159" s="46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48"/>
      <c r="AS159" s="48"/>
      <c r="AT159" s="48"/>
      <c r="AU159" s="48"/>
      <c r="AV159" s="48"/>
    </row>
    <row r="160" spans="1:48">
      <c r="A160" s="78" t="s">
        <v>76</v>
      </c>
      <c r="B160" s="79"/>
      <c r="C160" s="80"/>
      <c r="D160" s="79">
        <v>36.000000000000021</v>
      </c>
      <c r="E160" s="74"/>
      <c r="F160" s="26"/>
      <c r="G160" s="26"/>
      <c r="H160" s="81">
        <v>220.05</v>
      </c>
      <c r="I160" s="75"/>
      <c r="J160" s="29">
        <f>+D160*H160</f>
        <v>7921.8000000000047</v>
      </c>
      <c r="K160" s="26"/>
      <c r="L160" s="29">
        <f>+J160</f>
        <v>7921.8000000000047</v>
      </c>
      <c r="M160" s="26"/>
      <c r="N160" s="76">
        <f>+D160</f>
        <v>36.000000000000021</v>
      </c>
      <c r="O160" s="31"/>
      <c r="P160" s="76"/>
      <c r="Q160" s="26"/>
      <c r="R160" s="82">
        <f>+H160*(1+$W$5)</f>
        <v>243.98038340842498</v>
      </c>
      <c r="S160" s="75"/>
      <c r="T160" s="83">
        <f>+N160*R160</f>
        <v>8783.2938027033051</v>
      </c>
      <c r="U160" s="75"/>
      <c r="V160" s="75"/>
      <c r="W160" s="34"/>
      <c r="X160" s="45"/>
      <c r="Y160" s="46"/>
      <c r="Z160" s="46"/>
      <c r="AA160" s="46"/>
      <c r="AB160" s="46"/>
      <c r="AC160" s="46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18"/>
      <c r="AS160" s="18"/>
      <c r="AT160" s="18"/>
      <c r="AU160" s="19"/>
      <c r="AV160" s="18"/>
    </row>
    <row r="161" spans="1:48">
      <c r="A161" s="78" t="s">
        <v>77</v>
      </c>
      <c r="B161" s="79"/>
      <c r="C161" s="80"/>
      <c r="D161" s="79"/>
      <c r="E161" s="74"/>
      <c r="F161" s="26">
        <v>768.00000000000011</v>
      </c>
      <c r="G161" s="26"/>
      <c r="H161" s="84">
        <v>2.79</v>
      </c>
      <c r="I161" s="75"/>
      <c r="J161" s="76">
        <f>+F161*H161</f>
        <v>2142.7200000000003</v>
      </c>
      <c r="K161" s="26"/>
      <c r="L161" s="29">
        <f>+J161</f>
        <v>2142.7200000000003</v>
      </c>
      <c r="M161" s="26"/>
      <c r="N161" s="76"/>
      <c r="O161" s="31"/>
      <c r="P161" s="76">
        <f>+F161</f>
        <v>768.00000000000011</v>
      </c>
      <c r="Q161" s="26"/>
      <c r="R161" s="82">
        <f t="shared" ref="R161:R162" si="76">+H161*(1+$W$5)</f>
        <v>3.0934118141763496</v>
      </c>
      <c r="S161" s="75"/>
      <c r="T161" s="83">
        <f>+P161*R161</f>
        <v>2375.740273287437</v>
      </c>
      <c r="U161" s="75"/>
      <c r="V161" s="75"/>
      <c r="W161" s="34"/>
      <c r="X161" s="45"/>
      <c r="Y161" s="46"/>
      <c r="Z161" s="46"/>
      <c r="AA161" s="46"/>
      <c r="AB161" s="46"/>
      <c r="AC161" s="46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18"/>
      <c r="AS161" s="18"/>
      <c r="AT161" s="18"/>
      <c r="AU161" s="19"/>
      <c r="AV161" s="18"/>
    </row>
    <row r="162" spans="1:48">
      <c r="A162" s="78" t="s">
        <v>23</v>
      </c>
      <c r="B162" s="79"/>
      <c r="C162" s="80"/>
      <c r="D162" s="79"/>
      <c r="E162" s="74"/>
      <c r="F162" s="26">
        <v>1480.9999999999998</v>
      </c>
      <c r="G162" s="26"/>
      <c r="H162" s="84">
        <v>2.5499999999999998</v>
      </c>
      <c r="I162" s="75"/>
      <c r="J162" s="76">
        <f>+F162*H162</f>
        <v>3776.5499999999993</v>
      </c>
      <c r="K162" s="26"/>
      <c r="L162" s="29">
        <f>+J162</f>
        <v>3776.5499999999993</v>
      </c>
      <c r="M162" s="26"/>
      <c r="N162" s="76"/>
      <c r="O162" s="31"/>
      <c r="P162" s="76">
        <f t="shared" ref="P162" si="77">+F162</f>
        <v>1480.9999999999998</v>
      </c>
      <c r="Q162" s="26"/>
      <c r="R162" s="82">
        <f t="shared" si="76"/>
        <v>2.827311873171932</v>
      </c>
      <c r="S162" s="75"/>
      <c r="T162" s="83">
        <f t="shared" ref="T162" si="78">+P162*R162</f>
        <v>4187.2488841676304</v>
      </c>
      <c r="U162" s="75"/>
      <c r="V162" s="75"/>
      <c r="W162" s="56"/>
      <c r="X162" s="45"/>
      <c r="Y162" s="46"/>
      <c r="Z162" s="46"/>
      <c r="AA162" s="46"/>
      <c r="AB162" s="46"/>
      <c r="AC162" s="46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18"/>
      <c r="AS162" s="18"/>
      <c r="AT162" s="18"/>
      <c r="AU162" s="19"/>
      <c r="AV162" s="18"/>
    </row>
    <row r="163" spans="1:48" s="97" customFormat="1" ht="12.75" thickBot="1">
      <c r="A163" s="88" t="s">
        <v>78</v>
      </c>
      <c r="B163" s="103">
        <f>SUM(B159:B162)</f>
        <v>4137</v>
      </c>
      <c r="C163" s="90"/>
      <c r="D163" s="103">
        <f>SUM(D159:D162)</f>
        <v>36.000000000000021</v>
      </c>
      <c r="E163" s="90"/>
      <c r="F163" s="103">
        <f>SUM(F159:F162)</f>
        <v>2249</v>
      </c>
      <c r="G163" s="62"/>
      <c r="H163" s="64"/>
      <c r="I163" s="63"/>
      <c r="J163" s="91">
        <f>SUM(J160:J162)</f>
        <v>13841.070000000003</v>
      </c>
      <c r="K163" s="62"/>
      <c r="L163" s="91">
        <f>SUM(L160:L162)</f>
        <v>13841.070000000003</v>
      </c>
      <c r="M163" s="62"/>
      <c r="N163" s="107">
        <f>SUM(N160:N162)</f>
        <v>36.000000000000021</v>
      </c>
      <c r="O163" s="31"/>
      <c r="P163" s="107">
        <f>SUM(P160:P162)</f>
        <v>2249</v>
      </c>
      <c r="Q163" s="62"/>
      <c r="R163" s="32"/>
      <c r="S163" s="90"/>
      <c r="T163" s="107">
        <f>SUM(T160:T162)</f>
        <v>15346.282960158373</v>
      </c>
      <c r="U163" s="90"/>
      <c r="V163" s="90"/>
      <c r="W163" s="87"/>
      <c r="X163" s="93"/>
      <c r="Y163" s="94"/>
      <c r="Z163" s="94"/>
      <c r="AA163" s="94"/>
      <c r="AB163" s="94"/>
      <c r="AC163" s="94"/>
      <c r="AD163" s="94" t="s">
        <v>25</v>
      </c>
      <c r="AE163" s="70"/>
      <c r="AF163" s="63"/>
      <c r="AG163" s="90"/>
      <c r="AH163" s="90"/>
      <c r="AI163" s="90"/>
      <c r="AJ163" s="63"/>
      <c r="AK163" s="95"/>
      <c r="AL163" s="63"/>
      <c r="AM163" s="95"/>
      <c r="AN163" s="63"/>
      <c r="AO163" s="95"/>
      <c r="AP163" s="63"/>
      <c r="AQ163" s="95"/>
      <c r="AR163" s="96"/>
      <c r="AS163" s="96"/>
      <c r="AT163" s="96"/>
      <c r="AU163" s="96"/>
      <c r="AV163" s="96"/>
    </row>
    <row r="164" spans="1:48" ht="12.75" thickTop="1">
      <c r="A164" s="88"/>
      <c r="B164" s="79"/>
      <c r="C164" s="80"/>
      <c r="D164" s="79"/>
      <c r="E164" s="74"/>
      <c r="F164" s="26"/>
      <c r="G164" s="26"/>
      <c r="H164" s="28"/>
      <c r="I164" s="75"/>
      <c r="J164" s="29"/>
      <c r="K164" s="26"/>
      <c r="L164" s="29"/>
      <c r="M164" s="26"/>
      <c r="N164" s="76"/>
      <c r="O164" s="31"/>
      <c r="P164" s="76"/>
      <c r="Q164" s="26"/>
      <c r="R164" s="32"/>
      <c r="S164" s="75"/>
      <c r="T164" s="33"/>
      <c r="U164" s="75"/>
      <c r="V164" s="75"/>
      <c r="W164" s="34"/>
      <c r="X164" s="45"/>
      <c r="Y164" s="46"/>
      <c r="Z164" s="46"/>
      <c r="AA164" s="46"/>
      <c r="AB164" s="46"/>
      <c r="AC164" s="46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18"/>
      <c r="AS164" s="18"/>
      <c r="AT164" s="18"/>
      <c r="AU164" s="19"/>
      <c r="AV164" s="18"/>
    </row>
    <row r="165" spans="1:48" ht="12.75" thickBot="1">
      <c r="A165" s="98" t="s">
        <v>79</v>
      </c>
      <c r="B165" s="79"/>
      <c r="C165" s="80"/>
      <c r="D165" s="79"/>
      <c r="E165" s="74"/>
      <c r="F165" s="26"/>
      <c r="G165" s="26"/>
      <c r="H165" s="28"/>
      <c r="I165" s="75"/>
      <c r="J165" s="29"/>
      <c r="K165" s="26"/>
      <c r="L165" s="99">
        <f>+L163/$D163</f>
        <v>384.47416666666652</v>
      </c>
      <c r="M165" s="26"/>
      <c r="N165" s="76"/>
      <c r="O165" s="31"/>
      <c r="P165" s="76"/>
      <c r="Q165" s="26"/>
      <c r="R165" s="32"/>
      <c r="S165" s="75"/>
      <c r="T165" s="99">
        <f>+T163/$D163</f>
        <v>426.28563778217676</v>
      </c>
      <c r="U165" s="75">
        <f>+T165-L165</f>
        <v>41.811471115510244</v>
      </c>
      <c r="V165" s="75">
        <f>U165/L165</f>
        <v>0.10874975418507163</v>
      </c>
      <c r="W165" s="34"/>
      <c r="X165" s="45"/>
      <c r="Y165" s="46"/>
      <c r="Z165" s="46"/>
      <c r="AA165" s="46"/>
      <c r="AB165" s="46"/>
      <c r="AC165" s="46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18"/>
      <c r="AS165" s="18"/>
      <c r="AT165" s="18"/>
      <c r="AU165" s="19"/>
      <c r="AV165" s="18"/>
    </row>
    <row r="166" spans="1:48" ht="12.75" thickTop="1">
      <c r="A166" s="73" t="s">
        <v>80</v>
      </c>
      <c r="B166" s="26">
        <v>11626</v>
      </c>
      <c r="C166" s="74"/>
      <c r="D166" s="26"/>
      <c r="E166" s="74"/>
      <c r="F166" s="26"/>
      <c r="G166" s="26"/>
      <c r="H166" s="105"/>
      <c r="I166" s="75"/>
      <c r="J166" s="29"/>
      <c r="K166" s="26"/>
      <c r="L166" s="29"/>
      <c r="M166" s="26"/>
      <c r="N166" s="76"/>
      <c r="O166" s="31"/>
      <c r="P166" s="76"/>
      <c r="Q166" s="26"/>
      <c r="R166" s="32"/>
      <c r="S166" s="74"/>
      <c r="T166" s="77"/>
      <c r="U166" s="74"/>
      <c r="V166" s="74"/>
      <c r="W166" s="56"/>
      <c r="X166" s="45"/>
      <c r="Y166" s="46"/>
      <c r="Z166" s="46"/>
      <c r="AA166" s="46"/>
      <c r="AB166" s="46"/>
      <c r="AC166" s="46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48"/>
      <c r="AS166" s="48"/>
      <c r="AT166" s="48"/>
      <c r="AU166" s="48"/>
      <c r="AV166" s="48"/>
    </row>
    <row r="167" spans="1:48">
      <c r="A167" s="78" t="s">
        <v>76</v>
      </c>
      <c r="B167" s="79"/>
      <c r="C167" s="80"/>
      <c r="D167" s="79">
        <v>49.999999999999972</v>
      </c>
      <c r="E167" s="74"/>
      <c r="F167" s="26"/>
      <c r="G167" s="26"/>
      <c r="H167" s="81">
        <v>220.05</v>
      </c>
      <c r="I167" s="75"/>
      <c r="J167" s="29">
        <f>+D167*H167</f>
        <v>11002.499999999995</v>
      </c>
      <c r="K167" s="26"/>
      <c r="L167" s="29">
        <f>+J167</f>
        <v>11002.499999999995</v>
      </c>
      <c r="M167" s="26"/>
      <c r="N167" s="76">
        <f>+D167</f>
        <v>49.999999999999972</v>
      </c>
      <c r="O167" s="31"/>
      <c r="P167" s="76"/>
      <c r="Q167" s="26"/>
      <c r="R167" s="82">
        <f>+H167*(1+$W$5)</f>
        <v>243.98038340842498</v>
      </c>
      <c r="S167" s="75"/>
      <c r="T167" s="83">
        <f>+N167*R167</f>
        <v>12199.019170421243</v>
      </c>
      <c r="U167" s="75"/>
      <c r="V167" s="75"/>
      <c r="W167" s="34"/>
      <c r="X167" s="45"/>
      <c r="Y167" s="46"/>
      <c r="Z167" s="46"/>
      <c r="AA167" s="46"/>
      <c r="AB167" s="46"/>
      <c r="AC167" s="46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18"/>
      <c r="AS167" s="18"/>
      <c r="AT167" s="18"/>
      <c r="AU167" s="19"/>
      <c r="AV167" s="18"/>
    </row>
    <row r="168" spans="1:48">
      <c r="A168" s="78" t="s">
        <v>77</v>
      </c>
      <c r="B168" s="79"/>
      <c r="C168" s="80"/>
      <c r="D168" s="79"/>
      <c r="E168" s="74"/>
      <c r="F168" s="26">
        <v>447.99999999999994</v>
      </c>
      <c r="G168" s="26"/>
      <c r="H168" s="84">
        <v>2.79</v>
      </c>
      <c r="I168" s="75"/>
      <c r="J168" s="76">
        <f>+F168*H168</f>
        <v>1249.9199999999998</v>
      </c>
      <c r="K168" s="26"/>
      <c r="L168" s="29">
        <f t="shared" ref="L168:L169" si="79">+J168</f>
        <v>1249.9199999999998</v>
      </c>
      <c r="M168" s="26"/>
      <c r="N168" s="76"/>
      <c r="O168" s="31"/>
      <c r="P168" s="76">
        <f>+F168</f>
        <v>447.99999999999994</v>
      </c>
      <c r="Q168" s="26"/>
      <c r="R168" s="82">
        <f>+H168*(1+$W$5)</f>
        <v>3.0934118141763496</v>
      </c>
      <c r="S168" s="75"/>
      <c r="T168" s="83">
        <f>+P168*R168</f>
        <v>1385.8484927510044</v>
      </c>
      <c r="U168" s="75"/>
      <c r="V168" s="75"/>
      <c r="W168" s="34"/>
      <c r="X168" s="45"/>
      <c r="Y168" s="46"/>
      <c r="Z168" s="46"/>
      <c r="AA168" s="46"/>
      <c r="AB168" s="46"/>
      <c r="AC168" s="46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18"/>
      <c r="AS168" s="18"/>
      <c r="AT168" s="18"/>
      <c r="AU168" s="19"/>
      <c r="AV168" s="18"/>
    </row>
    <row r="169" spans="1:48">
      <c r="A169" s="78" t="s">
        <v>23</v>
      </c>
      <c r="B169" s="79"/>
      <c r="C169" s="80"/>
      <c r="D169" s="79"/>
      <c r="E169" s="74"/>
      <c r="F169" s="26">
        <v>9959</v>
      </c>
      <c r="G169" s="26"/>
      <c r="H169" s="84">
        <v>2.5499999999999998</v>
      </c>
      <c r="I169" s="75"/>
      <c r="J169" s="76">
        <f t="shared" ref="J169" si="80">+F169*H169</f>
        <v>25395.449999999997</v>
      </c>
      <c r="K169" s="26"/>
      <c r="L169" s="29">
        <f t="shared" si="79"/>
        <v>25395.449999999997</v>
      </c>
      <c r="M169" s="26"/>
      <c r="N169" s="76"/>
      <c r="O169" s="31"/>
      <c r="P169" s="76">
        <f t="shared" ref="P169" si="81">+F169</f>
        <v>9959</v>
      </c>
      <c r="Q169" s="26"/>
      <c r="R169" s="82">
        <f>+H169*(1+$W$5)</f>
        <v>2.827311873171932</v>
      </c>
      <c r="S169" s="75"/>
      <c r="T169" s="83">
        <f t="shared" ref="T169" si="82">+P169*R169</f>
        <v>28157.19894491927</v>
      </c>
      <c r="U169" s="75"/>
      <c r="V169" s="75"/>
      <c r="W169" s="56"/>
      <c r="X169" s="45"/>
      <c r="Y169" s="46"/>
      <c r="Z169" s="46"/>
      <c r="AA169" s="46"/>
      <c r="AB169" s="46"/>
      <c r="AC169" s="46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18"/>
      <c r="AS169" s="18"/>
      <c r="AT169" s="18"/>
      <c r="AU169" s="19"/>
      <c r="AV169" s="18"/>
    </row>
    <row r="170" spans="1:48" s="97" customFormat="1" ht="12.75" thickBot="1">
      <c r="A170" s="88" t="s">
        <v>81</v>
      </c>
      <c r="B170" s="103">
        <f>SUM(B166:B169)</f>
        <v>11626</v>
      </c>
      <c r="C170" s="90"/>
      <c r="D170" s="103">
        <f>SUM(D166:D169)</f>
        <v>49.999999999999972</v>
      </c>
      <c r="E170" s="90"/>
      <c r="F170" s="103">
        <f>SUM(F166:F169)</f>
        <v>10407</v>
      </c>
      <c r="G170" s="62"/>
      <c r="H170" s="64"/>
      <c r="I170" s="63"/>
      <c r="J170" s="91">
        <f>SUM(J167:J169)</f>
        <v>37647.869999999995</v>
      </c>
      <c r="K170" s="62"/>
      <c r="L170" s="91">
        <f>SUM(L167:L169)</f>
        <v>37647.869999999995</v>
      </c>
      <c r="M170" s="62"/>
      <c r="N170" s="107">
        <f>SUM(N167:N169)</f>
        <v>49.999999999999972</v>
      </c>
      <c r="O170" s="31"/>
      <c r="P170" s="107">
        <f>SUM(P167:P169)</f>
        <v>10407</v>
      </c>
      <c r="Q170" s="62"/>
      <c r="R170" s="32"/>
      <c r="S170" s="90"/>
      <c r="T170" s="107">
        <f>SUM(T167:T169)</f>
        <v>41742.066608091518</v>
      </c>
      <c r="U170" s="90"/>
      <c r="V170" s="90"/>
      <c r="W170" s="87"/>
      <c r="X170" s="93"/>
      <c r="Y170" s="94"/>
      <c r="Z170" s="94"/>
      <c r="AA170" s="94"/>
      <c r="AB170" s="94"/>
      <c r="AC170" s="94"/>
      <c r="AD170" s="94" t="s">
        <v>25</v>
      </c>
      <c r="AE170" s="70"/>
      <c r="AF170" s="63"/>
      <c r="AG170" s="90"/>
      <c r="AH170" s="90"/>
      <c r="AI170" s="90"/>
      <c r="AJ170" s="63"/>
      <c r="AK170" s="95"/>
      <c r="AL170" s="63"/>
      <c r="AM170" s="95"/>
      <c r="AN170" s="63"/>
      <c r="AO170" s="95"/>
      <c r="AP170" s="63"/>
      <c r="AQ170" s="95"/>
      <c r="AR170" s="96"/>
      <c r="AS170" s="96"/>
      <c r="AT170" s="96"/>
      <c r="AU170" s="96"/>
      <c r="AV170" s="96"/>
    </row>
    <row r="171" spans="1:48" ht="12.75" thickTop="1">
      <c r="A171" s="88"/>
      <c r="B171" s="79"/>
      <c r="C171" s="80"/>
      <c r="D171" s="79"/>
      <c r="E171" s="74"/>
      <c r="F171" s="26"/>
      <c r="G171" s="26"/>
      <c r="H171" s="28"/>
      <c r="I171" s="75"/>
      <c r="J171" s="29"/>
      <c r="K171" s="26"/>
      <c r="L171" s="29"/>
      <c r="M171" s="26"/>
      <c r="N171" s="76"/>
      <c r="O171" s="31"/>
      <c r="P171" s="76"/>
      <c r="Q171" s="26"/>
      <c r="R171" s="32"/>
      <c r="S171" s="75"/>
      <c r="T171" s="33"/>
      <c r="U171" s="75"/>
      <c r="V171" s="75"/>
      <c r="W171" s="34"/>
      <c r="X171" s="45"/>
      <c r="Y171" s="46"/>
      <c r="Z171" s="46"/>
      <c r="AA171" s="46"/>
      <c r="AB171" s="46"/>
      <c r="AC171" s="46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18"/>
      <c r="AS171" s="18"/>
      <c r="AT171" s="18"/>
      <c r="AU171" s="19"/>
      <c r="AV171" s="18"/>
    </row>
    <row r="172" spans="1:48" ht="12.75" thickBot="1">
      <c r="A172" s="98" t="s">
        <v>82</v>
      </c>
      <c r="B172" s="79"/>
      <c r="C172" s="80"/>
      <c r="D172" s="79"/>
      <c r="E172" s="74"/>
      <c r="F172" s="26"/>
      <c r="G172" s="26"/>
      <c r="H172" s="28"/>
      <c r="I172" s="75"/>
      <c r="J172" s="29"/>
      <c r="K172" s="26"/>
      <c r="L172" s="99">
        <f>+L170/$D170</f>
        <v>752.95740000000035</v>
      </c>
      <c r="M172" s="26"/>
      <c r="N172" s="76"/>
      <c r="O172" s="31"/>
      <c r="P172" s="76"/>
      <c r="Q172" s="26"/>
      <c r="R172" s="32"/>
      <c r="S172" s="75"/>
      <c r="T172" s="99">
        <f>+T170/$D170</f>
        <v>834.84133216183079</v>
      </c>
      <c r="U172" s="75">
        <f>+T172-L172</f>
        <v>81.883932161830444</v>
      </c>
      <c r="V172" s="75">
        <f>U172/L172</f>
        <v>0.1087497541850713</v>
      </c>
      <c r="W172" s="34"/>
      <c r="X172" s="45"/>
      <c r="Y172" s="46"/>
      <c r="Z172" s="46"/>
      <c r="AA172" s="46"/>
      <c r="AB172" s="46"/>
      <c r="AC172" s="46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18"/>
      <c r="AS172" s="18"/>
      <c r="AT172" s="18"/>
      <c r="AU172" s="19"/>
      <c r="AV172" s="18"/>
    </row>
    <row r="173" spans="1:48" ht="12.75" thickTop="1">
      <c r="A173" s="73" t="s">
        <v>83</v>
      </c>
      <c r="B173" s="26">
        <v>8953</v>
      </c>
      <c r="C173" s="74"/>
      <c r="D173" s="26"/>
      <c r="E173" s="74"/>
      <c r="F173" s="26"/>
      <c r="G173" s="26"/>
      <c r="H173" s="105"/>
      <c r="I173" s="75"/>
      <c r="J173" s="29"/>
      <c r="K173" s="26"/>
      <c r="L173" s="29"/>
      <c r="M173" s="26"/>
      <c r="N173" s="76"/>
      <c r="O173" s="31"/>
      <c r="P173" s="76"/>
      <c r="Q173" s="26"/>
      <c r="R173" s="32"/>
      <c r="S173" s="74"/>
      <c r="T173" s="77"/>
      <c r="U173" s="74"/>
      <c r="V173" s="74"/>
      <c r="W173" s="56"/>
      <c r="X173" s="45"/>
      <c r="Y173" s="46"/>
      <c r="Z173" s="46"/>
      <c r="AA173" s="46"/>
      <c r="AB173" s="46"/>
      <c r="AC173" s="46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48"/>
      <c r="AS173" s="48"/>
      <c r="AT173" s="48"/>
      <c r="AU173" s="48"/>
      <c r="AV173" s="48"/>
    </row>
    <row r="174" spans="1:48">
      <c r="A174" s="78" t="s">
        <v>76</v>
      </c>
      <c r="B174" s="79"/>
      <c r="C174" s="80"/>
      <c r="D174" s="79">
        <v>12.000000000000002</v>
      </c>
      <c r="E174" s="74"/>
      <c r="F174" s="26"/>
      <c r="G174" s="26"/>
      <c r="H174" s="81">
        <v>220.05</v>
      </c>
      <c r="I174" s="75"/>
      <c r="J174" s="29">
        <f>+D174*H174</f>
        <v>2640.6000000000004</v>
      </c>
      <c r="K174" s="26"/>
      <c r="L174" s="29">
        <f>+J174</f>
        <v>2640.6000000000004</v>
      </c>
      <c r="M174" s="26"/>
      <c r="N174" s="76">
        <f>+D174</f>
        <v>12.000000000000002</v>
      </c>
      <c r="O174" s="31"/>
      <c r="P174" s="76"/>
      <c r="Q174" s="26"/>
      <c r="R174" s="82">
        <f>+H174*(1+$W$5)</f>
        <v>243.98038340842498</v>
      </c>
      <c r="S174" s="75"/>
      <c r="T174" s="83">
        <f>+N174*R174</f>
        <v>2927.7646009011</v>
      </c>
      <c r="U174" s="75"/>
      <c r="V174" s="75"/>
      <c r="W174" s="34"/>
      <c r="X174" s="45"/>
      <c r="Y174" s="46"/>
      <c r="Z174" s="46"/>
      <c r="AA174" s="46"/>
      <c r="AB174" s="46"/>
      <c r="AC174" s="46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18"/>
      <c r="AS174" s="18"/>
      <c r="AT174" s="18"/>
      <c r="AU174" s="19"/>
      <c r="AV174" s="18"/>
    </row>
    <row r="175" spans="1:48">
      <c r="A175" s="78" t="s">
        <v>77</v>
      </c>
      <c r="B175" s="79"/>
      <c r="C175" s="80"/>
      <c r="D175" s="79"/>
      <c r="E175" s="74"/>
      <c r="F175" s="26">
        <v>383.99999999999994</v>
      </c>
      <c r="G175" s="26"/>
      <c r="H175" s="84">
        <v>2.79</v>
      </c>
      <c r="I175" s="75"/>
      <c r="J175" s="76">
        <f>+F175*H175</f>
        <v>1071.3599999999999</v>
      </c>
      <c r="K175" s="26"/>
      <c r="L175" s="29">
        <f t="shared" ref="L175:L176" si="83">+J175</f>
        <v>1071.3599999999999</v>
      </c>
      <c r="M175" s="26"/>
      <c r="N175" s="76"/>
      <c r="O175" s="31"/>
      <c r="P175" s="76">
        <f>+F175</f>
        <v>383.99999999999994</v>
      </c>
      <c r="Q175" s="26"/>
      <c r="R175" s="82">
        <f t="shared" ref="R175:R176" si="84">+H175*(1+$W$5)</f>
        <v>3.0934118141763496</v>
      </c>
      <c r="S175" s="75"/>
      <c r="T175" s="83">
        <f>+P175*R175</f>
        <v>1187.8701366437181</v>
      </c>
      <c r="U175" s="75"/>
      <c r="V175" s="75"/>
      <c r="W175" s="34"/>
      <c r="X175" s="45"/>
      <c r="Y175" s="46"/>
      <c r="Z175" s="46"/>
      <c r="AA175" s="46"/>
      <c r="AB175" s="46"/>
      <c r="AC175" s="46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18"/>
      <c r="AS175" s="18"/>
      <c r="AT175" s="18"/>
      <c r="AU175" s="19"/>
      <c r="AV175" s="18"/>
    </row>
    <row r="176" spans="1:48">
      <c r="A176" s="78" t="s">
        <v>23</v>
      </c>
      <c r="B176" s="79"/>
      <c r="C176" s="80"/>
      <c r="D176" s="79"/>
      <c r="E176" s="74"/>
      <c r="F176" s="26">
        <v>7753</v>
      </c>
      <c r="G176" s="26"/>
      <c r="H176" s="84">
        <v>2.5499999999999998</v>
      </c>
      <c r="I176" s="75"/>
      <c r="J176" s="76">
        <f t="shared" ref="J176" si="85">+F176*H176</f>
        <v>19770.149999999998</v>
      </c>
      <c r="K176" s="26"/>
      <c r="L176" s="29">
        <f t="shared" si="83"/>
        <v>19770.149999999998</v>
      </c>
      <c r="M176" s="26"/>
      <c r="N176" s="76"/>
      <c r="O176" s="31"/>
      <c r="P176" s="76">
        <f t="shared" ref="P176" si="86">+F176</f>
        <v>7753</v>
      </c>
      <c r="Q176" s="26"/>
      <c r="R176" s="82">
        <f t="shared" si="84"/>
        <v>2.827311873171932</v>
      </c>
      <c r="S176" s="75"/>
      <c r="T176" s="83">
        <f t="shared" ref="T176" si="87">+P176*R176</f>
        <v>21920.148952701988</v>
      </c>
      <c r="U176" s="75"/>
      <c r="V176" s="75"/>
      <c r="W176" s="56"/>
      <c r="X176" s="45"/>
      <c r="Y176" s="46"/>
      <c r="Z176" s="46"/>
      <c r="AA176" s="46"/>
      <c r="AB176" s="46"/>
      <c r="AC176" s="46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18"/>
      <c r="AS176" s="18"/>
      <c r="AT176" s="18"/>
      <c r="AU176" s="19"/>
      <c r="AV176" s="18"/>
    </row>
    <row r="177" spans="1:48" s="97" customFormat="1" ht="12.75" thickBot="1">
      <c r="A177" s="88" t="s">
        <v>84</v>
      </c>
      <c r="B177" s="103">
        <f>SUM(B173:B176)</f>
        <v>8953</v>
      </c>
      <c r="C177" s="90"/>
      <c r="D177" s="103">
        <f>SUM(D173:D176)</f>
        <v>12.000000000000002</v>
      </c>
      <c r="E177" s="90"/>
      <c r="F177" s="103">
        <f>SUM(F173:F176)</f>
        <v>8137</v>
      </c>
      <c r="G177" s="62"/>
      <c r="H177" s="64"/>
      <c r="I177" s="63"/>
      <c r="J177" s="91">
        <f>SUM(J174:J176)</f>
        <v>23482.109999999997</v>
      </c>
      <c r="K177" s="62"/>
      <c r="L177" s="91">
        <f>SUM(L174:L176)</f>
        <v>23482.109999999997</v>
      </c>
      <c r="M177" s="62"/>
      <c r="N177" s="107">
        <f>SUM(N174:N176)</f>
        <v>12.000000000000002</v>
      </c>
      <c r="O177" s="31"/>
      <c r="P177" s="107">
        <f>SUM(P174:P176)</f>
        <v>8137</v>
      </c>
      <c r="Q177" s="62"/>
      <c r="R177" s="32"/>
      <c r="S177" s="90"/>
      <c r="T177" s="107">
        <f>SUM(T174:T176)</f>
        <v>26035.783690246804</v>
      </c>
      <c r="U177" s="90"/>
      <c r="V177" s="90"/>
      <c r="W177" s="87"/>
      <c r="X177" s="93"/>
      <c r="Y177" s="94"/>
      <c r="Z177" s="94"/>
      <c r="AA177" s="94"/>
      <c r="AB177" s="94"/>
      <c r="AC177" s="94"/>
      <c r="AD177" s="94" t="s">
        <v>25</v>
      </c>
      <c r="AE177" s="70"/>
      <c r="AF177" s="63"/>
      <c r="AG177" s="90"/>
      <c r="AH177" s="90"/>
      <c r="AI177" s="90"/>
      <c r="AJ177" s="63"/>
      <c r="AK177" s="95"/>
      <c r="AL177" s="63"/>
      <c r="AM177" s="95"/>
      <c r="AN177" s="63"/>
      <c r="AO177" s="95"/>
      <c r="AP177" s="63"/>
      <c r="AQ177" s="95"/>
      <c r="AR177" s="96"/>
      <c r="AS177" s="96"/>
      <c r="AT177" s="96"/>
      <c r="AU177" s="96"/>
      <c r="AV177" s="96"/>
    </row>
    <row r="178" spans="1:48" ht="12.75" thickTop="1">
      <c r="A178" s="88"/>
      <c r="B178" s="79"/>
      <c r="C178" s="80"/>
      <c r="D178" s="79"/>
      <c r="E178" s="74"/>
      <c r="F178" s="26"/>
      <c r="G178" s="26"/>
      <c r="H178" s="28"/>
      <c r="I178" s="75"/>
      <c r="J178" s="29"/>
      <c r="K178" s="26"/>
      <c r="L178" s="29"/>
      <c r="M178" s="26"/>
      <c r="N178" s="76"/>
      <c r="O178" s="31"/>
      <c r="P178" s="76"/>
      <c r="Q178" s="26"/>
      <c r="R178" s="32"/>
      <c r="S178" s="75"/>
      <c r="T178" s="33"/>
      <c r="U178" s="75"/>
      <c r="V178" s="75"/>
      <c r="W178" s="34"/>
      <c r="X178" s="45"/>
      <c r="Y178" s="46"/>
      <c r="Z178" s="46"/>
      <c r="AA178" s="46"/>
      <c r="AB178" s="46"/>
      <c r="AC178" s="46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18"/>
      <c r="AS178" s="18"/>
      <c r="AT178" s="18"/>
      <c r="AU178" s="19"/>
      <c r="AV178" s="18"/>
    </row>
    <row r="179" spans="1:48" ht="12.75" thickBot="1">
      <c r="A179" s="98" t="s">
        <v>85</v>
      </c>
      <c r="B179" s="79"/>
      <c r="C179" s="80"/>
      <c r="D179" s="79"/>
      <c r="E179" s="74"/>
      <c r="F179" s="26"/>
      <c r="G179" s="26"/>
      <c r="H179" s="28"/>
      <c r="I179" s="75"/>
      <c r="J179" s="29"/>
      <c r="K179" s="26"/>
      <c r="L179" s="99">
        <f>+L177/$D177</f>
        <v>1956.8424999999995</v>
      </c>
      <c r="M179" s="26"/>
      <c r="N179" s="76"/>
      <c r="O179" s="31"/>
      <c r="P179" s="76"/>
      <c r="Q179" s="26"/>
      <c r="R179" s="32"/>
      <c r="S179" s="75"/>
      <c r="T179" s="99">
        <f>+T177/$D177</f>
        <v>2169.6486408538999</v>
      </c>
      <c r="U179" s="75">
        <f>+T179-L179</f>
        <v>212.80614085390039</v>
      </c>
      <c r="V179" s="75">
        <f>U179/L179</f>
        <v>0.10874975418507132</v>
      </c>
      <c r="W179" s="34"/>
      <c r="X179" s="45"/>
      <c r="Y179" s="46"/>
      <c r="Z179" s="46"/>
      <c r="AA179" s="46"/>
      <c r="AB179" s="46"/>
      <c r="AC179" s="46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18"/>
      <c r="AS179" s="18"/>
      <c r="AT179" s="18"/>
      <c r="AU179" s="19"/>
      <c r="AV179" s="18"/>
    </row>
    <row r="180" spans="1:48" ht="12.75" thickTop="1">
      <c r="A180" s="73" t="s">
        <v>86</v>
      </c>
      <c r="B180" s="26">
        <v>1930</v>
      </c>
      <c r="C180" s="74"/>
      <c r="D180" s="26"/>
      <c r="E180" s="74"/>
      <c r="F180" s="26"/>
      <c r="G180" s="26"/>
      <c r="H180" s="105"/>
      <c r="I180" s="75"/>
      <c r="J180" s="29"/>
      <c r="K180" s="26"/>
      <c r="L180" s="29"/>
      <c r="M180" s="26"/>
      <c r="N180" s="76"/>
      <c r="O180" s="31"/>
      <c r="P180" s="76"/>
      <c r="Q180" s="26"/>
      <c r="R180" s="32"/>
      <c r="S180" s="74"/>
      <c r="T180" s="77"/>
      <c r="U180" s="74"/>
      <c r="V180" s="74"/>
      <c r="W180" s="56"/>
      <c r="X180" s="45"/>
      <c r="Y180" s="46"/>
      <c r="Z180" s="46"/>
      <c r="AA180" s="46"/>
      <c r="AB180" s="46"/>
      <c r="AC180" s="46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48"/>
      <c r="AS180" s="48"/>
      <c r="AT180" s="48"/>
      <c r="AU180" s="48"/>
      <c r="AV180" s="48"/>
    </row>
    <row r="181" spans="1:48">
      <c r="A181" s="78" t="s">
        <v>87</v>
      </c>
      <c r="B181" s="79"/>
      <c r="C181" s="80"/>
      <c r="D181" s="79">
        <v>12</v>
      </c>
      <c r="E181" s="74"/>
      <c r="F181" s="26"/>
      <c r="G181" s="26"/>
      <c r="H181" s="81">
        <v>378.43</v>
      </c>
      <c r="I181" s="75"/>
      <c r="J181" s="29">
        <f>+D181*H181</f>
        <v>4541.16</v>
      </c>
      <c r="K181" s="26"/>
      <c r="L181" s="29">
        <f>+J181</f>
        <v>4541.16</v>
      </c>
      <c r="M181" s="26"/>
      <c r="N181" s="76">
        <f>+D181</f>
        <v>12</v>
      </c>
      <c r="O181" s="31"/>
      <c r="P181" s="76"/>
      <c r="Q181" s="26"/>
      <c r="R181" s="82">
        <f>+H181*(1+$W$5)</f>
        <v>419.58416947625659</v>
      </c>
      <c r="S181" s="75"/>
      <c r="T181" s="83">
        <f>+N181*R181</f>
        <v>5035.0100337150789</v>
      </c>
      <c r="U181" s="75"/>
      <c r="V181" s="75"/>
      <c r="W181" s="34"/>
      <c r="X181" s="45"/>
      <c r="Y181" s="46"/>
      <c r="Z181" s="46"/>
      <c r="AA181" s="46"/>
      <c r="AB181" s="46"/>
      <c r="AC181" s="46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18"/>
      <c r="AS181" s="18"/>
      <c r="AT181" s="18"/>
      <c r="AU181" s="19"/>
      <c r="AV181" s="18"/>
    </row>
    <row r="182" spans="1:48">
      <c r="A182" s="78" t="s">
        <v>88</v>
      </c>
      <c r="B182" s="79"/>
      <c r="C182" s="80"/>
      <c r="D182" s="79"/>
      <c r="E182" s="74"/>
      <c r="F182" s="26">
        <v>438</v>
      </c>
      <c r="G182" s="26"/>
      <c r="H182" s="84">
        <v>2.5499999999999998</v>
      </c>
      <c r="I182" s="75"/>
      <c r="J182" s="76">
        <f>+F182*H182</f>
        <v>1116.8999999999999</v>
      </c>
      <c r="K182" s="26"/>
      <c r="L182" s="29">
        <f t="shared" ref="L182" si="88">+J182</f>
        <v>1116.8999999999999</v>
      </c>
      <c r="M182" s="26"/>
      <c r="N182" s="76"/>
      <c r="O182" s="31"/>
      <c r="P182" s="76">
        <f>+F182</f>
        <v>438</v>
      </c>
      <c r="Q182" s="26"/>
      <c r="R182" s="82">
        <f t="shared" ref="R182" si="89">+H182*(1+$W$5)</f>
        <v>2.827311873171932</v>
      </c>
      <c r="S182" s="75"/>
      <c r="T182" s="83">
        <f>+P182*R182</f>
        <v>1238.3626004493062</v>
      </c>
      <c r="U182" s="75"/>
      <c r="V182" s="75"/>
      <c r="W182" s="34"/>
      <c r="X182" s="45"/>
      <c r="Y182" s="46"/>
      <c r="Z182" s="46"/>
      <c r="AA182" s="46"/>
      <c r="AB182" s="46"/>
      <c r="AC182" s="46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18"/>
      <c r="AS182" s="18"/>
      <c r="AT182" s="18"/>
      <c r="AU182" s="19"/>
      <c r="AV182" s="18"/>
    </row>
    <row r="183" spans="1:48" s="97" customFormat="1" ht="12.75" thickBot="1">
      <c r="A183" s="88" t="s">
        <v>89</v>
      </c>
      <c r="B183" s="103">
        <f>SUM(B179:B182)</f>
        <v>1930</v>
      </c>
      <c r="C183" s="90"/>
      <c r="D183" s="103">
        <f>SUM(D179:D182)</f>
        <v>12</v>
      </c>
      <c r="E183" s="90"/>
      <c r="F183" s="103">
        <f>SUM(F179:F182)</f>
        <v>438</v>
      </c>
      <c r="G183" s="62"/>
      <c r="H183" s="64"/>
      <c r="I183" s="63"/>
      <c r="J183" s="91">
        <f>SUM(J180:J182)</f>
        <v>5658.0599999999995</v>
      </c>
      <c r="K183" s="62"/>
      <c r="L183" s="91">
        <f>SUM(L180:L182)</f>
        <v>5658.0599999999995</v>
      </c>
      <c r="M183" s="62"/>
      <c r="N183" s="107">
        <f>SUM(N180:N182)</f>
        <v>12</v>
      </c>
      <c r="O183" s="31"/>
      <c r="P183" s="107">
        <f>SUM(P180:P182)</f>
        <v>438</v>
      </c>
      <c r="Q183" s="62"/>
      <c r="R183" s="32"/>
      <c r="S183" s="90"/>
      <c r="T183" s="107">
        <f>SUM(T180:T182)</f>
        <v>6273.3726341643851</v>
      </c>
      <c r="U183" s="90"/>
      <c r="V183" s="90"/>
      <c r="W183" s="87"/>
      <c r="X183" s="93"/>
      <c r="Y183" s="94"/>
      <c r="Z183" s="94"/>
      <c r="AA183" s="94"/>
      <c r="AB183" s="94"/>
      <c r="AC183" s="94"/>
      <c r="AD183" s="94" t="s">
        <v>25</v>
      </c>
      <c r="AE183" s="70"/>
      <c r="AF183" s="63"/>
      <c r="AG183" s="90"/>
      <c r="AH183" s="90"/>
      <c r="AI183" s="90"/>
      <c r="AJ183" s="63"/>
      <c r="AK183" s="95"/>
      <c r="AL183" s="63"/>
      <c r="AM183" s="95"/>
      <c r="AN183" s="63"/>
      <c r="AO183" s="95"/>
      <c r="AP183" s="63"/>
      <c r="AQ183" s="95"/>
      <c r="AR183" s="96"/>
      <c r="AS183" s="96"/>
      <c r="AT183" s="96"/>
      <c r="AU183" s="96"/>
      <c r="AV183" s="96"/>
    </row>
    <row r="184" spans="1:48" ht="12.75" thickTop="1">
      <c r="A184" s="88"/>
      <c r="B184" s="79"/>
      <c r="C184" s="80"/>
      <c r="D184" s="79"/>
      <c r="E184" s="74"/>
      <c r="F184" s="26"/>
      <c r="G184" s="26"/>
      <c r="H184" s="28"/>
      <c r="I184" s="75"/>
      <c r="J184" s="29"/>
      <c r="K184" s="26"/>
      <c r="L184" s="29"/>
      <c r="M184" s="26"/>
      <c r="N184" s="76"/>
      <c r="O184" s="31"/>
      <c r="P184" s="76"/>
      <c r="Q184" s="26"/>
      <c r="R184" s="32"/>
      <c r="S184" s="75"/>
      <c r="T184" s="33"/>
      <c r="U184" s="75"/>
      <c r="V184" s="75"/>
      <c r="W184" s="34"/>
      <c r="X184" s="45"/>
      <c r="Y184" s="46"/>
      <c r="Z184" s="46"/>
      <c r="AA184" s="46"/>
      <c r="AB184" s="46"/>
      <c r="AC184" s="46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18"/>
      <c r="AS184" s="18"/>
      <c r="AT184" s="18"/>
      <c r="AU184" s="19"/>
      <c r="AV184" s="18"/>
    </row>
    <row r="185" spans="1:48" ht="12.75" thickBot="1">
      <c r="A185" s="98" t="s">
        <v>90</v>
      </c>
      <c r="B185" s="79"/>
      <c r="C185" s="80"/>
      <c r="D185" s="79"/>
      <c r="E185" s="74"/>
      <c r="F185" s="26"/>
      <c r="G185" s="26"/>
      <c r="H185" s="28"/>
      <c r="I185" s="75"/>
      <c r="J185" s="29"/>
      <c r="K185" s="26"/>
      <c r="L185" s="99">
        <f>+L183/$D183</f>
        <v>471.50499999999994</v>
      </c>
      <c r="M185" s="26"/>
      <c r="N185" s="76"/>
      <c r="O185" s="31"/>
      <c r="P185" s="76"/>
      <c r="Q185" s="26"/>
      <c r="R185" s="32"/>
      <c r="S185" s="75"/>
      <c r="T185" s="99">
        <f>+T183/$D183</f>
        <v>522.78105284703213</v>
      </c>
      <c r="U185" s="75">
        <f>+T185-L185</f>
        <v>51.27605284703219</v>
      </c>
      <c r="V185" s="75">
        <f>U185/L185</f>
        <v>0.10874975418507163</v>
      </c>
      <c r="W185" s="34"/>
      <c r="X185" s="45"/>
      <c r="Y185" s="46"/>
      <c r="Z185" s="46"/>
      <c r="AA185" s="46"/>
      <c r="AB185" s="46"/>
      <c r="AC185" s="46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18"/>
      <c r="AS185" s="18"/>
      <c r="AT185" s="18"/>
      <c r="AU185" s="19"/>
      <c r="AV185" s="18"/>
    </row>
    <row r="186" spans="1:48" ht="12.75" thickTop="1">
      <c r="A186" s="73" t="s">
        <v>91</v>
      </c>
      <c r="B186" s="26">
        <v>373</v>
      </c>
      <c r="C186" s="74"/>
      <c r="D186" s="26"/>
      <c r="E186" s="74"/>
      <c r="F186" s="26"/>
      <c r="G186" s="26"/>
      <c r="H186" s="105"/>
      <c r="I186" s="75"/>
      <c r="J186" s="29"/>
      <c r="K186" s="26"/>
      <c r="L186" s="29"/>
      <c r="M186" s="26"/>
      <c r="N186" s="76"/>
      <c r="O186" s="31"/>
      <c r="P186" s="76"/>
      <c r="Q186" s="26"/>
      <c r="R186" s="32"/>
      <c r="S186" s="74"/>
      <c r="T186" s="77"/>
      <c r="U186" s="74"/>
      <c r="V186" s="74"/>
      <c r="W186" s="56"/>
      <c r="X186" s="45"/>
      <c r="Y186" s="46"/>
      <c r="Z186" s="46"/>
      <c r="AA186" s="46"/>
      <c r="AB186" s="46"/>
      <c r="AC186" s="46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48"/>
      <c r="AS186" s="48"/>
      <c r="AT186" s="48"/>
      <c r="AU186" s="48"/>
      <c r="AV186" s="48"/>
    </row>
    <row r="187" spans="1:48">
      <c r="A187" s="78" t="s">
        <v>87</v>
      </c>
      <c r="B187" s="79"/>
      <c r="C187" s="80"/>
      <c r="D187" s="79">
        <v>12</v>
      </c>
      <c r="E187" s="74"/>
      <c r="F187" s="26"/>
      <c r="G187" s="26"/>
      <c r="H187" s="81">
        <v>378.43</v>
      </c>
      <c r="I187" s="75"/>
      <c r="J187" s="29">
        <f>+D187*H187</f>
        <v>4541.16</v>
      </c>
      <c r="K187" s="26"/>
      <c r="L187" s="29">
        <f>+J187</f>
        <v>4541.16</v>
      </c>
      <c r="M187" s="26"/>
      <c r="N187" s="76">
        <f>+D187</f>
        <v>12</v>
      </c>
      <c r="O187" s="31"/>
      <c r="P187" s="76"/>
      <c r="Q187" s="26"/>
      <c r="R187" s="82">
        <f>+H187*(1+$W$5)</f>
        <v>419.58416947625659</v>
      </c>
      <c r="S187" s="75"/>
      <c r="T187" s="83">
        <f>+N187*R187</f>
        <v>5035.0100337150789</v>
      </c>
      <c r="U187" s="75"/>
      <c r="V187" s="75"/>
      <c r="W187" s="34"/>
      <c r="X187" s="45"/>
      <c r="Y187" s="46"/>
      <c r="Z187" s="46"/>
      <c r="AA187" s="46"/>
      <c r="AB187" s="46"/>
      <c r="AC187" s="46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18"/>
      <c r="AS187" s="18"/>
      <c r="AT187" s="18"/>
      <c r="AU187" s="19"/>
      <c r="AV187" s="18"/>
    </row>
    <row r="188" spans="1:48">
      <c r="A188" s="78" t="s">
        <v>88</v>
      </c>
      <c r="B188" s="79"/>
      <c r="C188" s="80"/>
      <c r="D188" s="79"/>
      <c r="E188" s="74"/>
      <c r="F188" s="26">
        <v>0</v>
      </c>
      <c r="G188" s="26"/>
      <c r="H188" s="84">
        <v>2.5499999999999998</v>
      </c>
      <c r="I188" s="75"/>
      <c r="J188" s="76">
        <f>+F188*H188</f>
        <v>0</v>
      </c>
      <c r="K188" s="26"/>
      <c r="L188" s="29">
        <f t="shared" ref="L188" si="90">+J188</f>
        <v>0</v>
      </c>
      <c r="M188" s="26"/>
      <c r="N188" s="76"/>
      <c r="O188" s="31"/>
      <c r="P188" s="76">
        <f>+F188</f>
        <v>0</v>
      </c>
      <c r="Q188" s="26"/>
      <c r="R188" s="82">
        <f t="shared" ref="R188" si="91">+H188*(1+$W$5)</f>
        <v>2.827311873171932</v>
      </c>
      <c r="S188" s="75"/>
      <c r="T188" s="83">
        <f>+P188*R188</f>
        <v>0</v>
      </c>
      <c r="U188" s="75"/>
      <c r="V188" s="75"/>
      <c r="W188" s="34"/>
      <c r="X188" s="45"/>
      <c r="Y188" s="46"/>
      <c r="Z188" s="46"/>
      <c r="AA188" s="46"/>
      <c r="AB188" s="46"/>
      <c r="AC188" s="46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18"/>
      <c r="AS188" s="18"/>
      <c r="AT188" s="18"/>
      <c r="AU188" s="19"/>
      <c r="AV188" s="18"/>
    </row>
    <row r="189" spans="1:48" s="97" customFormat="1" ht="12.75" thickBot="1">
      <c r="A189" s="88" t="s">
        <v>92</v>
      </c>
      <c r="B189" s="103">
        <f>SUM(B186:B188)</f>
        <v>373</v>
      </c>
      <c r="C189" s="90"/>
      <c r="D189" s="103">
        <f>SUM(D186:D188)</f>
        <v>12</v>
      </c>
      <c r="E189" s="90"/>
      <c r="F189" s="103">
        <f>SUM(F186:F188)</f>
        <v>0</v>
      </c>
      <c r="G189" s="62"/>
      <c r="H189" s="64"/>
      <c r="I189" s="63"/>
      <c r="J189" s="91">
        <f>SUM(J186:J188)</f>
        <v>4541.16</v>
      </c>
      <c r="K189" s="62"/>
      <c r="L189" s="91">
        <f>SUM(L186:L188)</f>
        <v>4541.16</v>
      </c>
      <c r="M189" s="62"/>
      <c r="N189" s="108">
        <f>SUM(N186:N188)</f>
        <v>12</v>
      </c>
      <c r="O189" s="67"/>
      <c r="P189" s="108">
        <f>SUM(P186:P188)</f>
        <v>0</v>
      </c>
      <c r="Q189" s="62"/>
      <c r="R189" s="32"/>
      <c r="S189" s="90"/>
      <c r="T189" s="91">
        <f>SUM(T186:T188)</f>
        <v>5035.0100337150789</v>
      </c>
      <c r="U189" s="90"/>
      <c r="V189" s="90"/>
      <c r="W189" s="87"/>
      <c r="X189" s="93"/>
      <c r="Y189" s="94"/>
      <c r="Z189" s="94"/>
      <c r="AA189" s="94"/>
      <c r="AB189" s="94"/>
      <c r="AC189" s="94"/>
      <c r="AD189" s="94" t="s">
        <v>25</v>
      </c>
      <c r="AE189" s="70"/>
      <c r="AF189" s="63"/>
      <c r="AG189" s="90"/>
      <c r="AH189" s="90"/>
      <c r="AI189" s="90"/>
      <c r="AJ189" s="63"/>
      <c r="AK189" s="95"/>
      <c r="AL189" s="63"/>
      <c r="AM189" s="95"/>
      <c r="AN189" s="63"/>
      <c r="AO189" s="95"/>
      <c r="AP189" s="63"/>
      <c r="AQ189" s="95"/>
      <c r="AR189" s="96"/>
      <c r="AS189" s="96"/>
      <c r="AT189" s="96"/>
      <c r="AU189" s="96"/>
      <c r="AV189" s="96"/>
    </row>
    <row r="190" spans="1:48" ht="12.75" thickTop="1">
      <c r="A190" s="88"/>
      <c r="B190" s="79"/>
      <c r="C190" s="80"/>
      <c r="D190" s="79"/>
      <c r="E190" s="74"/>
      <c r="F190" s="26"/>
      <c r="G190" s="26"/>
      <c r="H190" s="28"/>
      <c r="I190" s="75"/>
      <c r="J190" s="29"/>
      <c r="K190" s="26"/>
      <c r="L190" s="29"/>
      <c r="M190" s="26"/>
      <c r="N190" s="76"/>
      <c r="O190" s="31"/>
      <c r="P190" s="76"/>
      <c r="Q190" s="26"/>
      <c r="R190" s="32"/>
      <c r="S190" s="75"/>
      <c r="T190" s="33"/>
      <c r="U190" s="75"/>
      <c r="V190" s="75"/>
      <c r="W190" s="34"/>
      <c r="X190" s="45"/>
      <c r="Y190" s="46"/>
      <c r="Z190" s="46"/>
      <c r="AA190" s="46"/>
      <c r="AB190" s="46"/>
      <c r="AC190" s="46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18"/>
      <c r="AS190" s="18"/>
      <c r="AT190" s="18"/>
      <c r="AU190" s="19"/>
      <c r="AV190" s="18"/>
    </row>
    <row r="191" spans="1:48" ht="12.75" thickBot="1">
      <c r="A191" s="98" t="s">
        <v>93</v>
      </c>
      <c r="B191" s="79"/>
      <c r="C191" s="80"/>
      <c r="D191" s="79"/>
      <c r="E191" s="74"/>
      <c r="F191" s="26"/>
      <c r="G191" s="26"/>
      <c r="H191" s="28"/>
      <c r="I191" s="75"/>
      <c r="J191" s="29"/>
      <c r="K191" s="26"/>
      <c r="L191" s="99">
        <f>+L189/$D189</f>
        <v>378.43</v>
      </c>
      <c r="M191" s="26"/>
      <c r="N191" s="76"/>
      <c r="O191" s="31"/>
      <c r="P191" s="76"/>
      <c r="Q191" s="26"/>
      <c r="R191" s="32"/>
      <c r="S191" s="75"/>
      <c r="T191" s="99">
        <f>+T189/$D189</f>
        <v>419.58416947625659</v>
      </c>
      <c r="U191" s="75">
        <f>+T191-L191</f>
        <v>41.154169476256584</v>
      </c>
      <c r="V191" s="75">
        <f>U191/L191</f>
        <v>0.10874975418507143</v>
      </c>
      <c r="W191" s="34"/>
      <c r="X191" s="45"/>
      <c r="Y191" s="46"/>
      <c r="Z191" s="46"/>
      <c r="AA191" s="46"/>
      <c r="AB191" s="46"/>
      <c r="AC191" s="46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18"/>
      <c r="AS191" s="18"/>
      <c r="AT191" s="18"/>
      <c r="AU191" s="19"/>
      <c r="AV191" s="18"/>
    </row>
    <row r="192" spans="1:48" ht="12.75" thickTop="1">
      <c r="A192" s="73" t="s">
        <v>94</v>
      </c>
      <c r="B192" s="26">
        <v>1258</v>
      </c>
      <c r="C192" s="74"/>
      <c r="D192" s="26"/>
      <c r="E192" s="74"/>
      <c r="F192" s="26"/>
      <c r="G192" s="26"/>
      <c r="H192" s="105"/>
      <c r="I192" s="75"/>
      <c r="J192" s="29"/>
      <c r="K192" s="26"/>
      <c r="L192" s="29"/>
      <c r="M192" s="26"/>
      <c r="N192" s="76"/>
      <c r="O192" s="31"/>
      <c r="P192" s="76"/>
      <c r="Q192" s="26"/>
      <c r="R192" s="32"/>
      <c r="S192" s="74"/>
      <c r="T192" s="77"/>
      <c r="U192" s="74"/>
      <c r="V192" s="74"/>
      <c r="W192" s="56"/>
      <c r="X192" s="45"/>
      <c r="Y192" s="46"/>
      <c r="Z192" s="46"/>
      <c r="AA192" s="46"/>
      <c r="AB192" s="46"/>
      <c r="AC192" s="46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48"/>
      <c r="AS192" s="48"/>
      <c r="AT192" s="48"/>
      <c r="AU192" s="48"/>
      <c r="AV192" s="48"/>
    </row>
    <row r="193" spans="1:48">
      <c r="A193" s="78" t="s">
        <v>87</v>
      </c>
      <c r="B193" s="79"/>
      <c r="C193" s="80"/>
      <c r="D193" s="79">
        <v>12</v>
      </c>
      <c r="E193" s="74"/>
      <c r="F193" s="26"/>
      <c r="G193" s="26"/>
      <c r="H193" s="81">
        <v>378.43</v>
      </c>
      <c r="I193" s="75"/>
      <c r="J193" s="29">
        <f>+D193*H193</f>
        <v>4541.16</v>
      </c>
      <c r="K193" s="26"/>
      <c r="L193" s="29">
        <f>+J193</f>
        <v>4541.16</v>
      </c>
      <c r="M193" s="26"/>
      <c r="N193" s="76">
        <f>+D193</f>
        <v>12</v>
      </c>
      <c r="O193" s="31"/>
      <c r="P193" s="76"/>
      <c r="Q193" s="26"/>
      <c r="R193" s="82">
        <f>+H193*(1+$W$5)</f>
        <v>419.58416947625659</v>
      </c>
      <c r="S193" s="75"/>
      <c r="T193" s="83">
        <f>+N193*R193</f>
        <v>5035.0100337150789</v>
      </c>
      <c r="U193" s="75"/>
      <c r="V193" s="75"/>
      <c r="W193" s="34"/>
      <c r="X193" s="45"/>
      <c r="Y193" s="46"/>
      <c r="Z193" s="46"/>
      <c r="AA193" s="46"/>
      <c r="AB193" s="46"/>
      <c r="AC193" s="46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18"/>
      <c r="AS193" s="18"/>
      <c r="AT193" s="18"/>
      <c r="AU193" s="19"/>
      <c r="AV193" s="18"/>
    </row>
    <row r="194" spans="1:48">
      <c r="A194" s="78" t="s">
        <v>88</v>
      </c>
      <c r="B194" s="79"/>
      <c r="C194" s="80"/>
      <c r="D194" s="79"/>
      <c r="E194" s="74"/>
      <c r="F194" s="26">
        <v>19.999999999999996</v>
      </c>
      <c r="G194" s="26"/>
      <c r="H194" s="84">
        <v>2.5499999999999998</v>
      </c>
      <c r="I194" s="75"/>
      <c r="J194" s="76">
        <f>+F194*H194</f>
        <v>50.999999999999986</v>
      </c>
      <c r="K194" s="26"/>
      <c r="L194" s="29">
        <f t="shared" ref="L194" si="92">+J194</f>
        <v>50.999999999999986</v>
      </c>
      <c r="M194" s="26"/>
      <c r="N194" s="76"/>
      <c r="O194" s="31"/>
      <c r="P194" s="76">
        <f>+F194</f>
        <v>19.999999999999996</v>
      </c>
      <c r="Q194" s="26"/>
      <c r="R194" s="82">
        <f t="shared" ref="R194" si="93">+H194*(1+$W$5)</f>
        <v>2.827311873171932</v>
      </c>
      <c r="S194" s="75"/>
      <c r="T194" s="83">
        <f>+P194*R194</f>
        <v>56.546237463438629</v>
      </c>
      <c r="U194" s="75"/>
      <c r="V194" s="75"/>
      <c r="W194" s="34"/>
      <c r="X194" s="45"/>
      <c r="Y194" s="46"/>
      <c r="Z194" s="46"/>
      <c r="AA194" s="46"/>
      <c r="AB194" s="46"/>
      <c r="AC194" s="46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18"/>
      <c r="AS194" s="18"/>
      <c r="AT194" s="18"/>
      <c r="AU194" s="19"/>
      <c r="AV194" s="18"/>
    </row>
    <row r="195" spans="1:48" s="97" customFormat="1" ht="12.75" thickBot="1">
      <c r="A195" s="88" t="s">
        <v>95</v>
      </c>
      <c r="B195" s="103">
        <f>SUM(B192:B194)</f>
        <v>1258</v>
      </c>
      <c r="C195" s="90"/>
      <c r="D195" s="103">
        <f>SUM(D192:D194)</f>
        <v>12</v>
      </c>
      <c r="E195" s="90"/>
      <c r="F195" s="103">
        <f>SUM(F192:F194)</f>
        <v>19.999999999999996</v>
      </c>
      <c r="G195" s="62"/>
      <c r="H195" s="64"/>
      <c r="I195" s="63"/>
      <c r="J195" s="91">
        <f>SUM(J192:J194)</f>
        <v>4592.16</v>
      </c>
      <c r="K195" s="62"/>
      <c r="L195" s="91">
        <f>SUM(L192:L194)</f>
        <v>4592.16</v>
      </c>
      <c r="M195" s="62"/>
      <c r="N195" s="108">
        <f>SUM(N192:N194)</f>
        <v>12</v>
      </c>
      <c r="O195" s="67"/>
      <c r="P195" s="108">
        <f>SUM(P192:P194)</f>
        <v>19.999999999999996</v>
      </c>
      <c r="Q195" s="62"/>
      <c r="R195" s="32"/>
      <c r="S195" s="90"/>
      <c r="T195" s="91">
        <f>SUM(T192:T194)</f>
        <v>5091.5562711785178</v>
      </c>
      <c r="U195" s="90"/>
      <c r="V195" s="90"/>
      <c r="W195" s="87"/>
      <c r="X195" s="93"/>
      <c r="Y195" s="94"/>
      <c r="Z195" s="94"/>
      <c r="AA195" s="94"/>
      <c r="AB195" s="94"/>
      <c r="AC195" s="94"/>
      <c r="AD195" s="94" t="s">
        <v>25</v>
      </c>
      <c r="AE195" s="70"/>
      <c r="AF195" s="63"/>
      <c r="AG195" s="90"/>
      <c r="AH195" s="90"/>
      <c r="AI195" s="90"/>
      <c r="AJ195" s="63"/>
      <c r="AK195" s="95"/>
      <c r="AL195" s="63"/>
      <c r="AM195" s="95"/>
      <c r="AN195" s="63"/>
      <c r="AO195" s="95"/>
      <c r="AP195" s="63"/>
      <c r="AQ195" s="95"/>
      <c r="AR195" s="96"/>
      <c r="AS195" s="96"/>
      <c r="AT195" s="96"/>
      <c r="AU195" s="96"/>
      <c r="AV195" s="96"/>
    </row>
    <row r="196" spans="1:48" ht="12.75" thickTop="1">
      <c r="A196" s="88"/>
      <c r="B196" s="79"/>
      <c r="C196" s="80"/>
      <c r="D196" s="79"/>
      <c r="E196" s="74"/>
      <c r="F196" s="26"/>
      <c r="G196" s="26"/>
      <c r="H196" s="28"/>
      <c r="I196" s="75"/>
      <c r="J196" s="29"/>
      <c r="K196" s="26"/>
      <c r="L196" s="29"/>
      <c r="M196" s="26"/>
      <c r="N196" s="76"/>
      <c r="O196" s="31"/>
      <c r="P196" s="76"/>
      <c r="Q196" s="26"/>
      <c r="R196" s="32"/>
      <c r="S196" s="75"/>
      <c r="T196" s="33"/>
      <c r="U196" s="75"/>
      <c r="V196" s="75"/>
      <c r="W196" s="34"/>
      <c r="X196" s="45"/>
      <c r="Y196" s="46"/>
      <c r="Z196" s="46"/>
      <c r="AA196" s="46"/>
      <c r="AB196" s="46"/>
      <c r="AC196" s="46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18"/>
      <c r="AS196" s="18"/>
      <c r="AT196" s="18"/>
      <c r="AU196" s="19"/>
      <c r="AV196" s="18"/>
    </row>
    <row r="197" spans="1:48" ht="12.75" thickBot="1">
      <c r="A197" s="98" t="s">
        <v>96</v>
      </c>
      <c r="B197" s="79"/>
      <c r="C197" s="80"/>
      <c r="D197" s="79"/>
      <c r="E197" s="74"/>
      <c r="F197" s="26"/>
      <c r="G197" s="26"/>
      <c r="H197" s="28"/>
      <c r="I197" s="75"/>
      <c r="J197" s="29"/>
      <c r="K197" s="26"/>
      <c r="L197" s="99">
        <f>+L195/$D195</f>
        <v>382.68</v>
      </c>
      <c r="M197" s="26"/>
      <c r="N197" s="76"/>
      <c r="O197" s="31"/>
      <c r="P197" s="76"/>
      <c r="Q197" s="26"/>
      <c r="R197" s="32"/>
      <c r="S197" s="75"/>
      <c r="T197" s="99">
        <f>+T195/$D195</f>
        <v>424.29635593154313</v>
      </c>
      <c r="U197" s="75">
        <f>+T197-L197</f>
        <v>41.616355931543126</v>
      </c>
      <c r="V197" s="75">
        <f>U197/L197</f>
        <v>0.10874975418507141</v>
      </c>
      <c r="W197" s="34"/>
      <c r="X197" s="45"/>
      <c r="Y197" s="46"/>
      <c r="Z197" s="46"/>
      <c r="AA197" s="46"/>
      <c r="AB197" s="46"/>
      <c r="AC197" s="46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18"/>
      <c r="AS197" s="18"/>
      <c r="AT197" s="18"/>
      <c r="AU197" s="19"/>
      <c r="AV197" s="18"/>
    </row>
    <row r="198" spans="1:48" ht="12.75" thickTop="1">
      <c r="A198" s="73" t="s">
        <v>97</v>
      </c>
      <c r="B198" s="26">
        <v>1809</v>
      </c>
      <c r="C198" s="74"/>
      <c r="D198" s="26"/>
      <c r="E198" s="74"/>
      <c r="F198" s="26"/>
      <c r="G198" s="26"/>
      <c r="H198" s="105"/>
      <c r="I198" s="75"/>
      <c r="J198" s="29"/>
      <c r="K198" s="26"/>
      <c r="L198" s="29"/>
      <c r="M198" s="26"/>
      <c r="N198" s="76"/>
      <c r="O198" s="31"/>
      <c r="P198" s="76"/>
      <c r="Q198" s="26"/>
      <c r="R198" s="32"/>
      <c r="S198" s="74"/>
      <c r="T198" s="77"/>
      <c r="U198" s="74"/>
      <c r="V198" s="75"/>
      <c r="W198" s="56"/>
      <c r="X198" s="45"/>
      <c r="Y198" s="46"/>
      <c r="Z198" s="46"/>
      <c r="AA198" s="46"/>
      <c r="AB198" s="46"/>
      <c r="AC198" s="46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48"/>
      <c r="AS198" s="48"/>
      <c r="AT198" s="48"/>
      <c r="AU198" s="48"/>
      <c r="AV198" s="48"/>
    </row>
    <row r="199" spans="1:48">
      <c r="A199" s="78" t="s">
        <v>98</v>
      </c>
      <c r="B199" s="79"/>
      <c r="C199" s="80"/>
      <c r="D199" s="79">
        <v>24</v>
      </c>
      <c r="E199" s="74"/>
      <c r="F199" s="26"/>
      <c r="G199" s="26"/>
      <c r="H199" s="81">
        <v>771.41</v>
      </c>
      <c r="I199" s="75"/>
      <c r="J199" s="29">
        <f>+D199*H199</f>
        <v>18513.84</v>
      </c>
      <c r="K199" s="26"/>
      <c r="L199" s="29">
        <f>+J199</f>
        <v>18513.84</v>
      </c>
      <c r="M199" s="26"/>
      <c r="N199" s="76">
        <f>+D199</f>
        <v>24</v>
      </c>
      <c r="O199" s="31"/>
      <c r="P199" s="76"/>
      <c r="Q199" s="26"/>
      <c r="R199" s="82">
        <f>+H199*(1+$W$5)</f>
        <v>855.30064787590595</v>
      </c>
      <c r="S199" s="75"/>
      <c r="T199" s="83">
        <f>+N199*R199</f>
        <v>20527.215549021741</v>
      </c>
      <c r="U199" s="75"/>
      <c r="V199" s="75"/>
      <c r="W199" s="34"/>
      <c r="X199" s="45"/>
      <c r="Y199" s="46"/>
      <c r="Z199" s="46"/>
      <c r="AA199" s="46"/>
      <c r="AB199" s="46"/>
      <c r="AC199" s="46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18"/>
      <c r="AS199" s="18"/>
      <c r="AT199" s="18"/>
      <c r="AU199" s="19"/>
      <c r="AV199" s="18"/>
    </row>
    <row r="200" spans="1:48">
      <c r="A200" s="109" t="s">
        <v>99</v>
      </c>
      <c r="B200" s="79"/>
      <c r="C200" s="80"/>
      <c r="D200" s="79"/>
      <c r="E200" s="74"/>
      <c r="F200" s="26">
        <v>0</v>
      </c>
      <c r="G200" s="26"/>
      <c r="H200" s="84">
        <v>2.5499999999999998</v>
      </c>
      <c r="I200" s="75"/>
      <c r="J200" s="76">
        <f>+F200*H200</f>
        <v>0</v>
      </c>
      <c r="K200" s="26"/>
      <c r="L200" s="29">
        <f t="shared" ref="L200" si="94">+J200</f>
        <v>0</v>
      </c>
      <c r="M200" s="26"/>
      <c r="N200" s="76"/>
      <c r="O200" s="31"/>
      <c r="P200" s="76">
        <f>+F200</f>
        <v>0</v>
      </c>
      <c r="Q200" s="26"/>
      <c r="R200" s="82">
        <f t="shared" ref="R200" si="95">+H200*(1+$W$5)</f>
        <v>2.827311873171932</v>
      </c>
      <c r="S200" s="75"/>
      <c r="T200" s="83">
        <f>+P200*R200</f>
        <v>0</v>
      </c>
      <c r="U200" s="75"/>
      <c r="V200" s="75"/>
      <c r="W200" s="34"/>
      <c r="X200" s="45"/>
      <c r="Y200" s="46"/>
      <c r="Z200" s="46"/>
      <c r="AA200" s="46"/>
      <c r="AB200" s="46"/>
      <c r="AC200" s="46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18"/>
      <c r="AS200" s="18"/>
      <c r="AT200" s="18"/>
      <c r="AU200" s="19"/>
      <c r="AV200" s="18"/>
    </row>
    <row r="201" spans="1:48" s="97" customFormat="1" ht="12.75" thickBot="1">
      <c r="A201" s="88" t="s">
        <v>100</v>
      </c>
      <c r="B201" s="103">
        <f>SUM(B198:B200)</f>
        <v>1809</v>
      </c>
      <c r="C201" s="90"/>
      <c r="D201" s="103">
        <f>SUM(D198:D200)</f>
        <v>24</v>
      </c>
      <c r="E201" s="90"/>
      <c r="F201" s="103">
        <f>SUM(F198:F200)</f>
        <v>0</v>
      </c>
      <c r="G201" s="62"/>
      <c r="H201" s="64"/>
      <c r="I201" s="63"/>
      <c r="J201" s="91">
        <f>SUM(J199:J200)</f>
        <v>18513.84</v>
      </c>
      <c r="K201" s="62"/>
      <c r="L201" s="91">
        <f>SUM(L199:L200)</f>
        <v>18513.84</v>
      </c>
      <c r="M201" s="62"/>
      <c r="N201" s="103">
        <f>SUM(N198:N200)</f>
        <v>24</v>
      </c>
      <c r="O201" s="67"/>
      <c r="P201" s="103">
        <f>SUM(P198:P200)</f>
        <v>0</v>
      </c>
      <c r="Q201" s="62"/>
      <c r="R201" s="32"/>
      <c r="S201" s="90"/>
      <c r="T201" s="91">
        <f>SUM(T199:T200)</f>
        <v>20527.215549021741</v>
      </c>
      <c r="U201" s="90"/>
      <c r="V201" s="90"/>
      <c r="W201" s="87"/>
      <c r="X201" s="93"/>
      <c r="Y201" s="94"/>
      <c r="Z201" s="94"/>
      <c r="AA201" s="94"/>
      <c r="AB201" s="94"/>
      <c r="AC201" s="94"/>
      <c r="AD201" s="94" t="s">
        <v>25</v>
      </c>
      <c r="AE201" s="70"/>
      <c r="AF201" s="63"/>
      <c r="AG201" s="90"/>
      <c r="AH201" s="90"/>
      <c r="AI201" s="90"/>
      <c r="AJ201" s="63"/>
      <c r="AK201" s="95"/>
      <c r="AL201" s="63"/>
      <c r="AM201" s="95"/>
      <c r="AN201" s="63"/>
      <c r="AO201" s="95"/>
      <c r="AP201" s="63"/>
      <c r="AQ201" s="95"/>
      <c r="AR201" s="96"/>
      <c r="AS201" s="96"/>
      <c r="AT201" s="96"/>
      <c r="AU201" s="96"/>
      <c r="AV201" s="96"/>
    </row>
    <row r="202" spans="1:48" ht="12.75" thickTop="1">
      <c r="A202" s="88"/>
      <c r="B202" s="79"/>
      <c r="C202" s="80"/>
      <c r="D202" s="79"/>
      <c r="E202" s="74"/>
      <c r="F202" s="26"/>
      <c r="G202" s="26"/>
      <c r="H202" s="28"/>
      <c r="I202" s="75"/>
      <c r="J202" s="29"/>
      <c r="K202" s="26"/>
      <c r="L202" s="29"/>
      <c r="M202" s="26"/>
      <c r="N202" s="76"/>
      <c r="O202" s="31"/>
      <c r="P202" s="76"/>
      <c r="Q202" s="26"/>
      <c r="R202" s="32"/>
      <c r="S202" s="75"/>
      <c r="T202" s="33"/>
      <c r="U202" s="75"/>
      <c r="V202" s="75"/>
      <c r="W202" s="34"/>
      <c r="X202" s="45"/>
      <c r="Y202" s="46"/>
      <c r="Z202" s="46"/>
      <c r="AA202" s="46"/>
      <c r="AB202" s="46"/>
      <c r="AC202" s="46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18"/>
      <c r="AS202" s="18"/>
      <c r="AT202" s="18"/>
      <c r="AU202" s="19"/>
      <c r="AV202" s="18"/>
    </row>
    <row r="203" spans="1:48" ht="12.75" thickBot="1">
      <c r="A203" s="98" t="s">
        <v>101</v>
      </c>
      <c r="B203" s="79"/>
      <c r="C203" s="80"/>
      <c r="D203" s="79"/>
      <c r="E203" s="74"/>
      <c r="F203" s="26"/>
      <c r="G203" s="26"/>
      <c r="H203" s="28"/>
      <c r="I203" s="75"/>
      <c r="J203" s="29"/>
      <c r="K203" s="26"/>
      <c r="L203" s="99">
        <f>+L201/$D201</f>
        <v>771.41</v>
      </c>
      <c r="M203" s="26"/>
      <c r="N203" s="76"/>
      <c r="O203" s="31"/>
      <c r="P203" s="76"/>
      <c r="Q203" s="26"/>
      <c r="R203" s="32"/>
      <c r="S203" s="75"/>
      <c r="T203" s="99">
        <f>+T201/$D201</f>
        <v>855.30064787590584</v>
      </c>
      <c r="U203" s="75">
        <f>+T203-L203</f>
        <v>83.89064787590587</v>
      </c>
      <c r="V203" s="75">
        <f>U203/L203</f>
        <v>0.10874975418507132</v>
      </c>
      <c r="W203" s="34"/>
      <c r="X203" s="45"/>
      <c r="Y203" s="46"/>
      <c r="Z203" s="46"/>
      <c r="AA203" s="46"/>
      <c r="AB203" s="46"/>
      <c r="AC203" s="46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18"/>
      <c r="AS203" s="18"/>
      <c r="AT203" s="18"/>
      <c r="AU203" s="19"/>
      <c r="AV203" s="18"/>
    </row>
    <row r="204" spans="1:48" ht="12.75" thickTop="1">
      <c r="A204" s="73" t="s">
        <v>102</v>
      </c>
      <c r="B204" s="26">
        <v>40289</v>
      </c>
      <c r="C204" s="74"/>
      <c r="D204" s="26"/>
      <c r="E204" s="74"/>
      <c r="F204" s="26"/>
      <c r="G204" s="26"/>
      <c r="H204" s="105"/>
      <c r="I204" s="75"/>
      <c r="J204" s="29"/>
      <c r="K204" s="26"/>
      <c r="L204" s="29"/>
      <c r="M204" s="26"/>
      <c r="N204" s="76"/>
      <c r="O204" s="31"/>
      <c r="P204" s="76"/>
      <c r="Q204" s="26"/>
      <c r="R204" s="32"/>
      <c r="S204" s="74"/>
      <c r="T204" s="77"/>
      <c r="U204" s="74"/>
      <c r="V204" s="74"/>
      <c r="W204" s="110"/>
      <c r="X204" s="6"/>
      <c r="Z204" s="46"/>
      <c r="AA204" s="46"/>
      <c r="AB204" s="46"/>
      <c r="AC204" s="46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48"/>
      <c r="AS204" s="48"/>
      <c r="AT204" s="48"/>
      <c r="AU204" s="48"/>
      <c r="AV204" s="48"/>
    </row>
    <row r="205" spans="1:48">
      <c r="A205" s="78" t="s">
        <v>98</v>
      </c>
      <c r="B205" s="79"/>
      <c r="C205" s="80"/>
      <c r="D205" s="79">
        <v>12</v>
      </c>
      <c r="E205" s="74"/>
      <c r="F205" s="26"/>
      <c r="G205" s="26"/>
      <c r="H205" s="81">
        <v>771.41</v>
      </c>
      <c r="I205" s="75"/>
      <c r="J205" s="29">
        <f>+D205*H205</f>
        <v>9256.92</v>
      </c>
      <c r="K205" s="26"/>
      <c r="L205" s="29">
        <f>+J205</f>
        <v>9256.92</v>
      </c>
      <c r="M205" s="26"/>
      <c r="N205" s="76">
        <f>+D205</f>
        <v>12</v>
      </c>
      <c r="O205" s="31"/>
      <c r="P205" s="76"/>
      <c r="Q205" s="26"/>
      <c r="R205" s="82">
        <f>+H205*(1+$W$5)</f>
        <v>855.30064787590595</v>
      </c>
      <c r="S205" s="75"/>
      <c r="T205" s="83">
        <f>+N205*R205</f>
        <v>10263.607774510871</v>
      </c>
      <c r="U205" s="75"/>
      <c r="V205" s="75"/>
      <c r="W205" s="110"/>
      <c r="X205" s="6"/>
      <c r="Z205" s="46"/>
      <c r="AA205" s="46"/>
      <c r="AB205" s="46"/>
      <c r="AC205" s="46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18"/>
      <c r="AS205" s="18"/>
      <c r="AT205" s="18"/>
      <c r="AU205" s="19"/>
      <c r="AV205" s="18"/>
    </row>
    <row r="206" spans="1:48">
      <c r="A206" s="109" t="s">
        <v>99</v>
      </c>
      <c r="B206" s="79"/>
      <c r="C206" s="80"/>
      <c r="D206" s="79"/>
      <c r="E206" s="74"/>
      <c r="F206" s="26">
        <v>36911.000000000007</v>
      </c>
      <c r="G206" s="26"/>
      <c r="H206" s="84">
        <v>2.5499999999999998</v>
      </c>
      <c r="I206" s="75"/>
      <c r="J206" s="76">
        <f>+F206*H206</f>
        <v>94123.050000000017</v>
      </c>
      <c r="K206" s="26"/>
      <c r="L206" s="29">
        <f t="shared" ref="L206" si="96">+J206</f>
        <v>94123.050000000017</v>
      </c>
      <c r="M206" s="26"/>
      <c r="N206" s="76"/>
      <c r="O206" s="31"/>
      <c r="P206" s="76">
        <f>+F206</f>
        <v>36911.000000000007</v>
      </c>
      <c r="Q206" s="26"/>
      <c r="R206" s="82">
        <f t="shared" ref="R206" si="97">+H206*(1+$W$5)</f>
        <v>2.827311873171932</v>
      </c>
      <c r="S206" s="75"/>
      <c r="T206" s="83">
        <f>+P206*R206</f>
        <v>104358.9085506492</v>
      </c>
      <c r="U206" s="75"/>
      <c r="V206" s="75"/>
      <c r="W206" s="110"/>
      <c r="X206" s="6"/>
      <c r="Z206" s="46"/>
      <c r="AA206" s="46"/>
      <c r="AB206" s="46"/>
      <c r="AC206" s="46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18"/>
      <c r="AS206" s="18"/>
      <c r="AT206" s="18"/>
      <c r="AU206" s="19"/>
      <c r="AV206" s="18"/>
    </row>
    <row r="207" spans="1:48" s="97" customFormat="1" ht="12.75" thickBot="1">
      <c r="A207" s="88" t="s">
        <v>103</v>
      </c>
      <c r="B207" s="103">
        <f>SUM(B204:B206)</f>
        <v>40289</v>
      </c>
      <c r="C207" s="90"/>
      <c r="D207" s="103">
        <f>SUM(D204:D206)</f>
        <v>12</v>
      </c>
      <c r="E207" s="90"/>
      <c r="F207" s="103">
        <f>SUM(F204:F206)</f>
        <v>36911.000000000007</v>
      </c>
      <c r="G207" s="62"/>
      <c r="H207" s="64"/>
      <c r="I207" s="63"/>
      <c r="J207" s="91">
        <f>SUM(J205:J206)</f>
        <v>103379.97000000002</v>
      </c>
      <c r="K207" s="62"/>
      <c r="L207" s="91">
        <f>SUM(L205:L206)</f>
        <v>103379.97000000002</v>
      </c>
      <c r="M207" s="62"/>
      <c r="N207" s="103">
        <f>SUM(N204:N206)</f>
        <v>12</v>
      </c>
      <c r="O207" s="67"/>
      <c r="P207" s="103">
        <f>SUM(P204:P206)</f>
        <v>36911.000000000007</v>
      </c>
      <c r="Q207" s="62"/>
      <c r="R207" s="32"/>
      <c r="S207" s="90"/>
      <c r="T207" s="91">
        <f>SUM(T205:T206)</f>
        <v>114622.51632516008</v>
      </c>
      <c r="U207" s="90"/>
      <c r="V207" s="90"/>
      <c r="W207" s="92"/>
      <c r="Z207" s="94"/>
      <c r="AA207" s="94"/>
      <c r="AB207" s="94"/>
      <c r="AC207" s="94"/>
      <c r="AD207" s="94" t="s">
        <v>25</v>
      </c>
      <c r="AE207" s="70"/>
      <c r="AF207" s="63"/>
      <c r="AG207" s="90"/>
      <c r="AH207" s="90"/>
      <c r="AI207" s="90"/>
      <c r="AJ207" s="63"/>
      <c r="AK207" s="95"/>
      <c r="AL207" s="63"/>
      <c r="AM207" s="95"/>
      <c r="AN207" s="63"/>
      <c r="AO207" s="95"/>
      <c r="AP207" s="63"/>
      <c r="AQ207" s="95"/>
      <c r="AR207" s="96"/>
      <c r="AS207" s="96"/>
      <c r="AT207" s="96"/>
      <c r="AU207" s="96"/>
      <c r="AV207" s="96"/>
    </row>
    <row r="208" spans="1:48" ht="12.75" thickTop="1">
      <c r="A208" s="88"/>
      <c r="B208" s="79"/>
      <c r="C208" s="80"/>
      <c r="D208" s="79"/>
      <c r="E208" s="74"/>
      <c r="F208" s="26"/>
      <c r="G208" s="26"/>
      <c r="H208" s="28"/>
      <c r="I208" s="75"/>
      <c r="J208" s="29"/>
      <c r="K208" s="26"/>
      <c r="L208" s="29"/>
      <c r="M208" s="26"/>
      <c r="N208" s="76"/>
      <c r="O208" s="31"/>
      <c r="P208" s="76"/>
      <c r="Q208" s="26"/>
      <c r="R208" s="32"/>
      <c r="S208" s="75"/>
      <c r="T208" s="33"/>
      <c r="U208" s="75"/>
      <c r="V208" s="75"/>
      <c r="W208" s="110"/>
      <c r="X208" s="6"/>
      <c r="Z208" s="46"/>
      <c r="AA208" s="46"/>
      <c r="AB208" s="46"/>
      <c r="AC208" s="46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18"/>
      <c r="AS208" s="18"/>
      <c r="AT208" s="18"/>
      <c r="AU208" s="19"/>
      <c r="AV208" s="18"/>
    </row>
    <row r="209" spans="1:48" ht="12" customHeight="1" thickBot="1">
      <c r="A209" s="98" t="s">
        <v>104</v>
      </c>
      <c r="B209" s="79"/>
      <c r="C209" s="80"/>
      <c r="D209" s="79"/>
      <c r="E209" s="74"/>
      <c r="F209" s="26"/>
      <c r="G209" s="26"/>
      <c r="H209" s="28"/>
      <c r="I209" s="75"/>
      <c r="J209" s="29"/>
      <c r="K209" s="26"/>
      <c r="L209" s="99">
        <f>+L207/$D207</f>
        <v>8614.9975000000013</v>
      </c>
      <c r="M209" s="26"/>
      <c r="N209" s="76"/>
      <c r="O209" s="31"/>
      <c r="P209" s="76"/>
      <c r="Q209" s="26"/>
      <c r="R209" s="32"/>
      <c r="S209" s="75"/>
      <c r="T209" s="99">
        <f>+T207/$D207</f>
        <v>9551.8763604300057</v>
      </c>
      <c r="U209" s="75">
        <f>+T209-L209</f>
        <v>936.87886043000435</v>
      </c>
      <c r="V209" s="75"/>
      <c r="W209" s="110"/>
      <c r="X209" s="6"/>
      <c r="Z209" s="46"/>
      <c r="AA209" s="46"/>
      <c r="AB209" s="46"/>
      <c r="AC209" s="46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18"/>
      <c r="AS209" s="18"/>
      <c r="AT209" s="18"/>
      <c r="AU209" s="19"/>
      <c r="AV209" s="18"/>
    </row>
    <row r="210" spans="1:48" ht="12.75" thickTop="1">
      <c r="A210" s="73"/>
      <c r="B210" s="79"/>
      <c r="C210" s="80"/>
      <c r="D210" s="79"/>
      <c r="E210" s="74"/>
      <c r="F210" s="26"/>
      <c r="G210" s="26"/>
      <c r="H210" s="28"/>
      <c r="I210" s="75"/>
      <c r="J210" s="29"/>
      <c r="K210" s="26"/>
      <c r="L210" s="29"/>
      <c r="M210" s="26"/>
      <c r="N210" s="76"/>
      <c r="O210" s="31"/>
      <c r="P210" s="76"/>
      <c r="Q210" s="26"/>
      <c r="R210" s="32"/>
      <c r="S210" s="74"/>
      <c r="T210" s="77"/>
      <c r="U210" s="74"/>
      <c r="V210" s="74"/>
      <c r="W210" s="110"/>
      <c r="X210" s="6"/>
      <c r="Z210" s="46"/>
      <c r="AA210" s="46"/>
      <c r="AB210" s="46"/>
      <c r="AC210" s="46"/>
      <c r="AD210" s="111"/>
      <c r="AE210" s="112"/>
      <c r="AF210" s="19"/>
      <c r="AG210" s="113"/>
      <c r="AH210" s="48"/>
      <c r="AI210" s="48"/>
      <c r="AJ210" s="19"/>
      <c r="AK210" s="18"/>
      <c r="AL210" s="48"/>
      <c r="AM210" s="18"/>
      <c r="AN210" s="48"/>
      <c r="AO210" s="18"/>
      <c r="AP210" s="18"/>
      <c r="AQ210" s="18"/>
      <c r="AR210" s="18"/>
      <c r="AS210" s="18"/>
      <c r="AT210" s="18"/>
      <c r="AU210" s="18"/>
      <c r="AV210" s="18"/>
    </row>
    <row r="211" spans="1:48">
      <c r="A211" s="114" t="s">
        <v>105</v>
      </c>
      <c r="B211" s="79">
        <v>0</v>
      </c>
      <c r="C211" s="80"/>
      <c r="D211" s="79">
        <v>3420</v>
      </c>
      <c r="E211" s="74"/>
      <c r="F211" s="26">
        <v>0</v>
      </c>
      <c r="G211" s="26"/>
      <c r="H211" s="115">
        <v>4.43</v>
      </c>
      <c r="I211" s="75"/>
      <c r="J211" s="29">
        <v>15150.599999999999</v>
      </c>
      <c r="K211" s="26"/>
      <c r="L211" s="29">
        <v>15150.599999999999</v>
      </c>
      <c r="M211" s="26"/>
      <c r="N211" s="76">
        <v>3420</v>
      </c>
      <c r="O211" s="31"/>
      <c r="P211" s="76"/>
      <c r="Q211" s="26"/>
      <c r="R211" s="82">
        <f>+H211*(1+$W$5)</f>
        <v>4.9117614110398664</v>
      </c>
      <c r="S211" s="74"/>
      <c r="T211" s="83">
        <f>+N211*R211</f>
        <v>16798.224025756343</v>
      </c>
      <c r="U211" s="74"/>
      <c r="V211" s="74"/>
      <c r="W211" s="56"/>
      <c r="X211" s="45"/>
      <c r="Y211" s="46"/>
      <c r="Z211" s="46"/>
      <c r="AA211" s="46"/>
      <c r="AB211" s="46"/>
      <c r="AC211" s="46"/>
      <c r="AD211" s="111"/>
      <c r="AE211" s="112"/>
      <c r="AF211" s="19"/>
      <c r="AG211" s="113"/>
      <c r="AH211" s="48"/>
      <c r="AI211" s="48"/>
      <c r="AJ211" s="19"/>
      <c r="AK211" s="18"/>
      <c r="AL211" s="48"/>
      <c r="AM211" s="18"/>
      <c r="AN211" s="48"/>
      <c r="AO211" s="18"/>
      <c r="AP211" s="18"/>
      <c r="AQ211" s="18"/>
      <c r="AR211" s="18"/>
      <c r="AS211" s="18"/>
      <c r="AT211" s="18"/>
      <c r="AU211" s="18"/>
      <c r="AV211" s="18"/>
    </row>
    <row r="212" spans="1:48" ht="12.75" thickBot="1">
      <c r="A212" s="88" t="s">
        <v>106</v>
      </c>
      <c r="B212" s="103">
        <f>SUM(B211)</f>
        <v>0</v>
      </c>
      <c r="C212" s="80"/>
      <c r="D212" s="103">
        <f>SUM(D211)</f>
        <v>3420</v>
      </c>
      <c r="E212" s="74"/>
      <c r="F212" s="103">
        <f>SUM(F211)</f>
        <v>0</v>
      </c>
      <c r="G212" s="26"/>
      <c r="H212" s="28"/>
      <c r="I212" s="75"/>
      <c r="J212" s="91">
        <f>J211</f>
        <v>15150.599999999999</v>
      </c>
      <c r="K212" s="26"/>
      <c r="L212" s="91">
        <f>+L211</f>
        <v>15150.599999999999</v>
      </c>
      <c r="M212" s="26"/>
      <c r="N212" s="108">
        <f>+N211</f>
        <v>3420</v>
      </c>
      <c r="O212" s="31"/>
      <c r="P212" s="108">
        <f>+P211</f>
        <v>0</v>
      </c>
      <c r="Q212" s="26"/>
      <c r="R212" s="32"/>
      <c r="S212" s="74"/>
      <c r="T212" s="91">
        <f>+T211</f>
        <v>16798.224025756343</v>
      </c>
      <c r="U212" s="74"/>
      <c r="V212" s="74"/>
      <c r="W212" s="56"/>
      <c r="X212" s="45"/>
      <c r="Y212" s="46"/>
      <c r="Z212" s="46"/>
      <c r="AA212" s="46"/>
      <c r="AB212" s="46"/>
      <c r="AC212" s="46"/>
      <c r="AD212" s="111"/>
      <c r="AE212" s="112"/>
      <c r="AF212" s="19"/>
      <c r="AG212" s="113"/>
      <c r="AH212" s="48"/>
      <c r="AI212" s="48"/>
      <c r="AJ212" s="19"/>
      <c r="AK212" s="18"/>
      <c r="AL212" s="48"/>
      <c r="AM212" s="18"/>
      <c r="AN212" s="48"/>
      <c r="AO212" s="18"/>
      <c r="AP212" s="18"/>
      <c r="AQ212" s="18"/>
      <c r="AR212" s="18"/>
      <c r="AS212" s="18"/>
      <c r="AT212" s="18"/>
      <c r="AU212" s="18"/>
      <c r="AV212" s="18"/>
    </row>
    <row r="213" spans="1:48" ht="12.75" thickTop="1">
      <c r="A213" s="114"/>
      <c r="B213" s="79"/>
      <c r="C213" s="80"/>
      <c r="D213" s="79"/>
      <c r="E213" s="74"/>
      <c r="F213" s="26"/>
      <c r="G213" s="26"/>
      <c r="H213" s="28"/>
      <c r="I213" s="75"/>
      <c r="J213" s="29"/>
      <c r="K213" s="26"/>
      <c r="L213" s="29"/>
      <c r="M213" s="26"/>
      <c r="N213" s="76"/>
      <c r="O213" s="31"/>
      <c r="P213" s="76"/>
      <c r="Q213" s="26"/>
      <c r="R213" s="32"/>
      <c r="S213" s="74"/>
      <c r="T213" s="77"/>
      <c r="U213" s="74"/>
      <c r="V213" s="74"/>
      <c r="W213" s="56"/>
      <c r="X213" s="45"/>
      <c r="Y213" s="46"/>
      <c r="Z213" s="46"/>
      <c r="AA213" s="46"/>
      <c r="AB213" s="46"/>
      <c r="AC213" s="46"/>
      <c r="AD213" s="111"/>
      <c r="AE213" s="112"/>
      <c r="AF213" s="19"/>
      <c r="AG213" s="113"/>
      <c r="AH213" s="48"/>
      <c r="AI213" s="48"/>
      <c r="AJ213" s="19"/>
      <c r="AK213" s="18"/>
      <c r="AL213" s="48"/>
      <c r="AM213" s="18"/>
      <c r="AN213" s="48"/>
      <c r="AO213" s="18"/>
      <c r="AP213" s="18"/>
      <c r="AQ213" s="18"/>
      <c r="AR213" s="18"/>
      <c r="AS213" s="18"/>
      <c r="AT213" s="18"/>
      <c r="AU213" s="18"/>
      <c r="AV213" s="18"/>
    </row>
    <row r="214" spans="1:48" ht="12.75" thickBot="1">
      <c r="A214" s="98" t="s">
        <v>107</v>
      </c>
      <c r="B214" s="79"/>
      <c r="C214" s="80"/>
      <c r="D214" s="79"/>
      <c r="E214" s="74"/>
      <c r="F214" s="26"/>
      <c r="G214" s="26"/>
      <c r="H214" s="28"/>
      <c r="I214" s="75"/>
      <c r="J214" s="29"/>
      <c r="K214" s="26"/>
      <c r="L214" s="99">
        <f>+L212/$D212</f>
        <v>4.43</v>
      </c>
      <c r="M214" s="26"/>
      <c r="N214" s="76"/>
      <c r="O214" s="31"/>
      <c r="P214" s="76"/>
      <c r="Q214" s="26"/>
      <c r="R214" s="32"/>
      <c r="S214" s="75"/>
      <c r="T214" s="99">
        <f>+T212/$D212</f>
        <v>4.9117614110398664</v>
      </c>
      <c r="U214" s="75">
        <f>+T214-L214</f>
        <v>0.48176141103986669</v>
      </c>
      <c r="V214" s="74"/>
      <c r="W214" s="56"/>
      <c r="X214" s="45"/>
      <c r="Y214" s="46"/>
      <c r="Z214" s="46"/>
      <c r="AA214" s="46"/>
      <c r="AB214" s="46"/>
      <c r="AC214" s="46"/>
      <c r="AD214" s="111"/>
      <c r="AE214" s="112"/>
      <c r="AF214" s="19"/>
      <c r="AG214" s="113"/>
      <c r="AH214" s="48"/>
      <c r="AI214" s="48"/>
      <c r="AJ214" s="19"/>
      <c r="AK214" s="18"/>
      <c r="AL214" s="48"/>
      <c r="AM214" s="18"/>
      <c r="AN214" s="48"/>
      <c r="AO214" s="18"/>
      <c r="AP214" s="18"/>
      <c r="AQ214" s="18"/>
      <c r="AR214" s="18"/>
      <c r="AS214" s="18"/>
      <c r="AT214" s="18"/>
      <c r="AU214" s="18"/>
      <c r="AV214" s="18"/>
    </row>
    <row r="215" spans="1:48" ht="12.75" thickTop="1">
      <c r="A215" s="98"/>
      <c r="B215" s="79"/>
      <c r="C215" s="80"/>
      <c r="D215" s="79"/>
      <c r="E215" s="74"/>
      <c r="F215" s="26"/>
      <c r="G215" s="26"/>
      <c r="H215" s="28"/>
      <c r="I215" s="75"/>
      <c r="J215" s="29"/>
      <c r="K215" s="26"/>
      <c r="L215" s="29"/>
      <c r="M215" s="26"/>
      <c r="N215" s="76"/>
      <c r="O215" s="31"/>
      <c r="P215" s="76"/>
      <c r="Q215" s="26"/>
      <c r="R215" s="32"/>
      <c r="S215" s="74"/>
      <c r="T215" s="116"/>
      <c r="U215" s="74"/>
      <c r="V215" s="74"/>
      <c r="W215" s="56"/>
      <c r="X215" s="45"/>
      <c r="Y215" s="46"/>
      <c r="Z215" s="46"/>
      <c r="AA215" s="46"/>
      <c r="AB215" s="46"/>
      <c r="AC215" s="46"/>
      <c r="AD215" s="111"/>
      <c r="AE215" s="112"/>
      <c r="AF215" s="19"/>
      <c r="AG215" s="113"/>
      <c r="AH215" s="48"/>
      <c r="AI215" s="48"/>
      <c r="AJ215" s="19"/>
      <c r="AK215" s="18"/>
      <c r="AL215" s="48"/>
      <c r="AM215" s="18"/>
      <c r="AN215" s="48"/>
      <c r="AO215" s="18"/>
      <c r="AP215" s="18"/>
      <c r="AQ215" s="18"/>
      <c r="AR215" s="18"/>
      <c r="AS215" s="18"/>
      <c r="AT215" s="18"/>
      <c r="AU215" s="18"/>
      <c r="AV215" s="18"/>
    </row>
    <row r="216" spans="1:48">
      <c r="A216" s="114" t="s">
        <v>108</v>
      </c>
      <c r="B216" s="79">
        <v>0</v>
      </c>
      <c r="C216" s="80"/>
      <c r="D216" s="79">
        <v>912</v>
      </c>
      <c r="E216" s="74"/>
      <c r="F216" s="26">
        <v>0</v>
      </c>
      <c r="G216" s="26"/>
      <c r="H216" s="115">
        <v>19.93</v>
      </c>
      <c r="I216" s="75"/>
      <c r="J216" s="29">
        <v>18176.16</v>
      </c>
      <c r="K216" s="26"/>
      <c r="L216" s="29">
        <v>18176.16</v>
      </c>
      <c r="M216" s="26"/>
      <c r="N216" s="76">
        <v>912</v>
      </c>
      <c r="O216" s="31"/>
      <c r="P216" s="76"/>
      <c r="Q216" s="26"/>
      <c r="R216" s="82">
        <f>+H216*(1+$W$5)</f>
        <v>22.097382600908475</v>
      </c>
      <c r="S216" s="74"/>
      <c r="T216" s="83">
        <f>+N216*R216</f>
        <v>20152.81293202853</v>
      </c>
      <c r="U216" s="74"/>
      <c r="V216" s="74"/>
      <c r="W216" s="56"/>
      <c r="X216" s="45"/>
      <c r="Y216" s="46"/>
      <c r="Z216" s="46"/>
      <c r="AA216" s="46"/>
      <c r="AB216" s="46"/>
      <c r="AC216" s="46"/>
      <c r="AD216" s="111"/>
      <c r="AE216" s="112"/>
      <c r="AF216" s="19"/>
      <c r="AG216" s="113"/>
      <c r="AH216" s="48"/>
      <c r="AI216" s="48"/>
      <c r="AJ216" s="19"/>
      <c r="AK216" s="18"/>
      <c r="AL216" s="48"/>
      <c r="AM216" s="18"/>
      <c r="AN216" s="48"/>
      <c r="AO216" s="18"/>
      <c r="AP216" s="18"/>
      <c r="AQ216" s="18"/>
      <c r="AR216" s="18"/>
      <c r="AS216" s="18"/>
      <c r="AT216" s="18"/>
      <c r="AU216" s="18"/>
      <c r="AV216" s="18"/>
    </row>
    <row r="217" spans="1:48" ht="12.75" thickBot="1">
      <c r="A217" s="88" t="s">
        <v>109</v>
      </c>
      <c r="B217" s="103">
        <f>SUM(B216)</f>
        <v>0</v>
      </c>
      <c r="C217" s="80"/>
      <c r="D217" s="103">
        <f>SUM(D216)</f>
        <v>912</v>
      </c>
      <c r="E217" s="74"/>
      <c r="F217" s="103">
        <f>SUM(F216)</f>
        <v>0</v>
      </c>
      <c r="G217" s="26"/>
      <c r="H217" s="28"/>
      <c r="I217" s="75"/>
      <c r="J217" s="91">
        <f>J216</f>
        <v>18176.16</v>
      </c>
      <c r="K217" s="26"/>
      <c r="L217" s="91">
        <f>+L216</f>
        <v>18176.16</v>
      </c>
      <c r="M217" s="26"/>
      <c r="N217" s="108">
        <f>+N216</f>
        <v>912</v>
      </c>
      <c r="O217" s="31"/>
      <c r="P217" s="108">
        <f>+P216</f>
        <v>0</v>
      </c>
      <c r="Q217" s="26"/>
      <c r="R217" s="32"/>
      <c r="S217" s="74"/>
      <c r="T217" s="91">
        <f>+T216</f>
        <v>20152.81293202853</v>
      </c>
      <c r="U217" s="74"/>
      <c r="V217" s="74"/>
      <c r="W217" s="117" t="s">
        <v>110</v>
      </c>
      <c r="X217" s="118"/>
      <c r="Y217" s="118"/>
      <c r="Z217" s="46"/>
      <c r="AA217" s="46"/>
      <c r="AB217" s="46"/>
      <c r="AC217" s="46"/>
      <c r="AD217" s="111"/>
      <c r="AE217" s="112"/>
      <c r="AF217" s="19"/>
      <c r="AG217" s="113"/>
      <c r="AH217" s="48"/>
      <c r="AI217" s="48"/>
      <c r="AJ217" s="19"/>
      <c r="AK217" s="18"/>
      <c r="AL217" s="48"/>
      <c r="AM217" s="18"/>
      <c r="AN217" s="48"/>
      <c r="AO217" s="18"/>
      <c r="AP217" s="18"/>
      <c r="AQ217" s="18"/>
      <c r="AR217" s="18"/>
      <c r="AS217" s="18"/>
      <c r="AT217" s="18"/>
      <c r="AU217" s="18"/>
      <c r="AV217" s="18"/>
    </row>
    <row r="218" spans="1:48" ht="12.75" thickTop="1">
      <c r="A218" s="114"/>
      <c r="B218" s="79"/>
      <c r="C218" s="80"/>
      <c r="D218" s="79"/>
      <c r="E218" s="74"/>
      <c r="F218" s="26"/>
      <c r="G218" s="26"/>
      <c r="H218" s="28"/>
      <c r="I218" s="75"/>
      <c r="J218" s="29"/>
      <c r="K218" s="26"/>
      <c r="L218" s="29"/>
      <c r="M218" s="26"/>
      <c r="N218" s="76"/>
      <c r="O218" s="31"/>
      <c r="P218" s="76"/>
      <c r="Q218" s="26"/>
      <c r="R218" s="32"/>
      <c r="S218" s="74"/>
      <c r="T218" s="77"/>
      <c r="U218" s="74"/>
      <c r="V218" s="74"/>
      <c r="W218" s="34" t="s">
        <v>111</v>
      </c>
      <c r="X218" s="13" t="s">
        <v>112</v>
      </c>
      <c r="Y218" s="119" t="s">
        <v>113</v>
      </c>
      <c r="Z218" s="46"/>
      <c r="AA218" s="46"/>
      <c r="AB218" s="46"/>
      <c r="AC218" s="46"/>
      <c r="AD218" s="111"/>
      <c r="AE218" s="112"/>
      <c r="AF218" s="19"/>
      <c r="AG218" s="113"/>
      <c r="AH218" s="48"/>
      <c r="AI218" s="48"/>
      <c r="AJ218" s="19"/>
      <c r="AK218" s="18"/>
      <c r="AL218" s="48"/>
      <c r="AM218" s="18"/>
      <c r="AN218" s="48"/>
      <c r="AO218" s="18"/>
      <c r="AP218" s="18"/>
      <c r="AQ218" s="18"/>
      <c r="AR218" s="18"/>
      <c r="AS218" s="18"/>
      <c r="AT218" s="18"/>
      <c r="AU218" s="18"/>
      <c r="AV218" s="18"/>
    </row>
    <row r="219" spans="1:48" ht="12.75" thickBot="1">
      <c r="A219" s="98" t="s">
        <v>114</v>
      </c>
      <c r="B219" s="79"/>
      <c r="C219" s="80"/>
      <c r="D219" s="79"/>
      <c r="E219" s="74"/>
      <c r="F219" s="26"/>
      <c r="G219" s="26"/>
      <c r="H219" s="28"/>
      <c r="I219" s="75"/>
      <c r="J219" s="29"/>
      <c r="K219" s="26"/>
      <c r="L219" s="99">
        <f>+L217/$D217</f>
        <v>19.93</v>
      </c>
      <c r="M219" s="26"/>
      <c r="N219" s="76"/>
      <c r="O219" s="31"/>
      <c r="P219" s="76"/>
      <c r="Q219" s="26"/>
      <c r="R219" s="32"/>
      <c r="S219" s="75"/>
      <c r="T219" s="99">
        <f>+T217/$D217</f>
        <v>22.097382600908475</v>
      </c>
      <c r="U219" s="75">
        <f>+T219-L219</f>
        <v>2.1673826009084749</v>
      </c>
      <c r="V219" s="74"/>
      <c r="W219" s="34">
        <f>L207+L201+L195+L189+L183+L177+L170+L163+L212+L217+L155+L146+L137+L128+L119+L110+L100+L90+L80+L70+L60+L50+L40+L30+L20</f>
        <v>1820354.7099999988</v>
      </c>
      <c r="X219" s="45">
        <f>[15]Summary!$H$35</f>
        <v>1722595.2415333339</v>
      </c>
      <c r="Y219" s="120">
        <f>X219-W219</f>
        <v>-97759.468466664897</v>
      </c>
      <c r="Z219" s="46"/>
      <c r="AA219" s="46"/>
      <c r="AB219" s="46"/>
      <c r="AC219" s="46"/>
      <c r="AD219" s="111"/>
      <c r="AE219" s="112"/>
      <c r="AF219" s="19"/>
      <c r="AG219" s="113"/>
      <c r="AH219" s="48"/>
      <c r="AI219" s="48"/>
      <c r="AJ219" s="19"/>
      <c r="AK219" s="18"/>
      <c r="AL219" s="48"/>
      <c r="AM219" s="18"/>
      <c r="AN219" s="48"/>
      <c r="AO219" s="18"/>
      <c r="AP219" s="18"/>
      <c r="AQ219" s="18"/>
      <c r="AR219" s="18"/>
      <c r="AS219" s="18"/>
      <c r="AT219" s="18"/>
      <c r="AU219" s="18"/>
      <c r="AV219" s="18"/>
    </row>
    <row r="220" spans="1:48" ht="13.5" thickTop="1" thickBot="1">
      <c r="A220" s="73"/>
      <c r="B220" s="79"/>
      <c r="C220" s="80"/>
      <c r="D220" s="79"/>
      <c r="E220" s="74"/>
      <c r="F220" s="26"/>
      <c r="G220" s="26"/>
      <c r="H220" s="28"/>
      <c r="I220" s="75"/>
      <c r="J220" s="29"/>
      <c r="K220" s="26"/>
      <c r="L220" s="29"/>
      <c r="M220" s="26"/>
      <c r="N220" s="76"/>
      <c r="O220" s="31"/>
      <c r="P220" s="76"/>
      <c r="Q220" s="26"/>
      <c r="R220" s="32"/>
      <c r="S220" s="74"/>
      <c r="T220" s="77"/>
      <c r="U220" s="74"/>
      <c r="V220" s="74"/>
      <c r="W220" s="56"/>
      <c r="X220" s="45"/>
      <c r="Y220" s="46"/>
      <c r="Z220" s="46"/>
      <c r="AA220" s="46"/>
      <c r="AB220" s="46"/>
      <c r="AC220" s="46"/>
      <c r="AD220" s="111"/>
      <c r="AE220" s="112"/>
      <c r="AF220" s="19"/>
      <c r="AG220" s="113"/>
      <c r="AH220" s="48"/>
      <c r="AI220" s="48"/>
      <c r="AJ220" s="19"/>
      <c r="AK220" s="18"/>
      <c r="AL220" s="48"/>
      <c r="AM220" s="18"/>
      <c r="AN220" s="48"/>
      <c r="AO220" s="18"/>
      <c r="AP220" s="18"/>
      <c r="AQ220" s="18"/>
      <c r="AR220" s="18"/>
      <c r="AS220" s="18"/>
      <c r="AT220" s="18"/>
      <c r="AU220" s="18"/>
      <c r="AV220" s="18"/>
    </row>
    <row r="221" spans="1:48" s="97" customFormat="1" ht="12.75" thickBot="1">
      <c r="A221" s="70" t="s">
        <v>115</v>
      </c>
      <c r="B221" s="121">
        <f>+B217+B212+B207+B201+B195+B189+B183+B177+B170+B163+B155+B146+B137+B128+B119+B110+B100+B90+B80+B70+B60+B50+B40+B30+B20</f>
        <v>403951.14399999997</v>
      </c>
      <c r="C221" s="71"/>
      <c r="D221" s="121">
        <f>+D217+D212+D207+D201+D195+D189+D183+D177+D170+D163+D155+D146+D137+D128+D119+D110+D100+D90+D80+D70+D60+D50+D40+D30+D20</f>
        <v>73804.999999999898</v>
      </c>
      <c r="E221" s="62"/>
      <c r="F221" s="121">
        <f>+F217+F212+F207+F201+F195+F189+F183+F177+F170+F163+F155+F146+F137+F128+F119+F110+F100+F90+F80+F70+F60+F50+F40+F30+F20</f>
        <v>314704.26923076907</v>
      </c>
      <c r="G221" s="62"/>
      <c r="H221" s="64"/>
      <c r="I221" s="63"/>
      <c r="J221" s="122">
        <f>+J217+J212+J207+J201+J195+J189+J183+J177+J170+J163+J155+J146+J137+J128+J119+J110+J100+J90+J80+J70+J60+J50+J40+J30+J20</f>
        <v>1820354.7099999986</v>
      </c>
      <c r="K221" s="123"/>
      <c r="L221" s="122">
        <f>+L217+L212+L207+L201+L195+L189+L183+L177+L170+L163+L155+L146+L137+L128+L119+L110+L100+L90+L80+L70+L60+L50+L40+L30+L20</f>
        <v>1820354.7099999986</v>
      </c>
      <c r="M221" s="62"/>
      <c r="N221" s="121">
        <f>+N217+N212+N207+N201+N195+N189+N183+N177+N170+N163+N155+N146+N137+N128+N119+N110+N100+N90+N80+N70+N60+N50+N40+N30+N20</f>
        <v>73804.999999999898</v>
      </c>
      <c r="O221" s="124"/>
      <c r="P221" s="121">
        <f>+P217+P212+P207+P201+P195+P189+P183+P177+P170+P163+P155+P146+P137+P128+P119+P110+P100+P90+P80+P70+P60+P50+P40+P30+P20</f>
        <v>314704.26923076907</v>
      </c>
      <c r="Q221" s="62"/>
      <c r="R221" s="68"/>
      <c r="S221" s="90"/>
      <c r="T221" s="122">
        <f>+T217+T212+T207+T201+T195+T189+T183+T177+T170+T163+T155+T146+T137+T128+T119+T110+T100+T90+T80+T70+T60+T50+T40+T30+T20</f>
        <v>2018317.8372421355</v>
      </c>
      <c r="U221" s="90"/>
      <c r="V221" s="90"/>
      <c r="W221" s="125">
        <f>L221-X219</f>
        <v>97759.468466664664</v>
      </c>
      <c r="X221" s="126" t="s">
        <v>116</v>
      </c>
      <c r="Y221" s="94"/>
      <c r="Z221" s="94"/>
      <c r="AA221" s="94"/>
      <c r="AB221" s="94"/>
      <c r="AC221" s="94"/>
      <c r="AD221" s="127"/>
      <c r="AE221" s="128"/>
      <c r="AF221" s="129"/>
      <c r="AG221" s="130"/>
      <c r="AH221" s="96"/>
      <c r="AI221" s="96"/>
      <c r="AJ221" s="129"/>
      <c r="AK221" s="131"/>
      <c r="AL221" s="96"/>
      <c r="AM221" s="131"/>
      <c r="AN221" s="96"/>
      <c r="AO221" s="131"/>
      <c r="AP221" s="131"/>
      <c r="AQ221" s="131"/>
      <c r="AR221" s="131"/>
      <c r="AS221" s="131"/>
      <c r="AT221" s="131"/>
      <c r="AU221" s="131"/>
      <c r="AV221" s="131"/>
    </row>
    <row r="222" spans="1:48" ht="12.75" thickTop="1">
      <c r="A222" s="73"/>
      <c r="B222" s="79"/>
      <c r="C222" s="80"/>
      <c r="D222" s="79"/>
      <c r="E222" s="74"/>
      <c r="F222" s="26"/>
      <c r="G222" s="26"/>
      <c r="H222" s="28"/>
      <c r="I222" s="75"/>
      <c r="J222" s="29"/>
      <c r="K222" s="26"/>
      <c r="L222" s="74"/>
      <c r="M222" s="26"/>
      <c r="N222" s="76"/>
      <c r="O222" s="31"/>
      <c r="P222" s="76"/>
      <c r="Q222" s="26"/>
      <c r="R222" s="32"/>
      <c r="S222" s="74"/>
      <c r="T222" s="77"/>
      <c r="U222" s="74"/>
      <c r="V222" s="74"/>
      <c r="W222" s="56"/>
      <c r="X222" s="45"/>
      <c r="Y222" s="46"/>
      <c r="Z222" s="46"/>
      <c r="AA222" s="46"/>
      <c r="AB222" s="46"/>
      <c r="AC222" s="46"/>
      <c r="AD222" s="111"/>
      <c r="AE222" s="112"/>
      <c r="AF222" s="19"/>
      <c r="AG222" s="113"/>
      <c r="AH222" s="48"/>
      <c r="AI222" s="48"/>
      <c r="AJ222" s="19"/>
      <c r="AK222" s="18"/>
      <c r="AL222" s="48"/>
      <c r="AM222" s="18"/>
      <c r="AN222" s="48"/>
      <c r="AO222" s="18"/>
      <c r="AP222" s="18"/>
      <c r="AQ222" s="18"/>
      <c r="AR222" s="18"/>
      <c r="AS222" s="18"/>
      <c r="AT222" s="18"/>
      <c r="AU222" s="18"/>
      <c r="AV222" s="18"/>
    </row>
    <row r="223" spans="1:48">
      <c r="A223" s="132" t="s">
        <v>117</v>
      </c>
      <c r="B223" s="133"/>
      <c r="C223" s="113"/>
      <c r="D223" s="133"/>
      <c r="E223" s="48"/>
      <c r="F223" s="31"/>
      <c r="G223" s="31"/>
      <c r="H223" s="32"/>
      <c r="I223" s="19"/>
      <c r="J223" s="134"/>
      <c r="K223" s="31"/>
      <c r="L223" s="134"/>
      <c r="M223" s="31"/>
      <c r="N223" s="86"/>
      <c r="O223" s="31"/>
      <c r="P223" s="135"/>
      <c r="Q223" s="31"/>
      <c r="R223" s="32"/>
      <c r="S223" s="48"/>
      <c r="T223" s="136"/>
      <c r="U223" s="48"/>
      <c r="V223" s="48"/>
      <c r="W223" s="56"/>
      <c r="X223" s="1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111"/>
      <c r="AJ223" s="111"/>
      <c r="AK223" s="137"/>
      <c r="AL223" s="48"/>
      <c r="AM223" s="48"/>
      <c r="AN223" s="48"/>
      <c r="AO223" s="48"/>
      <c r="AP223" s="48"/>
      <c r="AQ223" s="48"/>
      <c r="AR223" s="48"/>
      <c r="AS223" s="18"/>
      <c r="AT223" s="18"/>
      <c r="AU223" s="18"/>
      <c r="AV223" s="18"/>
    </row>
    <row r="224" spans="1:48">
      <c r="A224" s="73" t="s">
        <v>17</v>
      </c>
      <c r="B224" s="26">
        <v>836</v>
      </c>
      <c r="C224" s="74"/>
      <c r="D224" s="26"/>
      <c r="E224" s="74"/>
      <c r="F224" s="26"/>
      <c r="G224" s="26"/>
      <c r="H224" s="28"/>
      <c r="I224" s="74"/>
      <c r="M224" s="26"/>
      <c r="N224" s="140"/>
      <c r="P224" s="140"/>
      <c r="S224" s="143"/>
      <c r="T224" s="77"/>
      <c r="U224" s="143"/>
      <c r="V224" s="143"/>
      <c r="W224" s="110"/>
      <c r="X224" s="6"/>
      <c r="Z224" s="3"/>
      <c r="AA224" s="3"/>
      <c r="AB224" s="3"/>
      <c r="AC224" s="3"/>
      <c r="AD224" s="3"/>
      <c r="AE224" s="3"/>
      <c r="AF224" s="3"/>
      <c r="AG224" s="3"/>
      <c r="AH224" s="3"/>
      <c r="AI224" s="111"/>
      <c r="AJ224" s="144"/>
      <c r="AK224" s="145"/>
      <c r="AL224" s="113"/>
      <c r="AM224" s="48"/>
      <c r="AN224" s="48"/>
      <c r="AO224" s="19"/>
      <c r="AP224" s="48"/>
      <c r="AQ224" s="48"/>
      <c r="AR224" s="48"/>
      <c r="AS224" s="48"/>
      <c r="AT224" s="48"/>
      <c r="AU224" s="19"/>
      <c r="AV224" s="19"/>
    </row>
    <row r="225" spans="1:48">
      <c r="A225" s="78" t="s">
        <v>18</v>
      </c>
      <c r="B225" s="26"/>
      <c r="C225" s="74"/>
      <c r="D225" s="26">
        <v>227.99999999999994</v>
      </c>
      <c r="E225" s="74"/>
      <c r="H225" s="146">
        <v>11.99</v>
      </c>
      <c r="I225" s="74"/>
      <c r="J225" s="29">
        <f>+D225*H225</f>
        <v>2733.7199999999993</v>
      </c>
      <c r="K225" s="26"/>
      <c r="L225" s="29">
        <f>+J225</f>
        <v>2733.7199999999993</v>
      </c>
      <c r="M225" s="26"/>
      <c r="N225" s="76">
        <f>+D225</f>
        <v>227.99999999999994</v>
      </c>
      <c r="O225" s="31"/>
      <c r="P225" s="76"/>
      <c r="Q225" s="26"/>
      <c r="R225" s="82">
        <f>+H225*(1+$W$5)</f>
        <v>13.293909552679008</v>
      </c>
      <c r="S225" s="143"/>
      <c r="T225" s="83">
        <f>+N225*R225</f>
        <v>3031.0113780108131</v>
      </c>
      <c r="U225" s="143"/>
      <c r="V225" s="143"/>
      <c r="W225" s="110"/>
      <c r="X225" s="6"/>
      <c r="Z225" s="3"/>
      <c r="AA225" s="3"/>
      <c r="AB225" s="3"/>
      <c r="AC225" s="3"/>
      <c r="AD225" s="3"/>
      <c r="AE225" s="3"/>
      <c r="AF225" s="3"/>
      <c r="AG225" s="3"/>
      <c r="AH225" s="3"/>
      <c r="AI225" s="111"/>
      <c r="AJ225" s="144"/>
      <c r="AK225" s="145"/>
      <c r="AL225" s="113"/>
      <c r="AM225" s="48"/>
      <c r="AN225" s="48"/>
      <c r="AO225" s="19"/>
      <c r="AP225" s="48"/>
      <c r="AQ225" s="48"/>
      <c r="AR225" s="48"/>
      <c r="AS225" s="48"/>
      <c r="AT225" s="48"/>
      <c r="AU225" s="19"/>
      <c r="AV225" s="19"/>
    </row>
    <row r="226" spans="1:48">
      <c r="A226" s="78" t="s">
        <v>19</v>
      </c>
      <c r="B226" s="26"/>
      <c r="C226" s="74"/>
      <c r="D226" s="26"/>
      <c r="E226" s="74"/>
      <c r="F226" s="26">
        <v>591</v>
      </c>
      <c r="G226" s="26"/>
      <c r="H226" s="84">
        <v>6.79</v>
      </c>
      <c r="I226" s="74"/>
      <c r="J226" s="76">
        <f>+F226*H226</f>
        <v>4012.89</v>
      </c>
      <c r="K226" s="26"/>
      <c r="L226" s="29">
        <f t="shared" ref="L226:L230" si="98">+J226</f>
        <v>4012.89</v>
      </c>
      <c r="M226" s="26"/>
      <c r="N226" s="76"/>
      <c r="O226" s="31"/>
      <c r="P226" s="76">
        <f>+F226</f>
        <v>591</v>
      </c>
      <c r="Q226" s="26"/>
      <c r="R226" s="82">
        <f t="shared" ref="R226:R230" si="99">+H226*(1+$W$5)</f>
        <v>7.5284108309166351</v>
      </c>
      <c r="S226" s="143"/>
      <c r="T226" s="83">
        <f>+P226*R226</f>
        <v>4449.290801071731</v>
      </c>
      <c r="U226" s="147"/>
      <c r="V226" s="143"/>
      <c r="W226" s="110"/>
      <c r="X226" s="6"/>
      <c r="Z226" s="3"/>
      <c r="AA226" s="3"/>
      <c r="AB226" s="3"/>
      <c r="AC226" s="3"/>
      <c r="AD226" s="3"/>
      <c r="AE226" s="3"/>
      <c r="AF226" s="3"/>
      <c r="AG226" s="3"/>
      <c r="AH226" s="3"/>
      <c r="AI226" s="111"/>
      <c r="AJ226" s="144"/>
      <c r="AK226" s="145"/>
      <c r="AL226" s="113"/>
      <c r="AM226" s="48"/>
      <c r="AN226" s="48"/>
      <c r="AO226" s="19"/>
      <c r="AP226" s="48"/>
      <c r="AQ226" s="48"/>
      <c r="AR226" s="48"/>
      <c r="AS226" s="48"/>
      <c r="AT226" s="48"/>
      <c r="AU226" s="19"/>
      <c r="AV226" s="19"/>
    </row>
    <row r="227" spans="1:48">
      <c r="A227" s="78" t="s">
        <v>20</v>
      </c>
      <c r="B227" s="26"/>
      <c r="C227" s="74"/>
      <c r="D227" s="26"/>
      <c r="E227" s="74"/>
      <c r="F227" s="26">
        <v>17</v>
      </c>
      <c r="G227" s="26"/>
      <c r="H227" s="84">
        <v>6.23</v>
      </c>
      <c r="I227" s="74"/>
      <c r="J227" s="76">
        <f t="shared" ref="J227:J230" si="100">+F227*H227</f>
        <v>105.91000000000001</v>
      </c>
      <c r="K227" s="26"/>
      <c r="L227" s="29">
        <f t="shared" si="98"/>
        <v>105.91000000000001</v>
      </c>
      <c r="M227" s="26"/>
      <c r="N227" s="76"/>
      <c r="O227" s="31"/>
      <c r="P227" s="76">
        <f t="shared" ref="P227:P230" si="101">+F227</f>
        <v>17</v>
      </c>
      <c r="Q227" s="26"/>
      <c r="R227" s="82">
        <f t="shared" si="99"/>
        <v>6.9075109685729963</v>
      </c>
      <c r="S227" s="143"/>
      <c r="T227" s="83">
        <f t="shared" ref="T227:T230" si="102">+P227*R227</f>
        <v>117.42768646574093</v>
      </c>
      <c r="U227" s="143"/>
      <c r="V227" s="143"/>
      <c r="W227" s="56"/>
      <c r="X227" s="1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111"/>
      <c r="AJ227" s="144"/>
      <c r="AK227" s="145"/>
      <c r="AL227" s="113"/>
      <c r="AM227" s="48"/>
      <c r="AN227" s="48"/>
      <c r="AO227" s="19"/>
      <c r="AP227" s="48"/>
      <c r="AQ227" s="48"/>
      <c r="AR227" s="48"/>
      <c r="AS227" s="48"/>
      <c r="AT227" s="48"/>
      <c r="AU227" s="19"/>
      <c r="AV227" s="19"/>
    </row>
    <row r="228" spans="1:48">
      <c r="A228" s="78" t="s">
        <v>21</v>
      </c>
      <c r="B228" s="26"/>
      <c r="C228" s="74"/>
      <c r="D228" s="26"/>
      <c r="E228" s="74"/>
      <c r="F228" s="26">
        <v>3</v>
      </c>
      <c r="G228" s="26"/>
      <c r="H228" s="84">
        <v>5.68</v>
      </c>
      <c r="I228" s="74"/>
      <c r="J228" s="76">
        <f t="shared" si="100"/>
        <v>17.04</v>
      </c>
      <c r="K228" s="26"/>
      <c r="L228" s="29">
        <f t="shared" si="98"/>
        <v>17.04</v>
      </c>
      <c r="M228" s="26"/>
      <c r="N228" s="76"/>
      <c r="O228" s="31"/>
      <c r="P228" s="76">
        <f t="shared" si="101"/>
        <v>3</v>
      </c>
      <c r="Q228" s="26"/>
      <c r="R228" s="82">
        <f t="shared" si="99"/>
        <v>6.2976986037712059</v>
      </c>
      <c r="S228" s="143"/>
      <c r="T228" s="83">
        <f t="shared" si="102"/>
        <v>18.893095811313618</v>
      </c>
      <c r="U228" s="143"/>
      <c r="V228" s="143"/>
      <c r="W228" s="56"/>
      <c r="X228" s="1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111"/>
      <c r="AJ228" s="144"/>
      <c r="AK228" s="145"/>
      <c r="AL228" s="113"/>
      <c r="AM228" s="48"/>
      <c r="AN228" s="48"/>
      <c r="AO228" s="19"/>
      <c r="AP228" s="48"/>
      <c r="AQ228" s="48"/>
      <c r="AR228" s="48"/>
      <c r="AS228" s="48"/>
      <c r="AT228" s="48"/>
      <c r="AU228" s="19"/>
      <c r="AV228" s="19"/>
    </row>
    <row r="229" spans="1:48">
      <c r="A229" s="78" t="s">
        <v>22</v>
      </c>
      <c r="B229" s="26"/>
      <c r="C229" s="74"/>
      <c r="D229" s="26"/>
      <c r="E229" s="74"/>
      <c r="F229" s="26">
        <v>0</v>
      </c>
      <c r="G229" s="26"/>
      <c r="H229" s="84">
        <v>5.04</v>
      </c>
      <c r="I229" s="74"/>
      <c r="J229" s="76">
        <f t="shared" si="100"/>
        <v>0</v>
      </c>
      <c r="K229" s="26"/>
      <c r="L229" s="29">
        <f t="shared" si="98"/>
        <v>0</v>
      </c>
      <c r="M229" s="26"/>
      <c r="N229" s="76"/>
      <c r="O229" s="31"/>
      <c r="P229" s="76">
        <f t="shared" si="101"/>
        <v>0</v>
      </c>
      <c r="Q229" s="26"/>
      <c r="R229" s="82">
        <f t="shared" si="99"/>
        <v>5.5880987610927599</v>
      </c>
      <c r="S229" s="143"/>
      <c r="T229" s="83">
        <f t="shared" si="102"/>
        <v>0</v>
      </c>
      <c r="U229" s="143"/>
      <c r="V229" s="143"/>
      <c r="W229" s="56"/>
      <c r="X229" s="1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111"/>
      <c r="AJ229" s="144"/>
      <c r="AK229" s="145"/>
      <c r="AL229" s="113"/>
      <c r="AM229" s="48"/>
      <c r="AN229" s="48"/>
      <c r="AO229" s="19"/>
      <c r="AP229" s="48"/>
      <c r="AQ229" s="48"/>
      <c r="AR229" s="48"/>
      <c r="AS229" s="48"/>
      <c r="AT229" s="48"/>
      <c r="AU229" s="19"/>
      <c r="AV229" s="19"/>
    </row>
    <row r="230" spans="1:48">
      <c r="A230" s="78" t="s">
        <v>23</v>
      </c>
      <c r="B230" s="26"/>
      <c r="C230" s="74"/>
      <c r="D230" s="26"/>
      <c r="E230" s="74"/>
      <c r="F230" s="26">
        <v>0</v>
      </c>
      <c r="G230" s="26"/>
      <c r="H230" s="84">
        <v>4.4000000000000004</v>
      </c>
      <c r="I230" s="74"/>
      <c r="J230" s="76">
        <f t="shared" si="100"/>
        <v>0</v>
      </c>
      <c r="K230" s="26"/>
      <c r="L230" s="29">
        <f t="shared" si="98"/>
        <v>0</v>
      </c>
      <c r="M230" s="26"/>
      <c r="N230" s="76"/>
      <c r="O230" s="31"/>
      <c r="P230" s="76">
        <f t="shared" si="101"/>
        <v>0</v>
      </c>
      <c r="Q230" s="26"/>
      <c r="R230" s="82">
        <f t="shared" si="99"/>
        <v>4.8784989184143148</v>
      </c>
      <c r="S230" s="143"/>
      <c r="T230" s="83">
        <f t="shared" si="102"/>
        <v>0</v>
      </c>
      <c r="U230" s="143"/>
      <c r="V230" s="143"/>
      <c r="W230" s="56"/>
      <c r="X230" s="1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111"/>
      <c r="AJ230" s="144"/>
      <c r="AK230" s="145"/>
      <c r="AL230" s="113"/>
      <c r="AM230" s="48"/>
      <c r="AN230" s="48"/>
      <c r="AO230" s="19"/>
      <c r="AP230" s="48"/>
      <c r="AQ230" s="48"/>
      <c r="AR230" s="48"/>
      <c r="AS230" s="48"/>
      <c r="AT230" s="48"/>
      <c r="AU230" s="19"/>
      <c r="AV230" s="19"/>
    </row>
    <row r="231" spans="1:48" s="97" customFormat="1" ht="12.75" thickBot="1">
      <c r="A231" s="88" t="s">
        <v>24</v>
      </c>
      <c r="B231" s="89">
        <f>SUM(B224:B230)</f>
        <v>836</v>
      </c>
      <c r="C231" s="90"/>
      <c r="D231" s="89">
        <f>SUM(D224:D230)</f>
        <v>227.99999999999994</v>
      </c>
      <c r="E231" s="90"/>
      <c r="F231" s="89">
        <f>SUM(F224:F230)</f>
        <v>611</v>
      </c>
      <c r="G231" s="62"/>
      <c r="H231" s="64"/>
      <c r="I231" s="63"/>
      <c r="J231" s="91">
        <f>SUM(J224:J230)</f>
        <v>6869.5599999999986</v>
      </c>
      <c r="K231" s="62"/>
      <c r="L231" s="91">
        <f>SUM(L224:L230)</f>
        <v>6869.5599999999986</v>
      </c>
      <c r="M231" s="62"/>
      <c r="N231" s="89">
        <f>SUM(N224:N230)</f>
        <v>227.99999999999994</v>
      </c>
      <c r="O231" s="67"/>
      <c r="P231" s="89">
        <f>SUM(P224:P230)</f>
        <v>611</v>
      </c>
      <c r="Q231" s="62"/>
      <c r="R231" s="32"/>
      <c r="S231" s="90"/>
      <c r="T231" s="91">
        <f>SUM(T224:T230)</f>
        <v>7616.6229613595988</v>
      </c>
      <c r="U231" s="90"/>
      <c r="V231" s="148"/>
      <c r="W231" s="87"/>
      <c r="X231" s="17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27"/>
      <c r="AJ231" s="149"/>
      <c r="AK231" s="150"/>
      <c r="AL231" s="130"/>
      <c r="AM231" s="96"/>
      <c r="AN231" s="96"/>
      <c r="AO231" s="129"/>
      <c r="AP231" s="96"/>
      <c r="AQ231" s="96"/>
      <c r="AR231" s="96"/>
      <c r="AS231" s="96"/>
      <c r="AT231" s="96"/>
      <c r="AU231" s="129"/>
      <c r="AV231" s="129"/>
    </row>
    <row r="232" spans="1:48" s="97" customFormat="1" ht="12.75" thickTop="1">
      <c r="A232" s="88"/>
      <c r="B232" s="79"/>
      <c r="C232" s="80"/>
      <c r="D232" s="79"/>
      <c r="E232" s="74"/>
      <c r="F232" s="26"/>
      <c r="G232" s="26"/>
      <c r="H232" s="28"/>
      <c r="I232" s="75"/>
      <c r="J232" s="29"/>
      <c r="K232" s="26"/>
      <c r="L232" s="29"/>
      <c r="M232" s="26"/>
      <c r="N232" s="76"/>
      <c r="O232" s="31"/>
      <c r="P232" s="76"/>
      <c r="Q232" s="26"/>
      <c r="R232" s="32"/>
      <c r="S232" s="75"/>
      <c r="T232" s="33"/>
      <c r="U232" s="75"/>
      <c r="V232" s="148"/>
      <c r="W232" s="87"/>
      <c r="X232" s="17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27"/>
      <c r="AJ232" s="149"/>
      <c r="AK232" s="150"/>
      <c r="AL232" s="130"/>
      <c r="AM232" s="96"/>
      <c r="AN232" s="96"/>
      <c r="AO232" s="129"/>
      <c r="AP232" s="96"/>
      <c r="AQ232" s="96"/>
      <c r="AR232" s="96"/>
      <c r="AS232" s="96"/>
      <c r="AT232" s="96"/>
      <c r="AU232" s="129"/>
      <c r="AV232" s="129"/>
    </row>
    <row r="233" spans="1:48" s="97" customFormat="1" ht="12.75" thickBot="1">
      <c r="A233" s="98" t="s">
        <v>26</v>
      </c>
      <c r="B233" s="79"/>
      <c r="C233" s="80"/>
      <c r="D233" s="79"/>
      <c r="E233" s="74"/>
      <c r="F233" s="26"/>
      <c r="G233" s="26"/>
      <c r="H233" s="28"/>
      <c r="I233" s="75"/>
      <c r="J233" s="29"/>
      <c r="K233" s="26"/>
      <c r="L233" s="99">
        <f>+L231/$D231</f>
        <v>30.12964912280702</v>
      </c>
      <c r="M233" s="26"/>
      <c r="N233" s="76"/>
      <c r="O233" s="31"/>
      <c r="P233" s="76"/>
      <c r="Q233" s="26"/>
      <c r="R233" s="32"/>
      <c r="S233" s="75"/>
      <c r="T233" s="99">
        <f>+T231/$D231</f>
        <v>33.406241058594738</v>
      </c>
      <c r="U233" s="75">
        <f>+T233-L233</f>
        <v>3.2765919357877173</v>
      </c>
      <c r="V233" s="148"/>
      <c r="W233" s="87"/>
      <c r="X233" s="17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27"/>
      <c r="AJ233" s="149"/>
      <c r="AK233" s="150"/>
      <c r="AL233" s="130"/>
      <c r="AM233" s="96"/>
      <c r="AN233" s="96"/>
      <c r="AO233" s="129"/>
      <c r="AP233" s="96"/>
      <c r="AQ233" s="96"/>
      <c r="AR233" s="96"/>
      <c r="AS233" s="96"/>
      <c r="AT233" s="96"/>
      <c r="AU233" s="129"/>
      <c r="AV233" s="129"/>
    </row>
    <row r="234" spans="1:48" ht="12.75" thickTop="1">
      <c r="A234" s="73" t="s">
        <v>27</v>
      </c>
      <c r="B234" s="26">
        <v>254</v>
      </c>
      <c r="C234" s="74"/>
      <c r="D234" s="26"/>
      <c r="E234" s="74"/>
      <c r="F234" s="26"/>
      <c r="G234" s="26"/>
      <c r="H234" s="28"/>
      <c r="I234" s="74"/>
      <c r="K234" s="26"/>
      <c r="L234" s="29"/>
      <c r="M234" s="26"/>
      <c r="N234" s="76"/>
      <c r="O234" s="31"/>
      <c r="P234" s="76"/>
      <c r="Q234" s="26"/>
      <c r="R234" s="32"/>
      <c r="S234" s="143"/>
      <c r="T234" s="83"/>
      <c r="U234" s="143"/>
      <c r="V234" s="143"/>
      <c r="W234" s="56"/>
      <c r="X234" s="1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111"/>
      <c r="AJ234" s="144"/>
      <c r="AK234" s="145"/>
      <c r="AL234" s="113"/>
      <c r="AM234" s="48"/>
      <c r="AN234" s="48"/>
      <c r="AO234" s="19"/>
      <c r="AP234" s="48"/>
      <c r="AQ234" s="48"/>
      <c r="AR234" s="48"/>
      <c r="AS234" s="48"/>
      <c r="AT234" s="48"/>
      <c r="AU234" s="19"/>
      <c r="AV234" s="19"/>
    </row>
    <row r="235" spans="1:48">
      <c r="A235" s="78" t="s">
        <v>18</v>
      </c>
      <c r="B235" s="26"/>
      <c r="C235" s="74"/>
      <c r="D235" s="26">
        <v>48</v>
      </c>
      <c r="E235" s="74"/>
      <c r="F235" s="26"/>
      <c r="G235" s="26"/>
      <c r="H235" s="81">
        <v>11.99</v>
      </c>
      <c r="I235" s="74"/>
      <c r="J235" s="29">
        <f>+D235*H235</f>
        <v>575.52</v>
      </c>
      <c r="K235" s="26"/>
      <c r="L235" s="29">
        <f>+J235</f>
        <v>575.52</v>
      </c>
      <c r="M235" s="26"/>
      <c r="N235" s="76">
        <f>+D235</f>
        <v>48</v>
      </c>
      <c r="O235" s="31"/>
      <c r="P235" s="76"/>
      <c r="Q235" s="26"/>
      <c r="R235" s="82">
        <f>+H235*(1+$W$5)</f>
        <v>13.293909552679008</v>
      </c>
      <c r="S235" s="143"/>
      <c r="T235" s="83">
        <f>+N235*R235</f>
        <v>638.10765852859231</v>
      </c>
      <c r="U235" s="143"/>
      <c r="V235" s="143"/>
      <c r="W235" s="56"/>
      <c r="X235" s="1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111"/>
      <c r="AJ235" s="144"/>
      <c r="AK235" s="145"/>
      <c r="AL235" s="113"/>
      <c r="AM235" s="48"/>
      <c r="AN235" s="48"/>
      <c r="AO235" s="19"/>
      <c r="AP235" s="48"/>
      <c r="AQ235" s="48"/>
      <c r="AR235" s="48"/>
      <c r="AS235" s="48"/>
      <c r="AT235" s="48"/>
      <c r="AU235" s="19"/>
      <c r="AV235" s="19"/>
    </row>
    <row r="236" spans="1:48">
      <c r="A236" s="78" t="s">
        <v>19</v>
      </c>
      <c r="B236" s="26"/>
      <c r="C236" s="74"/>
      <c r="D236" s="26"/>
      <c r="E236" s="74"/>
      <c r="F236" s="26">
        <v>185.99999999999997</v>
      </c>
      <c r="G236" s="26"/>
      <c r="H236" s="84">
        <v>6.79</v>
      </c>
      <c r="I236" s="74"/>
      <c r="J236" s="76">
        <f>+F236*H236</f>
        <v>1262.9399999999998</v>
      </c>
      <c r="K236" s="26"/>
      <c r="L236" s="29">
        <f t="shared" ref="L236:L240" si="103">+J236</f>
        <v>1262.9399999999998</v>
      </c>
      <c r="M236" s="26"/>
      <c r="N236" s="76"/>
      <c r="O236" s="31"/>
      <c r="P236" s="76">
        <f>+F236</f>
        <v>185.99999999999997</v>
      </c>
      <c r="Q236" s="26"/>
      <c r="R236" s="82">
        <f t="shared" ref="R236:R240" si="104">+H236*(1+$W$5)</f>
        <v>7.5284108309166351</v>
      </c>
      <c r="S236" s="143"/>
      <c r="T236" s="83">
        <f>+P236*R236</f>
        <v>1400.2844145504939</v>
      </c>
      <c r="U236" s="143"/>
      <c r="V236" s="143"/>
      <c r="W236" s="56"/>
      <c r="X236" s="1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111"/>
      <c r="AJ236" s="144"/>
      <c r="AK236" s="145"/>
      <c r="AL236" s="113"/>
      <c r="AM236" s="48"/>
      <c r="AN236" s="48"/>
      <c r="AO236" s="19"/>
      <c r="AP236" s="48"/>
      <c r="AQ236" s="48"/>
      <c r="AR236" s="48"/>
      <c r="AS236" s="48"/>
      <c r="AT236" s="48"/>
      <c r="AU236" s="19"/>
      <c r="AV236" s="19"/>
    </row>
    <row r="237" spans="1:48">
      <c r="A237" s="78" t="s">
        <v>20</v>
      </c>
      <c r="B237" s="26"/>
      <c r="C237" s="74"/>
      <c r="D237" s="26"/>
      <c r="E237" s="74"/>
      <c r="F237" s="26">
        <v>20</v>
      </c>
      <c r="G237" s="26"/>
      <c r="H237" s="84">
        <v>6.23</v>
      </c>
      <c r="I237" s="74"/>
      <c r="J237" s="76">
        <f t="shared" ref="J237:J240" si="105">+F237*H237</f>
        <v>124.60000000000001</v>
      </c>
      <c r="K237" s="26"/>
      <c r="L237" s="29">
        <f t="shared" si="103"/>
        <v>124.60000000000001</v>
      </c>
      <c r="M237" s="26"/>
      <c r="N237" s="76"/>
      <c r="O237" s="31"/>
      <c r="P237" s="76">
        <f t="shared" ref="P237:P240" si="106">+F237</f>
        <v>20</v>
      </c>
      <c r="Q237" s="26"/>
      <c r="R237" s="82">
        <f t="shared" si="104"/>
        <v>6.9075109685729963</v>
      </c>
      <c r="S237" s="143"/>
      <c r="T237" s="83">
        <f t="shared" ref="T237:T240" si="107">+P237*R237</f>
        <v>138.15021937145991</v>
      </c>
      <c r="U237" s="143"/>
      <c r="V237" s="143"/>
      <c r="W237" s="56"/>
      <c r="X237" s="1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111"/>
      <c r="AJ237" s="144"/>
      <c r="AK237" s="145"/>
      <c r="AL237" s="113"/>
      <c r="AM237" s="48"/>
      <c r="AN237" s="48"/>
      <c r="AO237" s="19"/>
      <c r="AP237" s="48"/>
      <c r="AQ237" s="48"/>
      <c r="AR237" s="48"/>
      <c r="AS237" s="48"/>
      <c r="AT237" s="48"/>
      <c r="AU237" s="19"/>
      <c r="AV237" s="19"/>
    </row>
    <row r="238" spans="1:48">
      <c r="A238" s="78" t="s">
        <v>21</v>
      </c>
      <c r="B238" s="26"/>
      <c r="C238" s="74"/>
      <c r="D238" s="26"/>
      <c r="E238" s="74"/>
      <c r="F238" s="26">
        <v>0</v>
      </c>
      <c r="G238" s="26"/>
      <c r="H238" s="84">
        <v>5.68</v>
      </c>
      <c r="I238" s="74"/>
      <c r="J238" s="76">
        <f t="shared" si="105"/>
        <v>0</v>
      </c>
      <c r="K238" s="26"/>
      <c r="L238" s="29">
        <f t="shared" si="103"/>
        <v>0</v>
      </c>
      <c r="M238" s="26"/>
      <c r="N238" s="76"/>
      <c r="O238" s="31"/>
      <c r="P238" s="76">
        <f t="shared" si="106"/>
        <v>0</v>
      </c>
      <c r="Q238" s="26"/>
      <c r="R238" s="82">
        <f t="shared" si="104"/>
        <v>6.2976986037712059</v>
      </c>
      <c r="S238" s="143"/>
      <c r="T238" s="83">
        <f t="shared" si="107"/>
        <v>0</v>
      </c>
      <c r="U238" s="143"/>
      <c r="V238" s="143"/>
      <c r="W238" s="56"/>
      <c r="X238" s="1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111"/>
      <c r="AJ238" s="144"/>
      <c r="AK238" s="145"/>
      <c r="AL238" s="113"/>
      <c r="AM238" s="48"/>
      <c r="AN238" s="48"/>
      <c r="AO238" s="19"/>
      <c r="AP238" s="48"/>
      <c r="AQ238" s="48"/>
      <c r="AR238" s="48"/>
      <c r="AS238" s="48"/>
      <c r="AT238" s="48"/>
      <c r="AU238" s="19"/>
      <c r="AV238" s="19"/>
    </row>
    <row r="239" spans="1:48">
      <c r="A239" s="78" t="s">
        <v>22</v>
      </c>
      <c r="B239" s="26"/>
      <c r="C239" s="74"/>
      <c r="D239" s="26"/>
      <c r="E239" s="74"/>
      <c r="F239" s="26">
        <v>0</v>
      </c>
      <c r="G239" s="26"/>
      <c r="H239" s="84">
        <v>5.04</v>
      </c>
      <c r="I239" s="74"/>
      <c r="J239" s="76">
        <f t="shared" si="105"/>
        <v>0</v>
      </c>
      <c r="K239" s="26"/>
      <c r="L239" s="29">
        <f t="shared" si="103"/>
        <v>0</v>
      </c>
      <c r="M239" s="26"/>
      <c r="N239" s="76"/>
      <c r="O239" s="31"/>
      <c r="P239" s="76">
        <f t="shared" si="106"/>
        <v>0</v>
      </c>
      <c r="Q239" s="26"/>
      <c r="R239" s="82">
        <f t="shared" si="104"/>
        <v>5.5880987610927599</v>
      </c>
      <c r="S239" s="143"/>
      <c r="T239" s="83">
        <f t="shared" si="107"/>
        <v>0</v>
      </c>
      <c r="U239" s="143"/>
      <c r="V239" s="143"/>
      <c r="W239" s="56"/>
      <c r="X239" s="1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111"/>
      <c r="AJ239" s="144"/>
      <c r="AK239" s="145"/>
      <c r="AL239" s="113"/>
      <c r="AM239" s="48"/>
      <c r="AN239" s="48"/>
      <c r="AO239" s="19"/>
      <c r="AP239" s="48"/>
      <c r="AQ239" s="48"/>
      <c r="AR239" s="48"/>
      <c r="AS239" s="48"/>
      <c r="AT239" s="48"/>
      <c r="AU239" s="19"/>
      <c r="AV239" s="19"/>
    </row>
    <row r="240" spans="1:48">
      <c r="A240" s="78" t="s">
        <v>23</v>
      </c>
      <c r="B240" s="26"/>
      <c r="C240" s="74"/>
      <c r="D240" s="26"/>
      <c r="E240" s="74"/>
      <c r="F240" s="26">
        <v>0</v>
      </c>
      <c r="G240" s="26"/>
      <c r="H240" s="84">
        <v>4.4000000000000004</v>
      </c>
      <c r="I240" s="74"/>
      <c r="J240" s="76">
        <f t="shared" si="105"/>
        <v>0</v>
      </c>
      <c r="K240" s="26"/>
      <c r="L240" s="29">
        <f t="shared" si="103"/>
        <v>0</v>
      </c>
      <c r="M240" s="26"/>
      <c r="N240" s="76"/>
      <c r="O240" s="31"/>
      <c r="P240" s="76">
        <f t="shared" si="106"/>
        <v>0</v>
      </c>
      <c r="Q240" s="26"/>
      <c r="R240" s="82">
        <f t="shared" si="104"/>
        <v>4.8784989184143148</v>
      </c>
      <c r="S240" s="143"/>
      <c r="T240" s="83">
        <f t="shared" si="107"/>
        <v>0</v>
      </c>
      <c r="U240" s="143"/>
      <c r="V240" s="143"/>
      <c r="W240" s="56"/>
      <c r="X240" s="1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111"/>
      <c r="AJ240" s="144"/>
      <c r="AK240" s="145"/>
      <c r="AL240" s="113"/>
      <c r="AM240" s="48"/>
      <c r="AN240" s="48"/>
      <c r="AO240" s="19"/>
      <c r="AP240" s="48"/>
      <c r="AQ240" s="48"/>
      <c r="AR240" s="48"/>
      <c r="AS240" s="48"/>
      <c r="AT240" s="48"/>
      <c r="AU240" s="19"/>
      <c r="AV240" s="19"/>
    </row>
    <row r="241" spans="1:48" s="97" customFormat="1" ht="12.75" thickBot="1">
      <c r="A241" s="151" t="s">
        <v>28</v>
      </c>
      <c r="B241" s="89">
        <f>SUM(B234:B240)</f>
        <v>254</v>
      </c>
      <c r="C241" s="90"/>
      <c r="D241" s="89">
        <f>SUM(D234:D240)</f>
        <v>48</v>
      </c>
      <c r="E241" s="90"/>
      <c r="F241" s="89">
        <f>SUM(F234:F240)</f>
        <v>205.99999999999997</v>
      </c>
      <c r="G241" s="62"/>
      <c r="H241" s="64"/>
      <c r="I241" s="63"/>
      <c r="J241" s="91">
        <f>SUM(J234:J240)</f>
        <v>1963.0599999999997</v>
      </c>
      <c r="K241" s="62"/>
      <c r="L241" s="91">
        <f>SUM(L234:L240)</f>
        <v>1963.0599999999997</v>
      </c>
      <c r="M241" s="62"/>
      <c r="N241" s="89">
        <f>SUM(N234:N240)</f>
        <v>48</v>
      </c>
      <c r="O241" s="67"/>
      <c r="P241" s="89">
        <f>SUM(P234:P240)</f>
        <v>205.99999999999997</v>
      </c>
      <c r="Q241" s="62"/>
      <c r="R241" s="32"/>
      <c r="S241" s="90"/>
      <c r="T241" s="91">
        <f>SUM(T234:T240)</f>
        <v>2176.542292450546</v>
      </c>
      <c r="U241" s="90"/>
      <c r="V241" s="148"/>
      <c r="W241" s="87"/>
      <c r="X241" s="17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27"/>
      <c r="AJ241" s="149"/>
      <c r="AK241" s="150"/>
      <c r="AL241" s="130"/>
      <c r="AM241" s="96"/>
      <c r="AN241" s="96"/>
      <c r="AO241" s="129"/>
      <c r="AP241" s="96"/>
      <c r="AQ241" s="96"/>
      <c r="AR241" s="96"/>
      <c r="AS241" s="96"/>
      <c r="AT241" s="96"/>
      <c r="AU241" s="129"/>
      <c r="AV241" s="129"/>
    </row>
    <row r="242" spans="1:48" s="97" customFormat="1" ht="12.75" thickTop="1">
      <c r="A242" s="151"/>
      <c r="B242" s="79"/>
      <c r="C242" s="80"/>
      <c r="D242" s="79"/>
      <c r="E242" s="74"/>
      <c r="F242" s="26"/>
      <c r="G242" s="26"/>
      <c r="H242" s="28"/>
      <c r="I242" s="75"/>
      <c r="J242" s="29"/>
      <c r="K242" s="26"/>
      <c r="L242" s="29"/>
      <c r="M242" s="26"/>
      <c r="N242" s="76"/>
      <c r="O242" s="31"/>
      <c r="P242" s="76"/>
      <c r="Q242" s="26"/>
      <c r="R242" s="32"/>
      <c r="S242" s="75"/>
      <c r="T242" s="33"/>
      <c r="U242" s="75"/>
      <c r="V242" s="148"/>
      <c r="W242" s="87"/>
      <c r="X242" s="17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27"/>
      <c r="AJ242" s="149"/>
      <c r="AK242" s="150"/>
      <c r="AL242" s="130"/>
      <c r="AM242" s="96"/>
      <c r="AN242" s="96"/>
      <c r="AO242" s="129"/>
      <c r="AP242" s="96"/>
      <c r="AQ242" s="96"/>
      <c r="AR242" s="96"/>
      <c r="AS242" s="96"/>
      <c r="AT242" s="96"/>
      <c r="AU242" s="129"/>
      <c r="AV242" s="129"/>
    </row>
    <row r="243" spans="1:48" s="97" customFormat="1" ht="12.75" thickBot="1">
      <c r="A243" s="152" t="s">
        <v>29</v>
      </c>
      <c r="B243" s="79"/>
      <c r="C243" s="80"/>
      <c r="D243" s="79"/>
      <c r="E243" s="74"/>
      <c r="F243" s="26"/>
      <c r="G243" s="26"/>
      <c r="H243" s="28"/>
      <c r="I243" s="75"/>
      <c r="J243" s="29"/>
      <c r="K243" s="26"/>
      <c r="L243" s="99">
        <f>+L241/$D241</f>
        <v>40.897083333333327</v>
      </c>
      <c r="M243" s="26"/>
      <c r="N243" s="76"/>
      <c r="O243" s="31"/>
      <c r="P243" s="76"/>
      <c r="Q243" s="26"/>
      <c r="R243" s="32"/>
      <c r="S243" s="75"/>
      <c r="T243" s="99">
        <f>+T241/$D241</f>
        <v>45.344631092719709</v>
      </c>
      <c r="U243" s="75">
        <f>+T243-L243</f>
        <v>4.4475477593863815</v>
      </c>
      <c r="V243" s="148"/>
      <c r="W243" s="87"/>
      <c r="X243" s="17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27"/>
      <c r="AJ243" s="149"/>
      <c r="AK243" s="150"/>
      <c r="AL243" s="130"/>
      <c r="AM243" s="96"/>
      <c r="AN243" s="96"/>
      <c r="AO243" s="129"/>
      <c r="AP243" s="96"/>
      <c r="AQ243" s="96"/>
      <c r="AR243" s="96"/>
      <c r="AS243" s="96"/>
      <c r="AT243" s="96"/>
      <c r="AU243" s="129"/>
      <c r="AV243" s="129"/>
    </row>
    <row r="244" spans="1:48" ht="12.75" thickTop="1">
      <c r="A244" s="73" t="s">
        <v>118</v>
      </c>
      <c r="B244" s="26">
        <v>321</v>
      </c>
      <c r="C244" s="74"/>
      <c r="D244" s="26"/>
      <c r="E244" s="74"/>
      <c r="F244" s="26"/>
      <c r="G244" s="26"/>
      <c r="H244" s="28"/>
      <c r="I244" s="74"/>
      <c r="J244" s="29"/>
      <c r="K244" s="26"/>
      <c r="L244" s="29"/>
      <c r="M244" s="26"/>
      <c r="N244" s="76"/>
      <c r="O244" s="31"/>
      <c r="P244" s="76"/>
      <c r="Q244" s="26"/>
      <c r="R244" s="32"/>
      <c r="S244" s="143"/>
      <c r="T244" s="83"/>
      <c r="U244" s="143"/>
      <c r="V244" s="143"/>
      <c r="W244" s="56"/>
      <c r="X244" s="1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111"/>
      <c r="AJ244" s="144"/>
      <c r="AK244" s="145"/>
      <c r="AL244" s="113"/>
      <c r="AM244" s="48"/>
      <c r="AN244" s="48"/>
      <c r="AO244" s="19"/>
      <c r="AP244" s="48"/>
      <c r="AQ244" s="48"/>
      <c r="AR244" s="48"/>
      <c r="AS244" s="48"/>
      <c r="AT244" s="48"/>
      <c r="AU244" s="19"/>
      <c r="AV244" s="19"/>
    </row>
    <row r="245" spans="1:48">
      <c r="A245" s="78" t="s">
        <v>18</v>
      </c>
      <c r="B245" s="26"/>
      <c r="C245" s="74"/>
      <c r="D245" s="26">
        <v>114.99999999999999</v>
      </c>
      <c r="E245" s="74"/>
      <c r="F245" s="26"/>
      <c r="G245" s="26"/>
      <c r="H245" s="81">
        <v>11.99</v>
      </c>
      <c r="I245" s="74"/>
      <c r="J245" s="29">
        <f>+D245*H245</f>
        <v>1378.85</v>
      </c>
      <c r="K245" s="26"/>
      <c r="L245" s="29">
        <f>+J245</f>
        <v>1378.85</v>
      </c>
      <c r="M245" s="26"/>
      <c r="N245" s="76">
        <f>+D245</f>
        <v>114.99999999999999</v>
      </c>
      <c r="O245" s="31"/>
      <c r="P245" s="76"/>
      <c r="Q245" s="26"/>
      <c r="R245" s="82">
        <f>+H245*(1+$W$5)</f>
        <v>13.293909552679008</v>
      </c>
      <c r="S245" s="143"/>
      <c r="T245" s="83">
        <f>+N245*R245</f>
        <v>1528.7995985580858</v>
      </c>
      <c r="U245" s="143"/>
      <c r="V245" s="143"/>
      <c r="W245" s="56"/>
      <c r="X245" s="1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11"/>
      <c r="AJ245" s="144"/>
      <c r="AK245" s="145"/>
      <c r="AL245" s="113"/>
      <c r="AM245" s="48"/>
      <c r="AN245" s="48"/>
      <c r="AO245" s="19"/>
      <c r="AP245" s="48"/>
      <c r="AQ245" s="48"/>
      <c r="AR245" s="48"/>
      <c r="AS245" s="48"/>
      <c r="AT245" s="48"/>
      <c r="AU245" s="19"/>
      <c r="AV245" s="19"/>
    </row>
    <row r="246" spans="1:48">
      <c r="A246" s="78" t="s">
        <v>19</v>
      </c>
      <c r="B246" s="26"/>
      <c r="C246" s="74"/>
      <c r="D246" s="26"/>
      <c r="E246" s="74"/>
      <c r="F246" s="26">
        <v>209.00000000000003</v>
      </c>
      <c r="G246" s="26"/>
      <c r="H246" s="84">
        <v>6.79</v>
      </c>
      <c r="I246" s="74"/>
      <c r="J246" s="76">
        <f>+F246*H246</f>
        <v>1419.1100000000001</v>
      </c>
      <c r="K246" s="26"/>
      <c r="L246" s="29">
        <f t="shared" ref="L246:L250" si="108">+J246</f>
        <v>1419.1100000000001</v>
      </c>
      <c r="M246" s="26"/>
      <c r="N246" s="76"/>
      <c r="O246" s="31"/>
      <c r="P246" s="76">
        <f>+F246</f>
        <v>209.00000000000003</v>
      </c>
      <c r="Q246" s="26"/>
      <c r="R246" s="82">
        <f t="shared" ref="R246:R250" si="109">+H246*(1+$W$5)</f>
        <v>7.5284108309166351</v>
      </c>
      <c r="S246" s="143"/>
      <c r="T246" s="83">
        <f>+P246*R246</f>
        <v>1573.437863661577</v>
      </c>
      <c r="U246" s="143"/>
      <c r="V246" s="143"/>
      <c r="W246" s="56"/>
      <c r="X246" s="1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11"/>
      <c r="AJ246" s="144"/>
      <c r="AK246" s="145"/>
      <c r="AL246" s="113"/>
      <c r="AM246" s="48"/>
      <c r="AN246" s="48"/>
      <c r="AO246" s="19"/>
      <c r="AP246" s="48"/>
      <c r="AQ246" s="48"/>
      <c r="AR246" s="48"/>
      <c r="AS246" s="48"/>
      <c r="AT246" s="48"/>
      <c r="AU246" s="19"/>
      <c r="AV246" s="19"/>
    </row>
    <row r="247" spans="1:48">
      <c r="A247" s="78" t="s">
        <v>20</v>
      </c>
      <c r="B247" s="26"/>
      <c r="C247" s="74"/>
      <c r="D247" s="26"/>
      <c r="E247" s="74"/>
      <c r="F247" s="26">
        <v>0</v>
      </c>
      <c r="G247" s="26"/>
      <c r="H247" s="84">
        <v>6.23</v>
      </c>
      <c r="I247" s="74"/>
      <c r="J247" s="76">
        <f t="shared" ref="J247:J250" si="110">+F247*H247</f>
        <v>0</v>
      </c>
      <c r="K247" s="26"/>
      <c r="L247" s="29">
        <f t="shared" si="108"/>
        <v>0</v>
      </c>
      <c r="M247" s="26"/>
      <c r="N247" s="76"/>
      <c r="O247" s="31"/>
      <c r="P247" s="76">
        <f t="shared" ref="P247:P250" si="111">+F247</f>
        <v>0</v>
      </c>
      <c r="Q247" s="26"/>
      <c r="R247" s="82">
        <f t="shared" si="109"/>
        <v>6.9075109685729963</v>
      </c>
      <c r="S247" s="143"/>
      <c r="T247" s="83">
        <f t="shared" ref="T247:T250" si="112">+P247*R247</f>
        <v>0</v>
      </c>
      <c r="U247" s="143"/>
      <c r="V247" s="143"/>
      <c r="W247" s="56"/>
      <c r="X247" s="1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111"/>
      <c r="AJ247" s="144"/>
      <c r="AK247" s="145"/>
      <c r="AL247" s="113"/>
      <c r="AM247" s="48"/>
      <c r="AN247" s="48"/>
      <c r="AO247" s="19"/>
      <c r="AP247" s="48"/>
      <c r="AQ247" s="48"/>
      <c r="AR247" s="48"/>
      <c r="AS247" s="48"/>
      <c r="AT247" s="48"/>
      <c r="AU247" s="19"/>
      <c r="AV247" s="19"/>
    </row>
    <row r="248" spans="1:48">
      <c r="A248" s="78" t="s">
        <v>21</v>
      </c>
      <c r="B248" s="26"/>
      <c r="C248" s="74"/>
      <c r="D248" s="26"/>
      <c r="E248" s="74"/>
      <c r="F248" s="26">
        <v>0</v>
      </c>
      <c r="G248" s="26"/>
      <c r="H248" s="84">
        <v>5.68</v>
      </c>
      <c r="I248" s="74"/>
      <c r="J248" s="76">
        <f t="shared" si="110"/>
        <v>0</v>
      </c>
      <c r="K248" s="26"/>
      <c r="L248" s="29">
        <f t="shared" si="108"/>
        <v>0</v>
      </c>
      <c r="M248" s="26"/>
      <c r="N248" s="76"/>
      <c r="O248" s="31"/>
      <c r="P248" s="76">
        <f t="shared" si="111"/>
        <v>0</v>
      </c>
      <c r="Q248" s="26"/>
      <c r="R248" s="82">
        <f t="shared" si="109"/>
        <v>6.2976986037712059</v>
      </c>
      <c r="S248" s="143"/>
      <c r="T248" s="83">
        <f t="shared" si="112"/>
        <v>0</v>
      </c>
      <c r="U248" s="143"/>
      <c r="V248" s="143"/>
      <c r="W248" s="56"/>
      <c r="X248" s="1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111"/>
      <c r="AJ248" s="144"/>
      <c r="AK248" s="145"/>
      <c r="AL248" s="113"/>
      <c r="AM248" s="48"/>
      <c r="AN248" s="48"/>
      <c r="AO248" s="19"/>
      <c r="AP248" s="48"/>
      <c r="AQ248" s="48"/>
      <c r="AR248" s="48"/>
      <c r="AS248" s="48"/>
      <c r="AT248" s="48"/>
      <c r="AU248" s="19"/>
      <c r="AV248" s="19"/>
    </row>
    <row r="249" spans="1:48">
      <c r="A249" s="78" t="s">
        <v>22</v>
      </c>
      <c r="B249" s="26"/>
      <c r="C249" s="74"/>
      <c r="D249" s="26"/>
      <c r="E249" s="74"/>
      <c r="F249" s="26">
        <v>0</v>
      </c>
      <c r="G249" s="26"/>
      <c r="H249" s="84">
        <v>5.04</v>
      </c>
      <c r="I249" s="74"/>
      <c r="J249" s="76">
        <f t="shared" si="110"/>
        <v>0</v>
      </c>
      <c r="K249" s="26"/>
      <c r="L249" s="29">
        <f t="shared" si="108"/>
        <v>0</v>
      </c>
      <c r="M249" s="26"/>
      <c r="N249" s="76"/>
      <c r="O249" s="31"/>
      <c r="P249" s="76">
        <f t="shared" si="111"/>
        <v>0</v>
      </c>
      <c r="Q249" s="26"/>
      <c r="R249" s="82">
        <f t="shared" si="109"/>
        <v>5.5880987610927599</v>
      </c>
      <c r="S249" s="143"/>
      <c r="T249" s="83">
        <f t="shared" si="112"/>
        <v>0</v>
      </c>
      <c r="U249" s="143"/>
      <c r="V249" s="143"/>
      <c r="W249" s="56"/>
      <c r="X249" s="1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111"/>
      <c r="AJ249" s="144"/>
      <c r="AK249" s="145"/>
      <c r="AL249" s="113"/>
      <c r="AM249" s="48"/>
      <c r="AN249" s="48"/>
      <c r="AO249" s="19"/>
      <c r="AP249" s="48"/>
      <c r="AQ249" s="48"/>
      <c r="AR249" s="48"/>
      <c r="AS249" s="48"/>
      <c r="AT249" s="48"/>
      <c r="AU249" s="19"/>
      <c r="AV249" s="19"/>
    </row>
    <row r="250" spans="1:48">
      <c r="A250" s="78" t="s">
        <v>23</v>
      </c>
      <c r="B250" s="26"/>
      <c r="C250" s="74"/>
      <c r="D250" s="26"/>
      <c r="E250" s="74"/>
      <c r="F250" s="26">
        <v>0</v>
      </c>
      <c r="G250" s="26"/>
      <c r="H250" s="84">
        <v>4.4000000000000004</v>
      </c>
      <c r="I250" s="74"/>
      <c r="J250" s="76">
        <f t="shared" si="110"/>
        <v>0</v>
      </c>
      <c r="K250" s="26"/>
      <c r="L250" s="29">
        <f t="shared" si="108"/>
        <v>0</v>
      </c>
      <c r="M250" s="26"/>
      <c r="N250" s="76"/>
      <c r="O250" s="31"/>
      <c r="P250" s="76">
        <f t="shared" si="111"/>
        <v>0</v>
      </c>
      <c r="Q250" s="26"/>
      <c r="R250" s="82">
        <f t="shared" si="109"/>
        <v>4.8784989184143148</v>
      </c>
      <c r="S250" s="143"/>
      <c r="T250" s="83">
        <f t="shared" si="112"/>
        <v>0</v>
      </c>
      <c r="U250" s="143"/>
      <c r="V250" s="143"/>
      <c r="W250" s="56"/>
      <c r="X250" s="1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111"/>
      <c r="AJ250" s="144"/>
      <c r="AK250" s="145"/>
      <c r="AL250" s="113"/>
      <c r="AM250" s="48"/>
      <c r="AN250" s="48"/>
      <c r="AO250" s="19"/>
      <c r="AP250" s="48"/>
      <c r="AQ250" s="48"/>
      <c r="AR250" s="48"/>
      <c r="AS250" s="48"/>
      <c r="AT250" s="48"/>
      <c r="AU250" s="19"/>
      <c r="AV250" s="19"/>
    </row>
    <row r="251" spans="1:48" s="97" customFormat="1" ht="12.75" thickBot="1">
      <c r="A251" s="151" t="s">
        <v>119</v>
      </c>
      <c r="B251" s="89">
        <f>SUM(B244:B250)</f>
        <v>321</v>
      </c>
      <c r="C251" s="90"/>
      <c r="D251" s="89">
        <f>SUM(D244:D250)</f>
        <v>114.99999999999999</v>
      </c>
      <c r="E251" s="90"/>
      <c r="F251" s="89">
        <f>SUM(F244:F250)</f>
        <v>209.00000000000003</v>
      </c>
      <c r="G251" s="62"/>
      <c r="H251" s="64"/>
      <c r="I251" s="63"/>
      <c r="J251" s="91">
        <f>SUM(J244:J250)</f>
        <v>2797.96</v>
      </c>
      <c r="K251" s="62"/>
      <c r="L251" s="91">
        <f>SUM(L244:L250)</f>
        <v>2797.96</v>
      </c>
      <c r="M251" s="62"/>
      <c r="N251" s="89">
        <f>SUM(N244:N250)</f>
        <v>114.99999999999999</v>
      </c>
      <c r="O251" s="67"/>
      <c r="P251" s="89">
        <f>SUM(P244:P250)</f>
        <v>209.00000000000003</v>
      </c>
      <c r="Q251" s="62"/>
      <c r="R251" s="32"/>
      <c r="S251" s="90"/>
      <c r="T251" s="91">
        <f>SUM(T244:T250)</f>
        <v>3102.237462219663</v>
      </c>
      <c r="U251" s="90"/>
      <c r="V251" s="148"/>
      <c r="W251" s="87"/>
      <c r="X251" s="17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27"/>
      <c r="AJ251" s="149"/>
      <c r="AK251" s="150"/>
      <c r="AL251" s="130"/>
      <c r="AM251" s="96"/>
      <c r="AN251" s="96"/>
      <c r="AO251" s="129"/>
      <c r="AP251" s="96"/>
      <c r="AQ251" s="96"/>
      <c r="AR251" s="96"/>
      <c r="AS251" s="96"/>
      <c r="AT251" s="96"/>
      <c r="AU251" s="129"/>
      <c r="AV251" s="129"/>
    </row>
    <row r="252" spans="1:48" s="97" customFormat="1" ht="12.75" thickTop="1">
      <c r="A252" s="151"/>
      <c r="B252" s="79"/>
      <c r="C252" s="80"/>
      <c r="D252" s="79"/>
      <c r="E252" s="74"/>
      <c r="F252" s="26"/>
      <c r="G252" s="26"/>
      <c r="H252" s="28"/>
      <c r="I252" s="75"/>
      <c r="J252" s="29"/>
      <c r="K252" s="26"/>
      <c r="L252" s="29"/>
      <c r="M252" s="26"/>
      <c r="N252" s="76"/>
      <c r="O252" s="31"/>
      <c r="P252" s="76"/>
      <c r="Q252" s="26"/>
      <c r="R252" s="32"/>
      <c r="S252" s="75"/>
      <c r="T252" s="33"/>
      <c r="U252" s="75"/>
      <c r="V252" s="148"/>
      <c r="W252" s="87"/>
      <c r="X252" s="17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27"/>
      <c r="AJ252" s="149"/>
      <c r="AK252" s="150"/>
      <c r="AL252" s="130"/>
      <c r="AM252" s="96"/>
      <c r="AN252" s="96"/>
      <c r="AO252" s="129"/>
      <c r="AP252" s="96"/>
      <c r="AQ252" s="96"/>
      <c r="AR252" s="96"/>
      <c r="AS252" s="96"/>
      <c r="AT252" s="96"/>
      <c r="AU252" s="129"/>
      <c r="AV252" s="129"/>
    </row>
    <row r="253" spans="1:48" ht="12.75" thickBot="1">
      <c r="A253" s="152" t="s">
        <v>120</v>
      </c>
      <c r="B253" s="79"/>
      <c r="C253" s="80"/>
      <c r="D253" s="79"/>
      <c r="E253" s="74"/>
      <c r="F253" s="26"/>
      <c r="G253" s="26"/>
      <c r="H253" s="28"/>
      <c r="I253" s="75"/>
      <c r="J253" s="29"/>
      <c r="K253" s="26"/>
      <c r="L253" s="99">
        <f>+L251/$D251</f>
        <v>24.330086956521743</v>
      </c>
      <c r="M253" s="26"/>
      <c r="N253" s="76"/>
      <c r="O253" s="31"/>
      <c r="P253" s="76"/>
      <c r="Q253" s="26"/>
      <c r="R253" s="32"/>
      <c r="S253" s="75"/>
      <c r="T253" s="99">
        <f>+T251/$D251</f>
        <v>26.9759779323449</v>
      </c>
      <c r="U253" s="75">
        <f>+T253-L253</f>
        <v>2.645890975823157</v>
      </c>
      <c r="V253" s="143"/>
      <c r="W253" s="56"/>
      <c r="X253" s="1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111"/>
      <c r="AJ253" s="144"/>
      <c r="AK253" s="145"/>
      <c r="AL253" s="113"/>
      <c r="AM253" s="48"/>
      <c r="AN253" s="48"/>
      <c r="AO253" s="19"/>
      <c r="AP253" s="48"/>
      <c r="AQ253" s="48"/>
      <c r="AR253" s="48"/>
      <c r="AS253" s="48"/>
      <c r="AT253" s="48"/>
      <c r="AU253" s="19"/>
      <c r="AV253" s="19"/>
    </row>
    <row r="254" spans="1:48" ht="12.75" thickTop="1">
      <c r="A254" s="73" t="s">
        <v>121</v>
      </c>
      <c r="B254" s="139">
        <v>19446</v>
      </c>
      <c r="C254" s="74"/>
      <c r="D254" s="26"/>
      <c r="E254" s="74"/>
      <c r="I254" s="74"/>
      <c r="K254" s="26"/>
      <c r="L254" s="29"/>
      <c r="M254" s="26"/>
      <c r="N254" s="76"/>
      <c r="O254" s="31"/>
      <c r="P254" s="76"/>
      <c r="Q254" s="26"/>
      <c r="R254" s="32"/>
      <c r="S254" s="143"/>
      <c r="T254" s="83"/>
      <c r="U254" s="143"/>
      <c r="V254" s="143"/>
      <c r="W254" s="56"/>
      <c r="X254" s="1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111"/>
      <c r="AJ254" s="144"/>
      <c r="AK254" s="145"/>
      <c r="AL254" s="113"/>
      <c r="AM254" s="48"/>
      <c r="AN254" s="48"/>
      <c r="AO254" s="19"/>
      <c r="AP254" s="48"/>
      <c r="AQ254" s="48"/>
      <c r="AR254" s="48"/>
      <c r="AS254" s="48"/>
      <c r="AT254" s="48"/>
      <c r="AU254" s="19"/>
      <c r="AV254" s="19"/>
    </row>
    <row r="255" spans="1:48">
      <c r="A255" s="78" t="s">
        <v>18</v>
      </c>
      <c r="C255" s="74"/>
      <c r="D255" s="139">
        <v>5797.0000000000045</v>
      </c>
      <c r="E255" s="74"/>
      <c r="H255" s="81">
        <v>11.99</v>
      </c>
      <c r="I255" s="74"/>
      <c r="J255" s="29">
        <f>+D255*H255</f>
        <v>69506.030000000057</v>
      </c>
      <c r="K255" s="26"/>
      <c r="L255" s="29">
        <f>+J255</f>
        <v>69506.030000000057</v>
      </c>
      <c r="M255" s="26"/>
      <c r="N255" s="76">
        <f>+D255</f>
        <v>5797.0000000000045</v>
      </c>
      <c r="O255" s="31"/>
      <c r="P255" s="76"/>
      <c r="Q255" s="26"/>
      <c r="R255" s="82">
        <f>+H255*(1+$W$5)</f>
        <v>13.293909552679008</v>
      </c>
      <c r="S255" s="143"/>
      <c r="T255" s="83">
        <f>+N255*R255</f>
        <v>77064.793676880261</v>
      </c>
      <c r="U255" s="143"/>
      <c r="V255" s="143"/>
      <c r="W255" s="56"/>
      <c r="X255" s="1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111"/>
      <c r="AJ255" s="144"/>
      <c r="AK255" s="145"/>
      <c r="AL255" s="113"/>
      <c r="AM255" s="48"/>
      <c r="AN255" s="48"/>
      <c r="AO255" s="19"/>
      <c r="AP255" s="48"/>
      <c r="AQ255" s="48"/>
      <c r="AR255" s="48"/>
      <c r="AS255" s="48"/>
      <c r="AT255" s="48"/>
      <c r="AU255" s="19"/>
      <c r="AV255" s="19"/>
    </row>
    <row r="256" spans="1:48">
      <c r="A256" s="78" t="s">
        <v>19</v>
      </c>
      <c r="C256" s="74"/>
      <c r="E256" s="74"/>
      <c r="F256" s="139">
        <v>12932.000000000004</v>
      </c>
      <c r="H256" s="84">
        <v>6.79</v>
      </c>
      <c r="I256" s="74"/>
      <c r="J256" s="76">
        <f>+F256*H256</f>
        <v>87808.280000000028</v>
      </c>
      <c r="K256" s="26"/>
      <c r="L256" s="29">
        <f t="shared" ref="L256:L260" si="113">+J256</f>
        <v>87808.280000000028</v>
      </c>
      <c r="M256" s="26"/>
      <c r="N256" s="76"/>
      <c r="O256" s="31"/>
      <c r="P256" s="76">
        <f>+F256</f>
        <v>12932.000000000004</v>
      </c>
      <c r="Q256" s="26"/>
      <c r="R256" s="82">
        <f t="shared" ref="R256:R260" si="114">+H256*(1+$W$5)</f>
        <v>7.5284108309166351</v>
      </c>
      <c r="S256" s="143"/>
      <c r="T256" s="83">
        <f>+P256*R256</f>
        <v>97357.408865413949</v>
      </c>
      <c r="U256" s="143"/>
      <c r="V256" s="143"/>
      <c r="W256" s="56"/>
      <c r="X256" s="1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111"/>
      <c r="AJ256" s="144"/>
      <c r="AK256" s="145"/>
      <c r="AL256" s="113"/>
      <c r="AM256" s="48"/>
      <c r="AN256" s="48"/>
      <c r="AO256" s="19"/>
      <c r="AP256" s="48"/>
      <c r="AQ256" s="48"/>
      <c r="AR256" s="48"/>
      <c r="AS256" s="48"/>
      <c r="AT256" s="48"/>
      <c r="AU256" s="19"/>
      <c r="AV256" s="19"/>
    </row>
    <row r="257" spans="1:48">
      <c r="A257" s="78" t="s">
        <v>20</v>
      </c>
      <c r="C257" s="74"/>
      <c r="E257" s="74"/>
      <c r="F257" s="139">
        <v>773.99999999999977</v>
      </c>
      <c r="H257" s="84">
        <v>6.23</v>
      </c>
      <c r="I257" s="74"/>
      <c r="J257" s="76">
        <f t="shared" ref="J257:J260" si="115">+F257*H257</f>
        <v>4822.0199999999986</v>
      </c>
      <c r="K257" s="26"/>
      <c r="L257" s="29">
        <f t="shared" si="113"/>
        <v>4822.0199999999986</v>
      </c>
      <c r="M257" s="26"/>
      <c r="N257" s="76"/>
      <c r="O257" s="31"/>
      <c r="P257" s="76">
        <f t="shared" ref="P257:P260" si="116">+F257</f>
        <v>773.99999999999977</v>
      </c>
      <c r="Q257" s="26"/>
      <c r="R257" s="82">
        <f t="shared" si="114"/>
        <v>6.9075109685729963</v>
      </c>
      <c r="S257" s="143"/>
      <c r="T257" s="83">
        <f t="shared" ref="T257:T260" si="117">+P257*R257</f>
        <v>5346.4134896754977</v>
      </c>
      <c r="U257" s="143"/>
      <c r="V257" s="143"/>
      <c r="W257" s="56"/>
      <c r="X257" s="1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111"/>
      <c r="AJ257" s="144"/>
      <c r="AK257" s="145"/>
      <c r="AL257" s="113"/>
      <c r="AM257" s="48"/>
      <c r="AN257" s="48"/>
      <c r="AO257" s="19"/>
      <c r="AP257" s="48"/>
      <c r="AQ257" s="48"/>
      <c r="AR257" s="48"/>
      <c r="AS257" s="48"/>
      <c r="AT257" s="48"/>
      <c r="AU257" s="19"/>
      <c r="AV257" s="19"/>
    </row>
    <row r="258" spans="1:48">
      <c r="A258" s="78" t="s">
        <v>21</v>
      </c>
      <c r="C258" s="74"/>
      <c r="E258" s="74"/>
      <c r="F258" s="139">
        <v>250</v>
      </c>
      <c r="H258" s="84">
        <v>5.68</v>
      </c>
      <c r="I258" s="74"/>
      <c r="J258" s="76">
        <f t="shared" si="115"/>
        <v>1420</v>
      </c>
      <c r="K258" s="26"/>
      <c r="L258" s="29">
        <f t="shared" si="113"/>
        <v>1420</v>
      </c>
      <c r="M258" s="26"/>
      <c r="N258" s="76"/>
      <c r="O258" s="31"/>
      <c r="P258" s="76">
        <f t="shared" si="116"/>
        <v>250</v>
      </c>
      <c r="Q258" s="26"/>
      <c r="R258" s="82">
        <f t="shared" si="114"/>
        <v>6.2976986037712059</v>
      </c>
      <c r="S258" s="143"/>
      <c r="T258" s="83">
        <f t="shared" si="117"/>
        <v>1574.4246509428015</v>
      </c>
      <c r="U258" s="143"/>
      <c r="V258" s="143"/>
      <c r="W258" s="56"/>
      <c r="X258" s="1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111"/>
      <c r="AJ258" s="144"/>
      <c r="AK258" s="145"/>
      <c r="AL258" s="113"/>
      <c r="AM258" s="48"/>
      <c r="AN258" s="48"/>
      <c r="AO258" s="19"/>
      <c r="AP258" s="48"/>
      <c r="AQ258" s="48"/>
      <c r="AR258" s="48"/>
      <c r="AS258" s="48"/>
      <c r="AT258" s="48"/>
      <c r="AU258" s="19"/>
      <c r="AV258" s="19"/>
    </row>
    <row r="259" spans="1:48">
      <c r="A259" s="78" t="s">
        <v>22</v>
      </c>
      <c r="C259" s="74"/>
      <c r="E259" s="74"/>
      <c r="F259" s="139">
        <v>177</v>
      </c>
      <c r="H259" s="84">
        <v>5.04</v>
      </c>
      <c r="I259" s="74"/>
      <c r="J259" s="76">
        <f t="shared" si="115"/>
        <v>892.08</v>
      </c>
      <c r="K259" s="26"/>
      <c r="L259" s="29">
        <f t="shared" si="113"/>
        <v>892.08</v>
      </c>
      <c r="M259" s="26"/>
      <c r="N259" s="76"/>
      <c r="O259" s="31"/>
      <c r="P259" s="76">
        <f t="shared" si="116"/>
        <v>177</v>
      </c>
      <c r="Q259" s="26"/>
      <c r="R259" s="82">
        <f t="shared" si="114"/>
        <v>5.5880987610927599</v>
      </c>
      <c r="S259" s="143"/>
      <c r="T259" s="83">
        <f t="shared" si="117"/>
        <v>989.09348071341856</v>
      </c>
      <c r="U259" s="143"/>
      <c r="V259" s="143"/>
      <c r="W259" s="56"/>
      <c r="X259" s="1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111"/>
      <c r="AJ259" s="144"/>
      <c r="AK259" s="145"/>
      <c r="AL259" s="113"/>
      <c r="AM259" s="48"/>
      <c r="AN259" s="48"/>
      <c r="AO259" s="19"/>
      <c r="AP259" s="48"/>
      <c r="AQ259" s="48"/>
      <c r="AR259" s="48"/>
      <c r="AS259" s="48"/>
      <c r="AT259" s="48"/>
      <c r="AU259" s="19"/>
      <c r="AV259" s="19"/>
    </row>
    <row r="260" spans="1:48">
      <c r="A260" s="78" t="s">
        <v>23</v>
      </c>
      <c r="C260" s="74"/>
      <c r="E260" s="74"/>
      <c r="F260" s="139">
        <v>41</v>
      </c>
      <c r="H260" s="84">
        <v>4.4000000000000004</v>
      </c>
      <c r="I260" s="74"/>
      <c r="J260" s="76">
        <f t="shared" si="115"/>
        <v>180.4</v>
      </c>
      <c r="K260" s="26"/>
      <c r="L260" s="29">
        <f t="shared" si="113"/>
        <v>180.4</v>
      </c>
      <c r="M260" s="26"/>
      <c r="N260" s="76"/>
      <c r="O260" s="31"/>
      <c r="P260" s="76">
        <f t="shared" si="116"/>
        <v>41</v>
      </c>
      <c r="Q260" s="26"/>
      <c r="R260" s="82">
        <f t="shared" si="114"/>
        <v>4.8784989184143148</v>
      </c>
      <c r="S260" s="143"/>
      <c r="T260" s="83">
        <f t="shared" si="117"/>
        <v>200.01845565498689</v>
      </c>
      <c r="U260" s="143"/>
      <c r="V260" s="143"/>
      <c r="W260" s="56"/>
      <c r="X260" s="1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111"/>
      <c r="AJ260" s="144"/>
      <c r="AK260" s="145"/>
      <c r="AL260" s="113"/>
      <c r="AM260" s="48"/>
      <c r="AN260" s="48"/>
      <c r="AO260" s="19"/>
      <c r="AP260" s="48"/>
      <c r="AQ260" s="48"/>
      <c r="AR260" s="48"/>
      <c r="AS260" s="48"/>
      <c r="AT260" s="48"/>
      <c r="AU260" s="19"/>
      <c r="AV260" s="19"/>
    </row>
    <row r="261" spans="1:48" s="97" customFormat="1" ht="12.75" thickBot="1">
      <c r="A261" s="151" t="s">
        <v>122</v>
      </c>
      <c r="B261" s="89">
        <f>SUM(B254:B260)</f>
        <v>19446</v>
      </c>
      <c r="C261" s="90"/>
      <c r="D261" s="89">
        <f>SUM(D254:D260)</f>
        <v>5797.0000000000045</v>
      </c>
      <c r="E261" s="90"/>
      <c r="F261" s="89">
        <f>SUM(F254:F260)</f>
        <v>14174.000000000004</v>
      </c>
      <c r="G261" s="62"/>
      <c r="H261" s="64"/>
      <c r="I261" s="63"/>
      <c r="J261" s="91">
        <f>SUM(J254:J260)</f>
        <v>164628.81000000006</v>
      </c>
      <c r="K261" s="62"/>
      <c r="L261" s="91">
        <f>SUM(L254:L260)</f>
        <v>164628.81000000006</v>
      </c>
      <c r="M261" s="62"/>
      <c r="N261" s="89">
        <f>SUM(N254:N260)</f>
        <v>5797.0000000000045</v>
      </c>
      <c r="O261" s="67"/>
      <c r="P261" s="89">
        <f>SUM(P254:P260)</f>
        <v>14174.000000000004</v>
      </c>
      <c r="Q261" s="62"/>
      <c r="R261" s="32"/>
      <c r="S261" s="90"/>
      <c r="T261" s="91">
        <f>SUM(T254:T260)</f>
        <v>182532.15261928094</v>
      </c>
      <c r="U261" s="90"/>
      <c r="V261" s="148"/>
      <c r="W261" s="87"/>
      <c r="X261" s="17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27"/>
      <c r="AJ261" s="149"/>
      <c r="AK261" s="150"/>
      <c r="AL261" s="130"/>
      <c r="AM261" s="96"/>
      <c r="AN261" s="96"/>
      <c r="AO261" s="129"/>
      <c r="AP261" s="96"/>
      <c r="AQ261" s="96"/>
      <c r="AR261" s="96"/>
      <c r="AS261" s="96"/>
      <c r="AT261" s="96"/>
      <c r="AU261" s="129"/>
      <c r="AV261" s="129"/>
    </row>
    <row r="262" spans="1:48" s="97" customFormat="1" ht="12.75" thickTop="1">
      <c r="A262" s="151"/>
      <c r="B262" s="79"/>
      <c r="C262" s="80"/>
      <c r="D262" s="79"/>
      <c r="E262" s="74"/>
      <c r="F262" s="26"/>
      <c r="G262" s="26"/>
      <c r="H262" s="28"/>
      <c r="I262" s="75"/>
      <c r="J262" s="29"/>
      <c r="K262" s="26"/>
      <c r="L262" s="29"/>
      <c r="M262" s="26"/>
      <c r="N262" s="76"/>
      <c r="O262" s="31"/>
      <c r="P262" s="76"/>
      <c r="Q262" s="26"/>
      <c r="R262" s="32"/>
      <c r="S262" s="75"/>
      <c r="T262" s="33"/>
      <c r="U262" s="75"/>
      <c r="V262" s="148"/>
      <c r="W262" s="87"/>
      <c r="X262" s="17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27"/>
      <c r="AJ262" s="149"/>
      <c r="AK262" s="150"/>
      <c r="AL262" s="130"/>
      <c r="AM262" s="96"/>
      <c r="AN262" s="96"/>
      <c r="AO262" s="129"/>
      <c r="AP262" s="96"/>
      <c r="AQ262" s="96"/>
      <c r="AR262" s="96"/>
      <c r="AS262" s="96"/>
      <c r="AT262" s="96"/>
      <c r="AU262" s="129"/>
      <c r="AV262" s="129"/>
    </row>
    <row r="263" spans="1:48" ht="12.75" thickBot="1">
      <c r="A263" s="152" t="s">
        <v>123</v>
      </c>
      <c r="B263" s="79"/>
      <c r="C263" s="80"/>
      <c r="D263" s="79"/>
      <c r="E263" s="74"/>
      <c r="F263" s="26"/>
      <c r="G263" s="26"/>
      <c r="H263" s="28"/>
      <c r="I263" s="75"/>
      <c r="J263" s="29"/>
      <c r="K263" s="26"/>
      <c r="L263" s="99">
        <f>+L261/$D261</f>
        <v>28.39896670691736</v>
      </c>
      <c r="M263" s="26"/>
      <c r="N263" s="76"/>
      <c r="O263" s="31"/>
      <c r="P263" s="76"/>
      <c r="Q263" s="26"/>
      <c r="R263" s="32"/>
      <c r="S263" s="75"/>
      <c r="T263" s="99">
        <f>+T261/$D261</f>
        <v>31.487347355404658</v>
      </c>
      <c r="U263" s="75">
        <f>+T263-L263</f>
        <v>3.0883806484872984</v>
      </c>
      <c r="V263" s="143"/>
      <c r="W263" s="56"/>
      <c r="X263" s="1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111"/>
      <c r="AJ263" s="144"/>
      <c r="AK263" s="145"/>
      <c r="AL263" s="113"/>
      <c r="AM263" s="48"/>
      <c r="AN263" s="48"/>
      <c r="AO263" s="19"/>
      <c r="AP263" s="48"/>
      <c r="AQ263" s="48"/>
      <c r="AR263" s="48"/>
      <c r="AS263" s="48"/>
      <c r="AT263" s="48"/>
      <c r="AU263" s="19"/>
      <c r="AV263" s="19"/>
    </row>
    <row r="264" spans="1:48" ht="12.75" thickTop="1">
      <c r="A264" s="73" t="s">
        <v>36</v>
      </c>
      <c r="B264" s="139">
        <v>4944</v>
      </c>
      <c r="C264" s="74"/>
      <c r="D264" s="26"/>
      <c r="E264" s="74"/>
      <c r="I264" s="74"/>
      <c r="K264" s="26"/>
      <c r="L264" s="29"/>
      <c r="M264" s="26"/>
      <c r="N264" s="76"/>
      <c r="O264" s="31"/>
      <c r="P264" s="76"/>
      <c r="Q264" s="26"/>
      <c r="R264" s="32"/>
      <c r="S264" s="143"/>
      <c r="T264" s="83"/>
      <c r="U264" s="143"/>
      <c r="V264" s="143"/>
      <c r="W264" s="56"/>
      <c r="X264" s="1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111"/>
      <c r="AJ264" s="144"/>
      <c r="AK264" s="145"/>
      <c r="AL264" s="113"/>
      <c r="AM264" s="48"/>
      <c r="AN264" s="48"/>
      <c r="AO264" s="19"/>
      <c r="AP264" s="48"/>
      <c r="AQ264" s="48"/>
      <c r="AR264" s="48"/>
      <c r="AS264" s="48"/>
      <c r="AT264" s="48"/>
      <c r="AU264" s="19"/>
      <c r="AV264" s="19"/>
    </row>
    <row r="265" spans="1:48">
      <c r="A265" s="78" t="s">
        <v>18</v>
      </c>
      <c r="C265" s="74"/>
      <c r="D265" s="26">
        <v>1243.9999999999995</v>
      </c>
      <c r="E265" s="74"/>
      <c r="H265" s="146">
        <v>11.99</v>
      </c>
      <c r="I265" s="74"/>
      <c r="J265" s="29">
        <f>+D265*H265</f>
        <v>14915.559999999994</v>
      </c>
      <c r="K265" s="26"/>
      <c r="L265" s="29">
        <f>+J265</f>
        <v>14915.559999999994</v>
      </c>
      <c r="M265" s="26"/>
      <c r="N265" s="76">
        <f>+D265</f>
        <v>1243.9999999999995</v>
      </c>
      <c r="O265" s="31"/>
      <c r="P265" s="76"/>
      <c r="Q265" s="26"/>
      <c r="R265" s="82">
        <f>+H265*(1+$W$5)</f>
        <v>13.293909552679008</v>
      </c>
      <c r="S265" s="143"/>
      <c r="T265" s="83">
        <f>+N265*R265</f>
        <v>16537.62348353268</v>
      </c>
      <c r="U265" s="143"/>
      <c r="V265" s="143"/>
      <c r="W265" s="56"/>
      <c r="X265" s="1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111"/>
      <c r="AJ265" s="144"/>
      <c r="AK265" s="145"/>
      <c r="AL265" s="113"/>
      <c r="AM265" s="48"/>
      <c r="AN265" s="48"/>
      <c r="AO265" s="19"/>
      <c r="AP265" s="48"/>
      <c r="AQ265" s="48"/>
      <c r="AR265" s="48"/>
      <c r="AS265" s="48"/>
      <c r="AT265" s="48"/>
      <c r="AU265" s="19"/>
      <c r="AV265" s="19"/>
    </row>
    <row r="266" spans="1:48">
      <c r="A266" s="78" t="s">
        <v>19</v>
      </c>
      <c r="C266" s="74"/>
      <c r="D266" s="26"/>
      <c r="E266" s="74"/>
      <c r="F266" s="139">
        <v>2624</v>
      </c>
      <c r="H266" s="154">
        <v>6.79</v>
      </c>
      <c r="I266" s="85"/>
      <c r="J266" s="76">
        <f>+F266*H266</f>
        <v>17816.96</v>
      </c>
      <c r="K266" s="26"/>
      <c r="L266" s="29">
        <f t="shared" ref="L266:L270" si="118">+J266</f>
        <v>17816.96</v>
      </c>
      <c r="M266" s="26"/>
      <c r="N266" s="76"/>
      <c r="O266" s="31"/>
      <c r="P266" s="76">
        <f>+F266</f>
        <v>2624</v>
      </c>
      <c r="Q266" s="26"/>
      <c r="R266" s="82">
        <f t="shared" ref="R266:R270" si="119">+H266*(1+$W$5)</f>
        <v>7.5284108309166351</v>
      </c>
      <c r="S266" s="143"/>
      <c r="T266" s="83">
        <f>+P266*R266</f>
        <v>19754.550020325252</v>
      </c>
      <c r="U266" s="143"/>
      <c r="V266" s="143"/>
      <c r="W266" s="56"/>
      <c r="X266" s="1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111"/>
      <c r="AJ266" s="144"/>
      <c r="AK266" s="145"/>
      <c r="AL266" s="113"/>
      <c r="AM266" s="48"/>
      <c r="AN266" s="48"/>
      <c r="AO266" s="19"/>
      <c r="AP266" s="48"/>
      <c r="AQ266" s="48"/>
      <c r="AR266" s="48"/>
      <c r="AS266" s="48"/>
      <c r="AT266" s="48"/>
      <c r="AU266" s="19"/>
      <c r="AV266" s="19"/>
    </row>
    <row r="267" spans="1:48">
      <c r="A267" s="78" t="s">
        <v>20</v>
      </c>
      <c r="C267" s="74"/>
      <c r="D267" s="26"/>
      <c r="E267" s="74"/>
      <c r="F267" s="139">
        <v>426.00000000000006</v>
      </c>
      <c r="H267" s="154">
        <v>6.23</v>
      </c>
      <c r="I267" s="85"/>
      <c r="J267" s="76">
        <f t="shared" ref="J267:J270" si="120">+F267*H267</f>
        <v>2653.9800000000005</v>
      </c>
      <c r="K267" s="26"/>
      <c r="L267" s="29">
        <f t="shared" si="118"/>
        <v>2653.9800000000005</v>
      </c>
      <c r="M267" s="26"/>
      <c r="N267" s="76"/>
      <c r="O267" s="31"/>
      <c r="P267" s="76">
        <f t="shared" ref="P267:P270" si="121">+F267</f>
        <v>426.00000000000006</v>
      </c>
      <c r="Q267" s="26"/>
      <c r="R267" s="82">
        <f t="shared" si="119"/>
        <v>6.9075109685729963</v>
      </c>
      <c r="S267" s="143"/>
      <c r="T267" s="83">
        <f t="shared" ref="T267:T270" si="122">+P267*R267</f>
        <v>2942.599672612097</v>
      </c>
      <c r="U267" s="143"/>
      <c r="V267" s="143"/>
      <c r="W267" s="47"/>
      <c r="X267" s="1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111"/>
      <c r="AJ267" s="144"/>
      <c r="AK267" s="145"/>
      <c r="AL267" s="113"/>
      <c r="AM267" s="48"/>
      <c r="AN267" s="48"/>
      <c r="AO267" s="19"/>
      <c r="AP267" s="48"/>
      <c r="AQ267" s="48"/>
      <c r="AR267" s="48"/>
      <c r="AS267" s="48"/>
      <c r="AT267" s="48"/>
      <c r="AU267" s="19"/>
      <c r="AV267" s="19"/>
    </row>
    <row r="268" spans="1:48">
      <c r="A268" s="78" t="s">
        <v>21</v>
      </c>
      <c r="C268" s="74"/>
      <c r="D268" s="26"/>
      <c r="E268" s="74"/>
      <c r="F268" s="139">
        <v>129.99999999999997</v>
      </c>
      <c r="H268" s="154">
        <v>5.68</v>
      </c>
      <c r="I268" s="85"/>
      <c r="J268" s="76">
        <f t="shared" si="120"/>
        <v>738.39999999999975</v>
      </c>
      <c r="K268" s="26"/>
      <c r="L268" s="29">
        <f t="shared" si="118"/>
        <v>738.39999999999975</v>
      </c>
      <c r="M268" s="26"/>
      <c r="N268" s="76"/>
      <c r="O268" s="31"/>
      <c r="P268" s="76">
        <f t="shared" si="121"/>
        <v>129.99999999999997</v>
      </c>
      <c r="Q268" s="26"/>
      <c r="R268" s="82">
        <f t="shared" si="119"/>
        <v>6.2976986037712059</v>
      </c>
      <c r="S268" s="143"/>
      <c r="T268" s="83">
        <f t="shared" si="122"/>
        <v>818.70081849025655</v>
      </c>
      <c r="U268" s="143"/>
      <c r="V268" s="143"/>
      <c r="W268" s="47"/>
      <c r="X268" s="1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111"/>
      <c r="AJ268" s="144"/>
      <c r="AK268" s="145"/>
      <c r="AL268" s="113"/>
      <c r="AM268" s="48"/>
      <c r="AN268" s="48"/>
      <c r="AO268" s="19"/>
      <c r="AP268" s="48"/>
      <c r="AQ268" s="48"/>
      <c r="AR268" s="48"/>
      <c r="AS268" s="48"/>
      <c r="AT268" s="48"/>
      <c r="AU268" s="19"/>
      <c r="AV268" s="19"/>
    </row>
    <row r="269" spans="1:48">
      <c r="A269" s="78" t="s">
        <v>22</v>
      </c>
      <c r="C269" s="74"/>
      <c r="D269" s="26"/>
      <c r="E269" s="74"/>
      <c r="F269" s="139">
        <v>0</v>
      </c>
      <c r="H269" s="154">
        <v>5.04</v>
      </c>
      <c r="I269" s="85"/>
      <c r="J269" s="76">
        <f t="shared" si="120"/>
        <v>0</v>
      </c>
      <c r="K269" s="26"/>
      <c r="L269" s="29">
        <f t="shared" si="118"/>
        <v>0</v>
      </c>
      <c r="M269" s="26"/>
      <c r="N269" s="76"/>
      <c r="O269" s="31"/>
      <c r="P269" s="76">
        <f t="shared" si="121"/>
        <v>0</v>
      </c>
      <c r="Q269" s="26"/>
      <c r="R269" s="82">
        <f t="shared" si="119"/>
        <v>5.5880987610927599</v>
      </c>
      <c r="S269" s="143"/>
      <c r="T269" s="83">
        <f t="shared" si="122"/>
        <v>0</v>
      </c>
      <c r="U269" s="143"/>
      <c r="V269" s="143"/>
      <c r="W269" s="47"/>
      <c r="X269" s="1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111"/>
      <c r="AJ269" s="144"/>
      <c r="AK269" s="145"/>
      <c r="AL269" s="113"/>
      <c r="AM269" s="48"/>
      <c r="AN269" s="48"/>
      <c r="AO269" s="19"/>
      <c r="AP269" s="48"/>
      <c r="AQ269" s="48"/>
      <c r="AR269" s="48"/>
      <c r="AS269" s="48"/>
      <c r="AT269" s="48"/>
      <c r="AU269" s="19"/>
      <c r="AV269" s="19"/>
    </row>
    <row r="270" spans="1:48">
      <c r="A270" s="78" t="s">
        <v>23</v>
      </c>
      <c r="C270" s="74"/>
      <c r="D270" s="26"/>
      <c r="E270" s="74"/>
      <c r="F270" s="139">
        <v>0</v>
      </c>
      <c r="H270" s="154">
        <v>4.4000000000000004</v>
      </c>
      <c r="I270" s="85"/>
      <c r="J270" s="76">
        <f t="shared" si="120"/>
        <v>0</v>
      </c>
      <c r="K270" s="26"/>
      <c r="L270" s="29">
        <f t="shared" si="118"/>
        <v>0</v>
      </c>
      <c r="M270" s="26"/>
      <c r="N270" s="76"/>
      <c r="O270" s="31"/>
      <c r="P270" s="76">
        <f t="shared" si="121"/>
        <v>0</v>
      </c>
      <c r="Q270" s="26"/>
      <c r="R270" s="82">
        <f t="shared" si="119"/>
        <v>4.8784989184143148</v>
      </c>
      <c r="S270" s="143"/>
      <c r="T270" s="83">
        <f t="shared" si="122"/>
        <v>0</v>
      </c>
      <c r="U270" s="143"/>
      <c r="V270" s="143"/>
      <c r="W270" s="47"/>
      <c r="X270" s="1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111"/>
      <c r="AJ270" s="144"/>
      <c r="AK270" s="145"/>
      <c r="AL270" s="113"/>
      <c r="AM270" s="48"/>
      <c r="AN270" s="48"/>
      <c r="AO270" s="19"/>
      <c r="AP270" s="48"/>
      <c r="AQ270" s="48"/>
      <c r="AR270" s="48"/>
      <c r="AS270" s="48"/>
      <c r="AT270" s="48"/>
      <c r="AU270" s="19"/>
      <c r="AV270" s="19"/>
    </row>
    <row r="271" spans="1:48" s="97" customFormat="1" ht="12.75" thickBot="1">
      <c r="A271" s="151" t="s">
        <v>37</v>
      </c>
      <c r="B271" s="89">
        <f>SUM(B264:B270)</f>
        <v>4944</v>
      </c>
      <c r="C271" s="90"/>
      <c r="D271" s="89">
        <f>SUM(D264:D270)</f>
        <v>1243.9999999999995</v>
      </c>
      <c r="E271" s="90"/>
      <c r="F271" s="89">
        <f>SUM(F264:F270)</f>
        <v>3180</v>
      </c>
      <c r="G271" s="62"/>
      <c r="H271" s="64"/>
      <c r="I271" s="63"/>
      <c r="J271" s="91">
        <f>SUM(J264:J270)</f>
        <v>36124.899999999994</v>
      </c>
      <c r="K271" s="62"/>
      <c r="L271" s="91">
        <f>SUM(L264:L270)</f>
        <v>36124.899999999994</v>
      </c>
      <c r="M271" s="62"/>
      <c r="N271" s="89">
        <f>SUM(N264:N270)</f>
        <v>1243.9999999999995</v>
      </c>
      <c r="O271" s="67"/>
      <c r="P271" s="89">
        <f>SUM(P264:P270)</f>
        <v>3180</v>
      </c>
      <c r="Q271" s="62"/>
      <c r="R271" s="32"/>
      <c r="S271" s="90"/>
      <c r="T271" s="91">
        <f>SUM(T264:T270)</f>
        <v>40053.473994960288</v>
      </c>
      <c r="U271" s="90"/>
      <c r="V271" s="148"/>
      <c r="W271" s="155"/>
      <c r="X271" s="17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27"/>
      <c r="AJ271" s="149"/>
      <c r="AK271" s="150"/>
      <c r="AL271" s="130"/>
      <c r="AM271" s="96"/>
      <c r="AN271" s="96"/>
      <c r="AO271" s="129"/>
      <c r="AP271" s="96"/>
      <c r="AQ271" s="96"/>
      <c r="AR271" s="96"/>
      <c r="AS271" s="96"/>
      <c r="AT271" s="96"/>
      <c r="AU271" s="129"/>
      <c r="AV271" s="129"/>
    </row>
    <row r="272" spans="1:48" s="97" customFormat="1" ht="12.75" thickTop="1">
      <c r="A272" s="151"/>
      <c r="B272" s="79"/>
      <c r="C272" s="80"/>
      <c r="D272" s="79"/>
      <c r="E272" s="74"/>
      <c r="F272" s="26"/>
      <c r="G272" s="26"/>
      <c r="H272" s="28"/>
      <c r="I272" s="75"/>
      <c r="J272" s="29"/>
      <c r="K272" s="26"/>
      <c r="L272" s="29"/>
      <c r="M272" s="26"/>
      <c r="N272" s="76"/>
      <c r="O272" s="31"/>
      <c r="P272" s="76"/>
      <c r="Q272" s="26"/>
      <c r="R272" s="32"/>
      <c r="S272" s="75"/>
      <c r="T272" s="33"/>
      <c r="U272" s="75"/>
      <c r="V272" s="148"/>
      <c r="W272" s="155"/>
      <c r="X272" s="17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27"/>
      <c r="AJ272" s="149"/>
      <c r="AK272" s="150"/>
      <c r="AL272" s="130"/>
      <c r="AM272" s="96"/>
      <c r="AN272" s="96"/>
      <c r="AO272" s="129"/>
      <c r="AP272" s="96"/>
      <c r="AQ272" s="96"/>
      <c r="AR272" s="96"/>
      <c r="AS272" s="96"/>
      <c r="AT272" s="96"/>
      <c r="AU272" s="129"/>
      <c r="AV272" s="129"/>
    </row>
    <row r="273" spans="1:48" ht="12.75" thickBot="1">
      <c r="A273" s="152" t="s">
        <v>38</v>
      </c>
      <c r="B273" s="79"/>
      <c r="C273" s="80"/>
      <c r="D273" s="79"/>
      <c r="E273" s="74"/>
      <c r="F273" s="26"/>
      <c r="G273" s="26"/>
      <c r="H273" s="28"/>
      <c r="I273" s="75"/>
      <c r="J273" s="29"/>
      <c r="K273" s="26"/>
      <c r="L273" s="99">
        <f>+L271/$D271</f>
        <v>29.039308681672033</v>
      </c>
      <c r="M273" s="26"/>
      <c r="N273" s="76"/>
      <c r="O273" s="31"/>
      <c r="P273" s="76"/>
      <c r="Q273" s="26"/>
      <c r="R273" s="32"/>
      <c r="S273" s="75"/>
      <c r="T273" s="99">
        <f>+T271/$D271</f>
        <v>32.197326362508285</v>
      </c>
      <c r="U273" s="75">
        <f>+T273-L273</f>
        <v>3.1580176808362523</v>
      </c>
      <c r="V273" s="143"/>
      <c r="W273" s="47"/>
      <c r="X273" s="1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111"/>
      <c r="AJ273" s="144"/>
      <c r="AK273" s="145"/>
      <c r="AL273" s="113"/>
      <c r="AM273" s="48"/>
      <c r="AN273" s="48"/>
      <c r="AO273" s="19"/>
      <c r="AP273" s="48"/>
      <c r="AQ273" s="48"/>
      <c r="AR273" s="48"/>
      <c r="AS273" s="48"/>
      <c r="AT273" s="48"/>
      <c r="AU273" s="19"/>
      <c r="AV273" s="19"/>
    </row>
    <row r="274" spans="1:48" ht="12.75" thickTop="1">
      <c r="A274" s="73" t="s">
        <v>124</v>
      </c>
      <c r="B274" s="139">
        <v>198</v>
      </c>
      <c r="C274" s="74"/>
      <c r="D274" s="26"/>
      <c r="E274" s="74"/>
      <c r="I274" s="74"/>
      <c r="K274" s="26"/>
      <c r="L274" s="29"/>
      <c r="M274" s="26"/>
      <c r="N274" s="76"/>
      <c r="O274" s="31"/>
      <c r="P274" s="76"/>
      <c r="Q274" s="26"/>
      <c r="R274" s="32"/>
      <c r="S274" s="143"/>
      <c r="T274" s="83"/>
      <c r="U274" s="143"/>
      <c r="V274" s="143"/>
      <c r="W274" s="47" t="s">
        <v>125</v>
      </c>
      <c r="X274" s="1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111"/>
      <c r="AJ274" s="112"/>
      <c r="AK274" s="19"/>
      <c r="AL274" s="113"/>
      <c r="AM274" s="48"/>
      <c r="AN274" s="48"/>
      <c r="AO274" s="19"/>
      <c r="AP274" s="48"/>
      <c r="AQ274" s="48"/>
      <c r="AR274" s="48"/>
      <c r="AS274" s="48"/>
      <c r="AT274" s="48"/>
      <c r="AU274" s="19"/>
      <c r="AV274" s="19"/>
    </row>
    <row r="275" spans="1:48">
      <c r="A275" s="78" t="s">
        <v>18</v>
      </c>
      <c r="C275" s="74"/>
      <c r="D275" s="26">
        <v>97.000000000000014</v>
      </c>
      <c r="E275" s="74"/>
      <c r="H275" s="146">
        <v>11.99</v>
      </c>
      <c r="I275" s="74"/>
      <c r="J275" s="29">
        <f>+D275*H275</f>
        <v>1163.0300000000002</v>
      </c>
      <c r="K275" s="26"/>
      <c r="L275" s="29">
        <f>+J275</f>
        <v>1163.0300000000002</v>
      </c>
      <c r="M275" s="26"/>
      <c r="N275" s="76">
        <f>+D275</f>
        <v>97.000000000000014</v>
      </c>
      <c r="O275" s="31"/>
      <c r="P275" s="76"/>
      <c r="Q275" s="26"/>
      <c r="R275" s="82">
        <f>+H275*(1+$W$5)</f>
        <v>13.293909552679008</v>
      </c>
      <c r="S275" s="143"/>
      <c r="T275" s="83">
        <f>+N275*R275</f>
        <v>1289.5092266098638</v>
      </c>
      <c r="U275" s="143"/>
      <c r="V275" s="143"/>
      <c r="W275" s="47"/>
      <c r="X275" s="1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111"/>
      <c r="AJ275" s="112"/>
      <c r="AK275" s="19"/>
      <c r="AL275" s="113"/>
      <c r="AM275" s="48"/>
      <c r="AN275" s="48"/>
      <c r="AO275" s="19"/>
      <c r="AP275" s="48"/>
      <c r="AQ275" s="48"/>
      <c r="AR275" s="48"/>
      <c r="AS275" s="48"/>
      <c r="AT275" s="48"/>
      <c r="AU275" s="19"/>
      <c r="AV275" s="19"/>
    </row>
    <row r="276" spans="1:48">
      <c r="A276" s="78" t="s">
        <v>19</v>
      </c>
      <c r="C276" s="74"/>
      <c r="D276" s="26"/>
      <c r="E276" s="74"/>
      <c r="F276" s="139">
        <v>130</v>
      </c>
      <c r="H276" s="154">
        <v>6.79</v>
      </c>
      <c r="I276" s="74"/>
      <c r="J276" s="76">
        <f>+F276*H276</f>
        <v>882.7</v>
      </c>
      <c r="K276" s="26"/>
      <c r="L276" s="29">
        <f t="shared" ref="L276:L280" si="123">+J276</f>
        <v>882.7</v>
      </c>
      <c r="M276" s="26"/>
      <c r="N276" s="76"/>
      <c r="O276" s="31"/>
      <c r="P276" s="76">
        <f>+F276</f>
        <v>130</v>
      </c>
      <c r="Q276" s="26"/>
      <c r="R276" s="82">
        <f t="shared" ref="R276:R280" si="124">+H276*(1+$W$5)</f>
        <v>7.5284108309166351</v>
      </c>
      <c r="S276" s="143"/>
      <c r="T276" s="83">
        <f>+P276*R276</f>
        <v>978.69340801916258</v>
      </c>
      <c r="U276" s="143"/>
      <c r="V276" s="143"/>
      <c r="W276" s="47"/>
      <c r="X276" s="1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111"/>
      <c r="AJ276" s="112"/>
      <c r="AK276" s="19"/>
      <c r="AL276" s="113"/>
      <c r="AM276" s="48"/>
      <c r="AN276" s="48"/>
      <c r="AO276" s="19"/>
      <c r="AP276" s="48"/>
      <c r="AQ276" s="48"/>
      <c r="AR276" s="48"/>
      <c r="AS276" s="48"/>
      <c r="AT276" s="48"/>
      <c r="AU276" s="19"/>
      <c r="AV276" s="19"/>
    </row>
    <row r="277" spans="1:48">
      <c r="A277" s="78" t="s">
        <v>20</v>
      </c>
      <c r="C277" s="74"/>
      <c r="D277" s="26"/>
      <c r="E277" s="74"/>
      <c r="F277" s="139">
        <v>13</v>
      </c>
      <c r="H277" s="154">
        <v>6.23</v>
      </c>
      <c r="I277" s="74"/>
      <c r="J277" s="76">
        <f t="shared" ref="J277:J280" si="125">+F277*H277</f>
        <v>80.990000000000009</v>
      </c>
      <c r="K277" s="26"/>
      <c r="L277" s="29">
        <f t="shared" si="123"/>
        <v>80.990000000000009</v>
      </c>
      <c r="M277" s="26"/>
      <c r="N277" s="76"/>
      <c r="O277" s="31"/>
      <c r="P277" s="76">
        <f t="shared" ref="P277:P280" si="126">+F277</f>
        <v>13</v>
      </c>
      <c r="Q277" s="26"/>
      <c r="R277" s="82">
        <f t="shared" si="124"/>
        <v>6.9075109685729963</v>
      </c>
      <c r="S277" s="143"/>
      <c r="T277" s="83">
        <f t="shared" ref="T277:T280" si="127">+P277*R277</f>
        <v>89.797642591448948</v>
      </c>
      <c r="U277" s="143"/>
      <c r="V277" s="143"/>
      <c r="W277" s="47"/>
      <c r="X277" s="1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111"/>
      <c r="AJ277" s="112"/>
      <c r="AK277" s="19"/>
      <c r="AL277" s="113"/>
      <c r="AM277" s="48"/>
      <c r="AN277" s="48"/>
      <c r="AO277" s="19"/>
      <c r="AP277" s="48"/>
      <c r="AQ277" s="48"/>
      <c r="AR277" s="48"/>
      <c r="AS277" s="48"/>
      <c r="AT277" s="48"/>
      <c r="AU277" s="19"/>
      <c r="AV277" s="19"/>
    </row>
    <row r="278" spans="1:48">
      <c r="A278" s="78" t="s">
        <v>21</v>
      </c>
      <c r="C278" s="74"/>
      <c r="D278" s="26"/>
      <c r="E278" s="74"/>
      <c r="F278" s="139">
        <v>0</v>
      </c>
      <c r="H278" s="154">
        <v>5.68</v>
      </c>
      <c r="I278" s="74"/>
      <c r="J278" s="76">
        <f t="shared" si="125"/>
        <v>0</v>
      </c>
      <c r="K278" s="26"/>
      <c r="L278" s="29">
        <f t="shared" si="123"/>
        <v>0</v>
      </c>
      <c r="M278" s="26"/>
      <c r="N278" s="76"/>
      <c r="O278" s="31"/>
      <c r="P278" s="76">
        <f t="shared" si="126"/>
        <v>0</v>
      </c>
      <c r="Q278" s="26"/>
      <c r="R278" s="82">
        <f t="shared" si="124"/>
        <v>6.2976986037712059</v>
      </c>
      <c r="S278" s="143"/>
      <c r="T278" s="83">
        <f t="shared" si="127"/>
        <v>0</v>
      </c>
      <c r="U278" s="143"/>
      <c r="V278" s="143"/>
      <c r="W278" s="47"/>
      <c r="X278" s="1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111"/>
      <c r="AJ278" s="112"/>
      <c r="AK278" s="19"/>
      <c r="AL278" s="113"/>
      <c r="AM278" s="48"/>
      <c r="AN278" s="48"/>
      <c r="AO278" s="19"/>
      <c r="AP278" s="48"/>
      <c r="AQ278" s="48"/>
      <c r="AR278" s="48"/>
      <c r="AS278" s="48"/>
      <c r="AT278" s="48"/>
      <c r="AU278" s="19"/>
      <c r="AV278" s="19"/>
    </row>
    <row r="279" spans="1:48">
      <c r="A279" s="78" t="s">
        <v>22</v>
      </c>
      <c r="C279" s="74"/>
      <c r="D279" s="26"/>
      <c r="E279" s="74"/>
      <c r="F279" s="139">
        <v>0</v>
      </c>
      <c r="H279" s="154">
        <v>5.04</v>
      </c>
      <c r="I279" s="74"/>
      <c r="J279" s="76">
        <f t="shared" si="125"/>
        <v>0</v>
      </c>
      <c r="K279" s="26"/>
      <c r="L279" s="29">
        <f t="shared" si="123"/>
        <v>0</v>
      </c>
      <c r="M279" s="26"/>
      <c r="N279" s="76"/>
      <c r="O279" s="31"/>
      <c r="P279" s="76">
        <f t="shared" si="126"/>
        <v>0</v>
      </c>
      <c r="Q279" s="26"/>
      <c r="R279" s="82">
        <f t="shared" si="124"/>
        <v>5.5880987610927599</v>
      </c>
      <c r="S279" s="143"/>
      <c r="T279" s="83">
        <f t="shared" si="127"/>
        <v>0</v>
      </c>
      <c r="U279" s="143"/>
      <c r="V279" s="143"/>
      <c r="W279" s="47"/>
      <c r="X279" s="1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111"/>
      <c r="AJ279" s="112"/>
      <c r="AK279" s="19"/>
      <c r="AL279" s="113"/>
      <c r="AM279" s="48"/>
      <c r="AN279" s="48"/>
      <c r="AO279" s="19"/>
      <c r="AP279" s="48"/>
      <c r="AQ279" s="48"/>
      <c r="AR279" s="48"/>
      <c r="AS279" s="48"/>
      <c r="AT279" s="48"/>
      <c r="AU279" s="19"/>
      <c r="AV279" s="19"/>
    </row>
    <row r="280" spans="1:48">
      <c r="A280" s="78" t="s">
        <v>23</v>
      </c>
      <c r="C280" s="74"/>
      <c r="D280" s="26"/>
      <c r="E280" s="74"/>
      <c r="F280" s="139">
        <v>0</v>
      </c>
      <c r="H280" s="154">
        <v>4.4000000000000004</v>
      </c>
      <c r="I280" s="74"/>
      <c r="J280" s="76">
        <f t="shared" si="125"/>
        <v>0</v>
      </c>
      <c r="K280" s="26"/>
      <c r="L280" s="29">
        <f t="shared" si="123"/>
        <v>0</v>
      </c>
      <c r="M280" s="26"/>
      <c r="N280" s="76"/>
      <c r="O280" s="31"/>
      <c r="P280" s="76">
        <f t="shared" si="126"/>
        <v>0</v>
      </c>
      <c r="Q280" s="26"/>
      <c r="R280" s="82">
        <f t="shared" si="124"/>
        <v>4.8784989184143148</v>
      </c>
      <c r="S280" s="143"/>
      <c r="T280" s="83">
        <f t="shared" si="127"/>
        <v>0</v>
      </c>
      <c r="U280" s="143"/>
      <c r="V280" s="143"/>
      <c r="W280" s="47"/>
      <c r="X280" s="1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111"/>
      <c r="AJ280" s="112"/>
      <c r="AK280" s="19"/>
      <c r="AL280" s="113"/>
      <c r="AM280" s="48"/>
      <c r="AN280" s="48"/>
      <c r="AO280" s="19"/>
      <c r="AP280" s="48"/>
      <c r="AQ280" s="48"/>
      <c r="AR280" s="48"/>
      <c r="AS280" s="48"/>
      <c r="AT280" s="48"/>
      <c r="AU280" s="19"/>
      <c r="AV280" s="19"/>
    </row>
    <row r="281" spans="1:48" s="97" customFormat="1" ht="12.75" thickBot="1">
      <c r="A281" s="151" t="s">
        <v>126</v>
      </c>
      <c r="B281" s="89">
        <f>SUM(B274:B280)</f>
        <v>198</v>
      </c>
      <c r="C281" s="90"/>
      <c r="D281" s="89">
        <f>SUM(D274:D280)</f>
        <v>97.000000000000014</v>
      </c>
      <c r="E281" s="90"/>
      <c r="F281" s="89">
        <f>SUM(F274:F280)</f>
        <v>143</v>
      </c>
      <c r="G281" s="62"/>
      <c r="H281" s="64"/>
      <c r="I281" s="63"/>
      <c r="J281" s="91">
        <f>SUM(J274:J280)</f>
        <v>2126.7200000000003</v>
      </c>
      <c r="K281" s="62"/>
      <c r="L281" s="91">
        <f>SUM(L274:L280)</f>
        <v>2126.7200000000003</v>
      </c>
      <c r="M281" s="62"/>
      <c r="N281" s="89">
        <f>SUM(N274:N280)</f>
        <v>97.000000000000014</v>
      </c>
      <c r="O281" s="67"/>
      <c r="P281" s="89">
        <f>SUM(P274:P280)</f>
        <v>143</v>
      </c>
      <c r="Q281" s="62"/>
      <c r="R281" s="32"/>
      <c r="S281" s="90"/>
      <c r="T281" s="91">
        <f>SUM(T274:T280)</f>
        <v>2358.0002772204753</v>
      </c>
      <c r="U281" s="90"/>
      <c r="V281" s="131"/>
      <c r="W281" s="17"/>
      <c r="X281" s="17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27"/>
      <c r="AJ281" s="128"/>
      <c r="AK281" s="129"/>
      <c r="AL281" s="130"/>
      <c r="AM281" s="96"/>
      <c r="AN281" s="96"/>
      <c r="AO281" s="129"/>
      <c r="AP281" s="96"/>
      <c r="AQ281" s="96"/>
      <c r="AR281" s="96"/>
      <c r="AS281" s="96"/>
      <c r="AT281" s="96"/>
      <c r="AU281" s="129"/>
      <c r="AV281" s="129"/>
    </row>
    <row r="282" spans="1:48" s="97" customFormat="1" ht="12.75" thickTop="1">
      <c r="A282" s="151"/>
      <c r="B282" s="79"/>
      <c r="C282" s="80"/>
      <c r="D282" s="79"/>
      <c r="E282" s="74"/>
      <c r="F282" s="26"/>
      <c r="G282" s="26"/>
      <c r="H282" s="28"/>
      <c r="I282" s="75"/>
      <c r="J282" s="29"/>
      <c r="K282" s="26"/>
      <c r="L282" s="29"/>
      <c r="M282" s="26"/>
      <c r="N282" s="76"/>
      <c r="O282" s="31"/>
      <c r="P282" s="76"/>
      <c r="Q282" s="26"/>
      <c r="R282" s="32"/>
      <c r="S282" s="75"/>
      <c r="T282" s="33"/>
      <c r="U282" s="75"/>
      <c r="V282" s="131"/>
      <c r="W282" s="17"/>
      <c r="X282" s="17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27"/>
      <c r="AJ282" s="128"/>
      <c r="AK282" s="129"/>
      <c r="AL282" s="130"/>
      <c r="AM282" s="96"/>
      <c r="AN282" s="96"/>
      <c r="AO282" s="129"/>
      <c r="AP282" s="96"/>
      <c r="AQ282" s="96"/>
      <c r="AR282" s="96"/>
      <c r="AS282" s="96"/>
      <c r="AT282" s="96"/>
      <c r="AU282" s="129"/>
      <c r="AV282" s="129"/>
    </row>
    <row r="283" spans="1:48" ht="12.75" thickBot="1">
      <c r="A283" s="156" t="s">
        <v>127</v>
      </c>
      <c r="B283" s="79"/>
      <c r="C283" s="80"/>
      <c r="D283" s="79"/>
      <c r="E283" s="74"/>
      <c r="F283" s="26"/>
      <c r="G283" s="26"/>
      <c r="H283" s="28"/>
      <c r="I283" s="75"/>
      <c r="J283" s="29"/>
      <c r="K283" s="26"/>
      <c r="L283" s="99">
        <f>+L281/$D281</f>
        <v>21.924948453608248</v>
      </c>
      <c r="M283" s="26"/>
      <c r="N283" s="76"/>
      <c r="O283" s="31"/>
      <c r="P283" s="76"/>
      <c r="Q283" s="26"/>
      <c r="R283" s="32"/>
      <c r="S283" s="75"/>
      <c r="T283" s="99">
        <f>+T281/$D281</f>
        <v>24.309281208458504</v>
      </c>
      <c r="U283" s="75">
        <f>+T283-L283</f>
        <v>2.3843327548502558</v>
      </c>
      <c r="V283" s="18"/>
      <c r="W283" s="13"/>
      <c r="X283" s="1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111"/>
      <c r="AJ283" s="112"/>
      <c r="AK283" s="19"/>
      <c r="AL283" s="113"/>
      <c r="AM283" s="48"/>
      <c r="AN283" s="48"/>
      <c r="AO283" s="19"/>
      <c r="AP283" s="48"/>
      <c r="AQ283" s="48"/>
      <c r="AR283" s="48"/>
      <c r="AS283" s="48"/>
      <c r="AT283" s="48"/>
      <c r="AU283" s="19"/>
      <c r="AV283" s="19"/>
    </row>
    <row r="284" spans="1:48" ht="12.75" thickTop="1">
      <c r="A284" s="73" t="s">
        <v>44</v>
      </c>
      <c r="B284" s="26">
        <v>1234</v>
      </c>
      <c r="C284" s="74"/>
      <c r="D284" s="26"/>
      <c r="E284" s="74"/>
      <c r="F284" s="26"/>
      <c r="G284" s="26"/>
      <c r="H284" s="28"/>
      <c r="I284" s="74"/>
      <c r="J284" s="29"/>
      <c r="K284" s="26"/>
      <c r="L284" s="29"/>
      <c r="M284" s="26"/>
      <c r="N284" s="76"/>
      <c r="O284" s="31"/>
      <c r="P284" s="76"/>
      <c r="Q284" s="26"/>
      <c r="R284" s="32"/>
      <c r="S284" s="157"/>
      <c r="T284" s="83"/>
      <c r="U284" s="158"/>
      <c r="V284" s="158"/>
      <c r="W284" s="13"/>
      <c r="X284" s="1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159"/>
      <c r="AJ284" s="160"/>
      <c r="AK284" s="161"/>
      <c r="AL284" s="48"/>
      <c r="AM284" s="48"/>
      <c r="AN284" s="48"/>
      <c r="AO284" s="48"/>
      <c r="AP284" s="48"/>
      <c r="AQ284" s="48"/>
      <c r="AR284" s="48"/>
      <c r="AS284" s="18"/>
      <c r="AT284" s="18"/>
      <c r="AU284" s="18"/>
      <c r="AV284" s="18"/>
    </row>
    <row r="285" spans="1:48">
      <c r="A285" s="78" t="s">
        <v>128</v>
      </c>
      <c r="B285" s="26"/>
      <c r="C285" s="74"/>
      <c r="D285" s="26">
        <v>84.000000000000014</v>
      </c>
      <c r="E285" s="74"/>
      <c r="F285" s="26"/>
      <c r="G285" s="26"/>
      <c r="H285" s="81">
        <v>41.19</v>
      </c>
      <c r="I285" s="74"/>
      <c r="J285" s="29">
        <f>+D285*H285</f>
        <v>3459.9600000000005</v>
      </c>
      <c r="K285" s="26"/>
      <c r="L285" s="29">
        <f>+J285</f>
        <v>3459.9600000000005</v>
      </c>
      <c r="M285" s="26"/>
      <c r="N285" s="76">
        <f>+D285</f>
        <v>84.000000000000014</v>
      </c>
      <c r="O285" s="31"/>
      <c r="P285" s="76"/>
      <c r="Q285" s="26"/>
      <c r="R285" s="82">
        <f>+H285*(1+$W$5)</f>
        <v>45.669402374883092</v>
      </c>
      <c r="S285" s="157"/>
      <c r="T285" s="83">
        <f>+N285*R285</f>
        <v>3836.2297994901805</v>
      </c>
      <c r="U285" s="158"/>
      <c r="V285" s="158"/>
      <c r="W285" s="13"/>
      <c r="X285" s="1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159"/>
      <c r="AJ285" s="160"/>
      <c r="AK285" s="161"/>
      <c r="AL285" s="48"/>
      <c r="AM285" s="48"/>
      <c r="AN285" s="48"/>
      <c r="AO285" s="48"/>
      <c r="AP285" s="48"/>
      <c r="AQ285" s="48"/>
      <c r="AR285" s="48"/>
      <c r="AS285" s="18"/>
      <c r="AT285" s="18"/>
      <c r="AU285" s="18"/>
      <c r="AV285" s="18"/>
    </row>
    <row r="286" spans="1:48">
      <c r="A286" s="78" t="s">
        <v>129</v>
      </c>
      <c r="B286" s="26"/>
      <c r="C286" s="74"/>
      <c r="D286" s="26"/>
      <c r="E286" s="74"/>
      <c r="F286" s="26">
        <v>589</v>
      </c>
      <c r="G286" s="26"/>
      <c r="H286" s="84">
        <v>6.79</v>
      </c>
      <c r="I286" s="74"/>
      <c r="J286" s="76">
        <f>+F286*H286</f>
        <v>3999.31</v>
      </c>
      <c r="K286" s="26"/>
      <c r="L286" s="29">
        <f t="shared" ref="L286:L290" si="128">+J286</f>
        <v>3999.31</v>
      </c>
      <c r="M286" s="26"/>
      <c r="N286" s="76"/>
      <c r="O286" s="31"/>
      <c r="P286" s="76">
        <f>+F286</f>
        <v>589</v>
      </c>
      <c r="Q286" s="26"/>
      <c r="R286" s="82">
        <f t="shared" ref="R286:R290" si="129">+H286*(1+$W$5)</f>
        <v>7.5284108309166351</v>
      </c>
      <c r="S286" s="157"/>
      <c r="T286" s="83">
        <f>+P286*R286</f>
        <v>4434.233979409898</v>
      </c>
      <c r="U286" s="158"/>
      <c r="V286" s="158"/>
      <c r="W286" s="13"/>
      <c r="X286" s="1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159"/>
      <c r="AJ286" s="160"/>
      <c r="AK286" s="161"/>
      <c r="AL286" s="48"/>
      <c r="AM286" s="48"/>
      <c r="AN286" s="48"/>
      <c r="AO286" s="48"/>
      <c r="AP286" s="48"/>
      <c r="AQ286" s="48"/>
      <c r="AR286" s="48"/>
      <c r="AS286" s="18"/>
      <c r="AT286" s="18"/>
      <c r="AU286" s="18"/>
      <c r="AV286" s="18"/>
    </row>
    <row r="287" spans="1:48">
      <c r="A287" s="78" t="s">
        <v>20</v>
      </c>
      <c r="B287" s="26"/>
      <c r="C287" s="74"/>
      <c r="D287" s="26"/>
      <c r="E287" s="74"/>
      <c r="F287" s="26">
        <v>329</v>
      </c>
      <c r="G287" s="26"/>
      <c r="H287" s="84">
        <v>6.23</v>
      </c>
      <c r="I287" s="74"/>
      <c r="J287" s="76">
        <f t="shared" ref="J287:J290" si="130">+F287*H287</f>
        <v>2049.67</v>
      </c>
      <c r="K287" s="26"/>
      <c r="L287" s="29">
        <f t="shared" si="128"/>
        <v>2049.67</v>
      </c>
      <c r="M287" s="26"/>
      <c r="N287" s="76"/>
      <c r="O287" s="31"/>
      <c r="P287" s="76">
        <f t="shared" ref="P287:P290" si="131">+F287</f>
        <v>329</v>
      </c>
      <c r="Q287" s="26"/>
      <c r="R287" s="82">
        <f t="shared" si="129"/>
        <v>6.9075109685729963</v>
      </c>
      <c r="S287" s="157"/>
      <c r="T287" s="83">
        <f t="shared" ref="T287:T290" si="132">+P287*R287</f>
        <v>2272.5711086605156</v>
      </c>
      <c r="U287" s="158"/>
      <c r="V287" s="158"/>
      <c r="W287" s="13"/>
      <c r="X287" s="1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159"/>
      <c r="AJ287" s="160"/>
      <c r="AK287" s="161"/>
      <c r="AL287" s="48"/>
      <c r="AM287" s="48"/>
      <c r="AN287" s="48"/>
      <c r="AO287" s="48"/>
      <c r="AP287" s="48"/>
      <c r="AQ287" s="48"/>
      <c r="AR287" s="48"/>
      <c r="AS287" s="18"/>
      <c r="AT287" s="18"/>
      <c r="AU287" s="18"/>
      <c r="AV287" s="18"/>
    </row>
    <row r="288" spans="1:48">
      <c r="A288" s="78" t="s">
        <v>21</v>
      </c>
      <c r="B288" s="26"/>
      <c r="C288" s="74"/>
      <c r="D288" s="26"/>
      <c r="E288" s="74"/>
      <c r="F288" s="26">
        <v>104.00000000000001</v>
      </c>
      <c r="G288" s="26"/>
      <c r="H288" s="84">
        <v>5.68</v>
      </c>
      <c r="I288" s="74"/>
      <c r="J288" s="76">
        <f t="shared" si="130"/>
        <v>590.72</v>
      </c>
      <c r="K288" s="26"/>
      <c r="L288" s="29">
        <f t="shared" si="128"/>
        <v>590.72</v>
      </c>
      <c r="M288" s="26"/>
      <c r="N288" s="76"/>
      <c r="O288" s="31"/>
      <c r="P288" s="76">
        <f t="shared" si="131"/>
        <v>104.00000000000001</v>
      </c>
      <c r="Q288" s="26"/>
      <c r="R288" s="82">
        <f t="shared" si="129"/>
        <v>6.2976986037712059</v>
      </c>
      <c r="S288" s="157"/>
      <c r="T288" s="83">
        <f t="shared" si="132"/>
        <v>654.96065479220556</v>
      </c>
      <c r="U288" s="158"/>
      <c r="V288" s="158"/>
      <c r="W288" s="13"/>
      <c r="X288" s="1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159"/>
      <c r="AJ288" s="160"/>
      <c r="AK288" s="161"/>
      <c r="AL288" s="48"/>
      <c r="AM288" s="48"/>
      <c r="AN288" s="48"/>
      <c r="AO288" s="48"/>
      <c r="AP288" s="48"/>
      <c r="AQ288" s="48"/>
      <c r="AR288" s="48"/>
      <c r="AS288" s="18"/>
      <c r="AT288" s="18"/>
      <c r="AU288" s="18"/>
      <c r="AV288" s="18"/>
    </row>
    <row r="289" spans="1:48">
      <c r="A289" s="78" t="s">
        <v>22</v>
      </c>
      <c r="B289" s="26"/>
      <c r="C289" s="74"/>
      <c r="D289" s="26"/>
      <c r="E289" s="74"/>
      <c r="F289" s="26">
        <v>53</v>
      </c>
      <c r="G289" s="26"/>
      <c r="H289" s="84">
        <v>5.04</v>
      </c>
      <c r="I289" s="74"/>
      <c r="J289" s="76">
        <f t="shared" si="130"/>
        <v>267.12</v>
      </c>
      <c r="K289" s="26"/>
      <c r="L289" s="29">
        <f t="shared" si="128"/>
        <v>267.12</v>
      </c>
      <c r="M289" s="26"/>
      <c r="N289" s="76"/>
      <c r="O289" s="31"/>
      <c r="P289" s="76">
        <f t="shared" si="131"/>
        <v>53</v>
      </c>
      <c r="Q289" s="26"/>
      <c r="R289" s="82">
        <f t="shared" si="129"/>
        <v>5.5880987610927599</v>
      </c>
      <c r="S289" s="157"/>
      <c r="T289" s="83">
        <f t="shared" si="132"/>
        <v>296.16923433791629</v>
      </c>
      <c r="U289" s="158"/>
      <c r="V289" s="158"/>
      <c r="W289" s="13"/>
      <c r="X289" s="1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159"/>
      <c r="AJ289" s="160"/>
      <c r="AK289" s="161"/>
      <c r="AL289" s="48"/>
      <c r="AM289" s="48"/>
      <c r="AN289" s="48"/>
      <c r="AO289" s="48"/>
      <c r="AP289" s="48"/>
      <c r="AQ289" s="48"/>
      <c r="AR289" s="48"/>
      <c r="AS289" s="18"/>
      <c r="AT289" s="18"/>
      <c r="AU289" s="18"/>
      <c r="AV289" s="18"/>
    </row>
    <row r="290" spans="1:48">
      <c r="A290" s="78" t="s">
        <v>23</v>
      </c>
      <c r="B290" s="26"/>
      <c r="C290" s="74"/>
      <c r="D290" s="26"/>
      <c r="E290" s="74"/>
      <c r="F290" s="26">
        <v>0</v>
      </c>
      <c r="G290" s="26"/>
      <c r="H290" s="84">
        <v>4.4000000000000004</v>
      </c>
      <c r="I290" s="74"/>
      <c r="J290" s="76">
        <f t="shared" si="130"/>
        <v>0</v>
      </c>
      <c r="K290" s="26"/>
      <c r="L290" s="29">
        <f t="shared" si="128"/>
        <v>0</v>
      </c>
      <c r="M290" s="26"/>
      <c r="N290" s="76"/>
      <c r="O290" s="31"/>
      <c r="P290" s="76">
        <f t="shared" si="131"/>
        <v>0</v>
      </c>
      <c r="Q290" s="26"/>
      <c r="R290" s="82">
        <f t="shared" si="129"/>
        <v>4.8784989184143148</v>
      </c>
      <c r="S290" s="157"/>
      <c r="T290" s="83">
        <f t="shared" si="132"/>
        <v>0</v>
      </c>
      <c r="U290" s="158"/>
      <c r="V290" s="158"/>
      <c r="W290" s="13"/>
      <c r="X290" s="1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159"/>
      <c r="AJ290" s="160"/>
      <c r="AK290" s="161"/>
      <c r="AL290" s="48"/>
      <c r="AM290" s="48"/>
      <c r="AN290" s="48"/>
      <c r="AO290" s="48"/>
      <c r="AP290" s="48"/>
      <c r="AQ290" s="48"/>
      <c r="AR290" s="48"/>
      <c r="AS290" s="18"/>
      <c r="AT290" s="18"/>
      <c r="AU290" s="18"/>
      <c r="AV290" s="18"/>
    </row>
    <row r="291" spans="1:48" ht="12.75" thickBot="1">
      <c r="A291" s="151" t="s">
        <v>45</v>
      </c>
      <c r="B291" s="89">
        <f>SUM(B284:B290)</f>
        <v>1234</v>
      </c>
      <c r="C291" s="90"/>
      <c r="D291" s="89">
        <f>SUM(D284:D290)</f>
        <v>84.000000000000014</v>
      </c>
      <c r="E291" s="90"/>
      <c r="F291" s="89">
        <f>SUM(F284:F290)</f>
        <v>1075</v>
      </c>
      <c r="G291" s="62"/>
      <c r="H291" s="64"/>
      <c r="I291" s="63"/>
      <c r="J291" s="91">
        <f>SUM(J284:J290)</f>
        <v>10366.780000000001</v>
      </c>
      <c r="K291" s="62"/>
      <c r="L291" s="91">
        <f>SUM(L284:L290)</f>
        <v>10366.780000000001</v>
      </c>
      <c r="M291" s="62"/>
      <c r="N291" s="89">
        <f>SUM(N284:N290)</f>
        <v>84.000000000000014</v>
      </c>
      <c r="O291" s="67"/>
      <c r="P291" s="89">
        <f>SUM(P284:P290)</f>
        <v>1075</v>
      </c>
      <c r="Q291" s="62"/>
      <c r="R291" s="32"/>
      <c r="S291" s="90"/>
      <c r="T291" s="91">
        <f>SUM(T284:T290)</f>
        <v>11494.164776690715</v>
      </c>
      <c r="U291" s="90"/>
      <c r="V291" s="158"/>
      <c r="W291" s="13"/>
      <c r="X291" s="1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159"/>
      <c r="AJ291" s="160"/>
      <c r="AK291" s="161"/>
      <c r="AL291" s="48"/>
      <c r="AM291" s="48"/>
      <c r="AN291" s="48"/>
      <c r="AO291" s="48"/>
      <c r="AP291" s="48"/>
      <c r="AQ291" s="48"/>
      <c r="AR291" s="48"/>
      <c r="AS291" s="18"/>
      <c r="AT291" s="18"/>
      <c r="AU291" s="18"/>
      <c r="AV291" s="18"/>
    </row>
    <row r="292" spans="1:48" ht="12.75" thickTop="1">
      <c r="A292" s="151"/>
      <c r="B292" s="79"/>
      <c r="C292" s="80"/>
      <c r="D292" s="79"/>
      <c r="E292" s="74"/>
      <c r="F292" s="26"/>
      <c r="G292" s="26"/>
      <c r="H292" s="28"/>
      <c r="I292" s="75"/>
      <c r="J292" s="29"/>
      <c r="K292" s="26"/>
      <c r="L292" s="29"/>
      <c r="M292" s="26"/>
      <c r="N292" s="76"/>
      <c r="O292" s="31"/>
      <c r="P292" s="76"/>
      <c r="Q292" s="26"/>
      <c r="R292" s="32"/>
      <c r="S292" s="75"/>
      <c r="T292" s="33"/>
      <c r="U292" s="75"/>
      <c r="V292" s="158"/>
      <c r="W292" s="13"/>
      <c r="X292" s="1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159"/>
      <c r="AJ292" s="160"/>
      <c r="AK292" s="161"/>
      <c r="AL292" s="48"/>
      <c r="AM292" s="48"/>
      <c r="AN292" s="48"/>
      <c r="AO292" s="48"/>
      <c r="AP292" s="48"/>
      <c r="AQ292" s="48"/>
      <c r="AR292" s="48"/>
      <c r="AS292" s="18"/>
      <c r="AT292" s="18"/>
      <c r="AU292" s="18"/>
      <c r="AV292" s="18"/>
    </row>
    <row r="293" spans="1:48" ht="12.75" thickBot="1">
      <c r="A293" s="152" t="s">
        <v>46</v>
      </c>
      <c r="B293" s="79"/>
      <c r="C293" s="80"/>
      <c r="D293" s="79"/>
      <c r="E293" s="74"/>
      <c r="F293" s="26"/>
      <c r="G293" s="26"/>
      <c r="H293" s="28"/>
      <c r="I293" s="75"/>
      <c r="J293" s="29"/>
      <c r="K293" s="26"/>
      <c r="L293" s="99">
        <f>+L291/$D291</f>
        <v>123.41404761904761</v>
      </c>
      <c r="M293" s="26"/>
      <c r="N293" s="76"/>
      <c r="O293" s="31"/>
      <c r="P293" s="76"/>
      <c r="Q293" s="26"/>
      <c r="R293" s="32"/>
      <c r="S293" s="75"/>
      <c r="T293" s="99">
        <f>+T291/$D291</f>
        <v>136.83529496060373</v>
      </c>
      <c r="U293" s="75">
        <f>+T293-L293</f>
        <v>13.421247341556125</v>
      </c>
      <c r="V293" s="75">
        <f>U293/L293</f>
        <v>0.10874975418507141</v>
      </c>
      <c r="W293" s="13"/>
      <c r="X293" s="1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159"/>
      <c r="AJ293" s="160"/>
      <c r="AK293" s="161"/>
      <c r="AL293" s="48"/>
      <c r="AM293" s="48"/>
      <c r="AN293" s="48"/>
      <c r="AO293" s="48"/>
      <c r="AP293" s="48"/>
      <c r="AQ293" s="48"/>
      <c r="AR293" s="48"/>
      <c r="AS293" s="18"/>
      <c r="AT293" s="18"/>
      <c r="AU293" s="18"/>
      <c r="AV293" s="18"/>
    </row>
    <row r="294" spans="1:48" ht="12.75" thickTop="1">
      <c r="A294" s="73" t="s">
        <v>39</v>
      </c>
      <c r="B294" s="26">
        <v>379</v>
      </c>
      <c r="C294" s="74"/>
      <c r="D294" s="26"/>
      <c r="E294" s="74"/>
      <c r="F294" s="26"/>
      <c r="G294" s="26"/>
      <c r="H294" s="28"/>
      <c r="I294" s="74"/>
      <c r="J294" s="29"/>
      <c r="K294" s="26"/>
      <c r="L294" s="134"/>
      <c r="M294" s="26"/>
      <c r="N294" s="76"/>
      <c r="O294" s="31"/>
      <c r="P294" s="135"/>
      <c r="Q294" s="26"/>
      <c r="R294" s="32"/>
      <c r="S294" s="157"/>
      <c r="T294" s="83"/>
      <c r="U294" s="158"/>
      <c r="V294" s="158"/>
      <c r="W294" s="13"/>
      <c r="X294" s="1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159"/>
      <c r="AJ294" s="160"/>
      <c r="AK294" s="161"/>
      <c r="AL294" s="48"/>
      <c r="AM294" s="48"/>
      <c r="AN294" s="48"/>
      <c r="AO294" s="48"/>
      <c r="AP294" s="48"/>
      <c r="AQ294" s="48"/>
      <c r="AR294" s="48"/>
      <c r="AS294" s="18"/>
      <c r="AT294" s="18"/>
      <c r="AU294" s="18"/>
      <c r="AV294" s="18"/>
    </row>
    <row r="295" spans="1:48">
      <c r="A295" s="78" t="s">
        <v>128</v>
      </c>
      <c r="B295" s="26"/>
      <c r="C295" s="74"/>
      <c r="D295" s="26">
        <v>36.000000000000014</v>
      </c>
      <c r="E295" s="74"/>
      <c r="F295" s="26"/>
      <c r="G295" s="26"/>
      <c r="H295" s="81">
        <v>41.19</v>
      </c>
      <c r="I295" s="74"/>
      <c r="J295" s="29">
        <f>+D295*H295</f>
        <v>1482.8400000000006</v>
      </c>
      <c r="K295" s="26"/>
      <c r="L295" s="29">
        <f>+J295</f>
        <v>1482.8400000000006</v>
      </c>
      <c r="M295" s="26"/>
      <c r="N295" s="76">
        <f>+D295</f>
        <v>36.000000000000014</v>
      </c>
      <c r="O295" s="31"/>
      <c r="P295" s="76"/>
      <c r="Q295" s="26"/>
      <c r="R295" s="82">
        <f>+H295*(1+$W$5)</f>
        <v>45.669402374883092</v>
      </c>
      <c r="S295" s="157"/>
      <c r="T295" s="83">
        <f>+N295*R295</f>
        <v>1644.0984854957919</v>
      </c>
      <c r="U295" s="158"/>
      <c r="V295" s="158"/>
      <c r="W295" s="13"/>
      <c r="X295" s="1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159"/>
      <c r="AJ295" s="160"/>
      <c r="AK295" s="161"/>
      <c r="AL295" s="48"/>
      <c r="AM295" s="48"/>
      <c r="AN295" s="48"/>
      <c r="AO295" s="48"/>
      <c r="AP295" s="48"/>
      <c r="AQ295" s="48"/>
      <c r="AR295" s="48"/>
      <c r="AS295" s="18"/>
      <c r="AT295" s="18"/>
      <c r="AU295" s="18"/>
      <c r="AV295" s="18"/>
    </row>
    <row r="296" spans="1:48">
      <c r="A296" s="78" t="s">
        <v>129</v>
      </c>
      <c r="B296" s="26"/>
      <c r="C296" s="74"/>
      <c r="D296" s="26"/>
      <c r="E296" s="74"/>
      <c r="F296" s="26">
        <v>48.999999999999986</v>
      </c>
      <c r="G296" s="26"/>
      <c r="H296" s="84">
        <v>6.79</v>
      </c>
      <c r="I296" s="74"/>
      <c r="J296" s="76">
        <f>+F296*H296</f>
        <v>332.70999999999992</v>
      </c>
      <c r="K296" s="26"/>
      <c r="L296" s="29">
        <f t="shared" ref="L296:L300" si="133">+J296</f>
        <v>332.70999999999992</v>
      </c>
      <c r="M296" s="26"/>
      <c r="N296" s="76"/>
      <c r="O296" s="31"/>
      <c r="P296" s="76">
        <f>+F296</f>
        <v>48.999999999999986</v>
      </c>
      <c r="Q296" s="26"/>
      <c r="R296" s="82">
        <f t="shared" ref="R296:R300" si="134">+H296*(1+$W$5)</f>
        <v>7.5284108309166351</v>
      </c>
      <c r="S296" s="157"/>
      <c r="T296" s="83">
        <f>+P296*R296</f>
        <v>368.89213071491503</v>
      </c>
      <c r="U296" s="158"/>
      <c r="V296" s="158"/>
      <c r="W296" s="13"/>
      <c r="X296" s="1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159"/>
      <c r="AJ296" s="160"/>
      <c r="AK296" s="161"/>
      <c r="AL296" s="48"/>
      <c r="AM296" s="48"/>
      <c r="AN296" s="48"/>
      <c r="AO296" s="48"/>
      <c r="AP296" s="48"/>
      <c r="AQ296" s="48"/>
      <c r="AR296" s="48"/>
      <c r="AS296" s="18"/>
      <c r="AT296" s="18"/>
      <c r="AU296" s="18"/>
      <c r="AV296" s="18"/>
    </row>
    <row r="297" spans="1:48">
      <c r="A297" s="78" t="s">
        <v>20</v>
      </c>
      <c r="B297" s="26"/>
      <c r="C297" s="74"/>
      <c r="D297" s="26"/>
      <c r="E297" s="74"/>
      <c r="F297" s="26">
        <v>102</v>
      </c>
      <c r="G297" s="26"/>
      <c r="H297" s="84">
        <v>6.23</v>
      </c>
      <c r="I297" s="74"/>
      <c r="J297" s="76">
        <f t="shared" ref="J297:J300" si="135">+F297*H297</f>
        <v>635.46</v>
      </c>
      <c r="K297" s="26"/>
      <c r="L297" s="29">
        <f t="shared" si="133"/>
        <v>635.46</v>
      </c>
      <c r="M297" s="26"/>
      <c r="N297" s="76"/>
      <c r="O297" s="31"/>
      <c r="P297" s="76">
        <f t="shared" ref="P297:P300" si="136">+F297</f>
        <v>102</v>
      </c>
      <c r="Q297" s="26"/>
      <c r="R297" s="82">
        <f t="shared" si="134"/>
        <v>6.9075109685729963</v>
      </c>
      <c r="S297" s="157"/>
      <c r="T297" s="83">
        <f t="shared" ref="T297:T300" si="137">+P297*R297</f>
        <v>704.56611879444563</v>
      </c>
      <c r="U297" s="158"/>
      <c r="V297" s="158"/>
      <c r="W297" s="13"/>
      <c r="X297" s="1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159"/>
      <c r="AJ297" s="160"/>
      <c r="AK297" s="161"/>
      <c r="AL297" s="48"/>
      <c r="AM297" s="48"/>
      <c r="AN297" s="48"/>
      <c r="AO297" s="48"/>
      <c r="AP297" s="48"/>
      <c r="AQ297" s="48"/>
      <c r="AR297" s="48"/>
      <c r="AS297" s="18"/>
      <c r="AT297" s="18"/>
      <c r="AU297" s="18"/>
      <c r="AV297" s="18"/>
    </row>
    <row r="298" spans="1:48">
      <c r="A298" s="78" t="s">
        <v>21</v>
      </c>
      <c r="B298" s="26"/>
      <c r="C298" s="74"/>
      <c r="D298" s="26"/>
      <c r="E298" s="74"/>
      <c r="F298" s="26">
        <v>89</v>
      </c>
      <c r="G298" s="26"/>
      <c r="H298" s="84">
        <v>5.68</v>
      </c>
      <c r="I298" s="74"/>
      <c r="J298" s="76">
        <f t="shared" si="135"/>
        <v>505.52</v>
      </c>
      <c r="K298" s="26"/>
      <c r="L298" s="29">
        <f t="shared" si="133"/>
        <v>505.52</v>
      </c>
      <c r="M298" s="26"/>
      <c r="N298" s="76"/>
      <c r="O298" s="31"/>
      <c r="P298" s="76">
        <f t="shared" si="136"/>
        <v>89</v>
      </c>
      <c r="Q298" s="26"/>
      <c r="R298" s="82">
        <f t="shared" si="134"/>
        <v>6.2976986037712059</v>
      </c>
      <c r="S298" s="157"/>
      <c r="T298" s="83">
        <f t="shared" si="137"/>
        <v>560.4951757356373</v>
      </c>
      <c r="U298" s="158"/>
      <c r="V298" s="158"/>
      <c r="W298" s="13"/>
      <c r="X298" s="1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159"/>
      <c r="AJ298" s="160"/>
      <c r="AK298" s="161"/>
      <c r="AL298" s="48"/>
      <c r="AM298" s="48"/>
      <c r="AN298" s="48"/>
      <c r="AO298" s="48"/>
      <c r="AP298" s="48"/>
      <c r="AQ298" s="48"/>
      <c r="AR298" s="48"/>
      <c r="AS298" s="18"/>
      <c r="AT298" s="18"/>
      <c r="AU298" s="18"/>
      <c r="AV298" s="18"/>
    </row>
    <row r="299" spans="1:48">
      <c r="A299" s="78" t="s">
        <v>22</v>
      </c>
      <c r="B299" s="26"/>
      <c r="C299" s="74"/>
      <c r="D299" s="26"/>
      <c r="E299" s="74"/>
      <c r="F299" s="26">
        <v>21</v>
      </c>
      <c r="G299" s="26"/>
      <c r="H299" s="84">
        <v>5.04</v>
      </c>
      <c r="I299" s="74"/>
      <c r="J299" s="76">
        <f t="shared" si="135"/>
        <v>105.84</v>
      </c>
      <c r="K299" s="26"/>
      <c r="L299" s="29">
        <f t="shared" si="133"/>
        <v>105.84</v>
      </c>
      <c r="M299" s="26"/>
      <c r="N299" s="76"/>
      <c r="O299" s="31"/>
      <c r="P299" s="76">
        <f t="shared" si="136"/>
        <v>21</v>
      </c>
      <c r="Q299" s="26"/>
      <c r="R299" s="82">
        <f t="shared" si="134"/>
        <v>5.5880987610927599</v>
      </c>
      <c r="S299" s="157"/>
      <c r="T299" s="83">
        <f t="shared" si="137"/>
        <v>117.35007398294796</v>
      </c>
      <c r="U299" s="158"/>
      <c r="V299" s="158"/>
      <c r="W299" s="13"/>
      <c r="X299" s="1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159"/>
      <c r="AJ299" s="160"/>
      <c r="AK299" s="161"/>
      <c r="AL299" s="48"/>
      <c r="AM299" s="48"/>
      <c r="AN299" s="48"/>
      <c r="AO299" s="48"/>
      <c r="AP299" s="48"/>
      <c r="AQ299" s="48"/>
      <c r="AR299" s="48"/>
      <c r="AS299" s="18"/>
      <c r="AT299" s="18"/>
      <c r="AU299" s="18"/>
      <c r="AV299" s="18"/>
    </row>
    <row r="300" spans="1:48">
      <c r="A300" s="78" t="s">
        <v>23</v>
      </c>
      <c r="B300" s="26"/>
      <c r="C300" s="74"/>
      <c r="D300" s="26"/>
      <c r="E300" s="74"/>
      <c r="F300" s="26">
        <v>0</v>
      </c>
      <c r="G300" s="26"/>
      <c r="H300" s="84">
        <v>4.4000000000000004</v>
      </c>
      <c r="I300" s="74"/>
      <c r="J300" s="76">
        <f t="shared" si="135"/>
        <v>0</v>
      </c>
      <c r="K300" s="26"/>
      <c r="L300" s="29">
        <f t="shared" si="133"/>
        <v>0</v>
      </c>
      <c r="M300" s="26"/>
      <c r="N300" s="76"/>
      <c r="O300" s="31"/>
      <c r="P300" s="76">
        <f t="shared" si="136"/>
        <v>0</v>
      </c>
      <c r="Q300" s="26"/>
      <c r="R300" s="82">
        <f t="shared" si="134"/>
        <v>4.8784989184143148</v>
      </c>
      <c r="S300" s="157"/>
      <c r="T300" s="83">
        <f t="shared" si="137"/>
        <v>0</v>
      </c>
      <c r="U300" s="158"/>
      <c r="V300" s="158"/>
      <c r="W300" s="13"/>
      <c r="X300" s="1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159"/>
      <c r="AJ300" s="160"/>
      <c r="AK300" s="161"/>
      <c r="AL300" s="48"/>
      <c r="AM300" s="48"/>
      <c r="AN300" s="48"/>
      <c r="AO300" s="48"/>
      <c r="AP300" s="48"/>
      <c r="AQ300" s="48"/>
      <c r="AR300" s="48"/>
      <c r="AS300" s="18"/>
      <c r="AT300" s="18"/>
      <c r="AU300" s="18"/>
      <c r="AV300" s="18"/>
    </row>
    <row r="301" spans="1:48" ht="12.75" thickBot="1">
      <c r="A301" s="151" t="s">
        <v>130</v>
      </c>
      <c r="B301" s="89">
        <f>SUM(B294:B300)</f>
        <v>379</v>
      </c>
      <c r="C301" s="90"/>
      <c r="D301" s="89">
        <f>SUM(D294:D300)</f>
        <v>36.000000000000014</v>
      </c>
      <c r="E301" s="90"/>
      <c r="F301" s="89">
        <f>SUM(F294:F300)</f>
        <v>261</v>
      </c>
      <c r="G301" s="62"/>
      <c r="H301" s="64"/>
      <c r="I301" s="63"/>
      <c r="J301" s="91">
        <f>SUM(J294:J300)</f>
        <v>3062.3700000000008</v>
      </c>
      <c r="K301" s="62"/>
      <c r="L301" s="91">
        <f>SUM(L294:L300)</f>
        <v>3062.3700000000008</v>
      </c>
      <c r="M301" s="62"/>
      <c r="N301" s="89">
        <f>SUM(N294:N300)</f>
        <v>36.000000000000014</v>
      </c>
      <c r="O301" s="67"/>
      <c r="P301" s="89">
        <f>SUM(P294:P300)</f>
        <v>261</v>
      </c>
      <c r="Q301" s="62"/>
      <c r="R301" s="32"/>
      <c r="S301" s="90"/>
      <c r="T301" s="91">
        <f>SUM(T294:T300)</f>
        <v>3395.4019847237378</v>
      </c>
      <c r="U301" s="90"/>
      <c r="V301" s="158"/>
      <c r="W301" s="13"/>
      <c r="X301" s="1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159"/>
      <c r="AJ301" s="160"/>
      <c r="AK301" s="161"/>
      <c r="AL301" s="48"/>
      <c r="AM301" s="48"/>
      <c r="AN301" s="48"/>
      <c r="AO301" s="48"/>
      <c r="AP301" s="48"/>
      <c r="AQ301" s="48"/>
      <c r="AR301" s="48"/>
      <c r="AS301" s="18"/>
      <c r="AT301" s="18"/>
      <c r="AU301" s="18"/>
      <c r="AV301" s="18"/>
    </row>
    <row r="302" spans="1:48" ht="12.75" thickTop="1">
      <c r="A302" s="151"/>
      <c r="B302" s="79"/>
      <c r="C302" s="80"/>
      <c r="D302" s="79"/>
      <c r="E302" s="74"/>
      <c r="F302" s="26"/>
      <c r="G302" s="26"/>
      <c r="H302" s="28"/>
      <c r="I302" s="75"/>
      <c r="J302" s="29"/>
      <c r="K302" s="26"/>
      <c r="L302" s="29"/>
      <c r="M302" s="26"/>
      <c r="N302" s="76"/>
      <c r="O302" s="31"/>
      <c r="P302" s="76"/>
      <c r="Q302" s="26"/>
      <c r="R302" s="32"/>
      <c r="S302" s="75"/>
      <c r="T302" s="33"/>
      <c r="U302" s="75"/>
      <c r="V302" s="158"/>
      <c r="W302" s="13"/>
      <c r="X302" s="1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159"/>
      <c r="AJ302" s="160"/>
      <c r="AK302" s="161"/>
      <c r="AL302" s="48"/>
      <c r="AM302" s="48"/>
      <c r="AN302" s="48"/>
      <c r="AO302" s="48"/>
      <c r="AP302" s="48"/>
      <c r="AQ302" s="48"/>
      <c r="AR302" s="48"/>
      <c r="AS302" s="18"/>
      <c r="AT302" s="18"/>
      <c r="AU302" s="18"/>
      <c r="AV302" s="18"/>
    </row>
    <row r="303" spans="1:48" ht="12.75" thickBot="1">
      <c r="A303" s="152" t="s">
        <v>131</v>
      </c>
      <c r="B303" s="79"/>
      <c r="C303" s="80"/>
      <c r="D303" s="79"/>
      <c r="E303" s="74"/>
      <c r="F303" s="26"/>
      <c r="G303" s="26"/>
      <c r="H303" s="28"/>
      <c r="I303" s="75"/>
      <c r="J303" s="29"/>
      <c r="K303" s="26"/>
      <c r="L303" s="99">
        <f>+L301/$D301</f>
        <v>85.065833333333316</v>
      </c>
      <c r="M303" s="26"/>
      <c r="N303" s="76"/>
      <c r="O303" s="31"/>
      <c r="P303" s="76"/>
      <c r="Q303" s="26"/>
      <c r="R303" s="32"/>
      <c r="S303" s="75"/>
      <c r="T303" s="99">
        <f>+T301/$D301</f>
        <v>94.31672179788157</v>
      </c>
      <c r="U303" s="75">
        <f>+T303-L303</f>
        <v>9.2508884645482539</v>
      </c>
      <c r="V303" s="75">
        <f>U303/L303</f>
        <v>0.10874975418507143</v>
      </c>
      <c r="W303" s="13"/>
      <c r="X303" s="1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159"/>
      <c r="AJ303" s="160"/>
      <c r="AK303" s="161"/>
      <c r="AL303" s="48"/>
      <c r="AM303" s="48"/>
      <c r="AN303" s="48"/>
      <c r="AO303" s="48"/>
      <c r="AP303" s="48"/>
      <c r="AQ303" s="48"/>
      <c r="AR303" s="48"/>
      <c r="AS303" s="18"/>
      <c r="AT303" s="18"/>
      <c r="AU303" s="18"/>
      <c r="AV303" s="18"/>
    </row>
    <row r="304" spans="1:48" ht="12.75" thickTop="1">
      <c r="A304" s="73" t="s">
        <v>47</v>
      </c>
      <c r="B304" s="26">
        <v>211</v>
      </c>
      <c r="C304" s="74"/>
      <c r="D304" s="26"/>
      <c r="E304" s="74"/>
      <c r="F304" s="26"/>
      <c r="G304" s="26"/>
      <c r="I304" s="74"/>
      <c r="J304" s="29"/>
      <c r="K304" s="26"/>
      <c r="L304" s="29"/>
      <c r="M304" s="26"/>
      <c r="N304" s="76"/>
      <c r="O304" s="31"/>
      <c r="P304" s="76"/>
      <c r="Q304" s="26"/>
      <c r="R304" s="32"/>
      <c r="S304" s="157"/>
      <c r="T304" s="83"/>
      <c r="U304" s="158"/>
      <c r="V304" s="158"/>
      <c r="W304" s="13"/>
      <c r="X304" s="1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159"/>
      <c r="AJ304" s="160"/>
      <c r="AK304" s="161"/>
      <c r="AL304" s="48"/>
      <c r="AM304" s="48"/>
      <c r="AN304" s="48"/>
      <c r="AO304" s="48"/>
      <c r="AP304" s="48"/>
      <c r="AQ304" s="48"/>
      <c r="AR304" s="48"/>
      <c r="AS304" s="18"/>
      <c r="AT304" s="18"/>
      <c r="AU304" s="18"/>
      <c r="AV304" s="18"/>
    </row>
    <row r="305" spans="1:48">
      <c r="A305" s="78" t="s">
        <v>128</v>
      </c>
      <c r="B305" s="26"/>
      <c r="C305" s="74"/>
      <c r="D305" s="26">
        <v>36.000000000000007</v>
      </c>
      <c r="E305" s="74"/>
      <c r="F305" s="26"/>
      <c r="G305" s="26"/>
      <c r="H305" s="81">
        <v>41.19</v>
      </c>
      <c r="I305" s="74"/>
      <c r="J305" s="29">
        <f>+D305*H305</f>
        <v>1482.8400000000001</v>
      </c>
      <c r="K305" s="26"/>
      <c r="L305" s="29">
        <f>+J305</f>
        <v>1482.8400000000001</v>
      </c>
      <c r="M305" s="26"/>
      <c r="N305" s="76">
        <f>+D305</f>
        <v>36.000000000000007</v>
      </c>
      <c r="O305" s="31"/>
      <c r="P305" s="76"/>
      <c r="Q305" s="26"/>
      <c r="R305" s="82">
        <f>+H305*(1+$W$5)</f>
        <v>45.669402374883092</v>
      </c>
      <c r="S305" s="157"/>
      <c r="T305" s="83">
        <f>+N305*R305</f>
        <v>1644.0984854957917</v>
      </c>
      <c r="U305" s="158"/>
      <c r="V305" s="158"/>
      <c r="W305" s="13"/>
      <c r="X305" s="1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159"/>
      <c r="AJ305" s="160"/>
      <c r="AK305" s="161"/>
      <c r="AL305" s="48"/>
      <c r="AM305" s="48"/>
      <c r="AN305" s="48"/>
      <c r="AO305" s="48"/>
      <c r="AP305" s="48"/>
      <c r="AQ305" s="48"/>
      <c r="AR305" s="48"/>
      <c r="AS305" s="18"/>
      <c r="AT305" s="18"/>
      <c r="AU305" s="18"/>
      <c r="AV305" s="18"/>
    </row>
    <row r="306" spans="1:48">
      <c r="A306" s="78" t="s">
        <v>129</v>
      </c>
      <c r="B306" s="26"/>
      <c r="C306" s="74"/>
      <c r="D306" s="26"/>
      <c r="E306" s="74"/>
      <c r="F306" s="26">
        <v>58</v>
      </c>
      <c r="G306" s="26"/>
      <c r="H306" s="84">
        <v>6.79</v>
      </c>
      <c r="I306" s="74"/>
      <c r="J306" s="76">
        <f>+F306*H306</f>
        <v>393.82</v>
      </c>
      <c r="K306" s="26"/>
      <c r="L306" s="29">
        <f t="shared" ref="L306:L310" si="138">+J306</f>
        <v>393.82</v>
      </c>
      <c r="M306" s="26"/>
      <c r="N306" s="76"/>
      <c r="O306" s="31"/>
      <c r="P306" s="76">
        <f>+F306</f>
        <v>58</v>
      </c>
      <c r="Q306" s="26"/>
      <c r="R306" s="82">
        <f t="shared" ref="R306:R310" si="139">+H306*(1+$W$5)</f>
        <v>7.5284108309166351</v>
      </c>
      <c r="S306" s="157"/>
      <c r="T306" s="83">
        <f>+P306*R306</f>
        <v>436.64782819316486</v>
      </c>
      <c r="U306" s="158"/>
      <c r="V306" s="158"/>
      <c r="W306" s="13"/>
      <c r="X306" s="1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159"/>
      <c r="AJ306" s="160"/>
      <c r="AK306" s="161"/>
      <c r="AL306" s="48"/>
      <c r="AM306" s="48"/>
      <c r="AN306" s="48"/>
      <c r="AO306" s="48"/>
      <c r="AP306" s="48"/>
      <c r="AQ306" s="48"/>
      <c r="AR306" s="48"/>
      <c r="AS306" s="18"/>
      <c r="AT306" s="18"/>
      <c r="AU306" s="18"/>
      <c r="AV306" s="18"/>
    </row>
    <row r="307" spans="1:48">
      <c r="A307" s="78" t="s">
        <v>20</v>
      </c>
      <c r="B307" s="26"/>
      <c r="C307" s="74"/>
      <c r="D307" s="26"/>
      <c r="E307" s="74"/>
      <c r="F307" s="26">
        <v>41.999999999999993</v>
      </c>
      <c r="G307" s="26"/>
      <c r="H307" s="84">
        <v>6.23</v>
      </c>
      <c r="I307" s="74"/>
      <c r="J307" s="76">
        <f t="shared" ref="J307:J310" si="140">+F307*H307</f>
        <v>261.65999999999997</v>
      </c>
      <c r="K307" s="26"/>
      <c r="L307" s="29">
        <f t="shared" si="138"/>
        <v>261.65999999999997</v>
      </c>
      <c r="M307" s="26"/>
      <c r="N307" s="76"/>
      <c r="O307" s="31"/>
      <c r="P307" s="76">
        <f t="shared" ref="P307:P310" si="141">+F307</f>
        <v>41.999999999999993</v>
      </c>
      <c r="Q307" s="26"/>
      <c r="R307" s="82">
        <f t="shared" si="139"/>
        <v>6.9075109685729963</v>
      </c>
      <c r="S307" s="157"/>
      <c r="T307" s="83">
        <f t="shared" ref="T307:T310" si="142">+P307*R307</f>
        <v>290.11546068006578</v>
      </c>
      <c r="U307" s="158"/>
      <c r="V307" s="158"/>
      <c r="W307" s="13"/>
      <c r="X307" s="1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159"/>
      <c r="AJ307" s="160"/>
      <c r="AK307" s="161"/>
      <c r="AL307" s="48"/>
      <c r="AM307" s="48"/>
      <c r="AN307" s="48"/>
      <c r="AO307" s="48"/>
      <c r="AP307" s="48"/>
      <c r="AQ307" s="48"/>
      <c r="AR307" s="48"/>
      <c r="AS307" s="18"/>
      <c r="AT307" s="18"/>
      <c r="AU307" s="18"/>
      <c r="AV307" s="18"/>
    </row>
    <row r="308" spans="1:48">
      <c r="A308" s="78" t="s">
        <v>21</v>
      </c>
      <c r="B308" s="26"/>
      <c r="C308" s="74"/>
      <c r="D308" s="26"/>
      <c r="E308" s="74"/>
      <c r="F308" s="26">
        <v>0</v>
      </c>
      <c r="G308" s="26"/>
      <c r="H308" s="84">
        <v>5.68</v>
      </c>
      <c r="I308" s="74"/>
      <c r="J308" s="76">
        <f t="shared" si="140"/>
        <v>0</v>
      </c>
      <c r="K308" s="26"/>
      <c r="L308" s="29">
        <f t="shared" si="138"/>
        <v>0</v>
      </c>
      <c r="M308" s="26"/>
      <c r="N308" s="76"/>
      <c r="O308" s="31"/>
      <c r="P308" s="76">
        <f t="shared" si="141"/>
        <v>0</v>
      </c>
      <c r="Q308" s="26"/>
      <c r="R308" s="82">
        <f t="shared" si="139"/>
        <v>6.2976986037712059</v>
      </c>
      <c r="S308" s="157"/>
      <c r="T308" s="83">
        <f t="shared" si="142"/>
        <v>0</v>
      </c>
      <c r="U308" s="158"/>
      <c r="V308" s="158"/>
      <c r="W308" s="13"/>
      <c r="X308" s="1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159"/>
      <c r="AJ308" s="160"/>
      <c r="AK308" s="161"/>
      <c r="AL308" s="48"/>
      <c r="AM308" s="48"/>
      <c r="AN308" s="48"/>
      <c r="AO308" s="48"/>
      <c r="AP308" s="48"/>
      <c r="AQ308" s="48"/>
      <c r="AR308" s="48"/>
      <c r="AS308" s="18"/>
      <c r="AT308" s="18"/>
      <c r="AU308" s="18"/>
      <c r="AV308" s="18"/>
    </row>
    <row r="309" spans="1:48">
      <c r="A309" s="78" t="s">
        <v>22</v>
      </c>
      <c r="B309" s="26"/>
      <c r="C309" s="74"/>
      <c r="D309" s="26"/>
      <c r="E309" s="74"/>
      <c r="F309" s="26">
        <v>0</v>
      </c>
      <c r="G309" s="26"/>
      <c r="H309" s="84">
        <v>5.04</v>
      </c>
      <c r="I309" s="74"/>
      <c r="J309" s="76">
        <f t="shared" si="140"/>
        <v>0</v>
      </c>
      <c r="K309" s="26"/>
      <c r="L309" s="29">
        <f t="shared" si="138"/>
        <v>0</v>
      </c>
      <c r="M309" s="26"/>
      <c r="N309" s="76"/>
      <c r="O309" s="31"/>
      <c r="P309" s="76">
        <f t="shared" si="141"/>
        <v>0</v>
      </c>
      <c r="Q309" s="26"/>
      <c r="R309" s="82">
        <f t="shared" si="139"/>
        <v>5.5880987610927599</v>
      </c>
      <c r="S309" s="157"/>
      <c r="T309" s="83">
        <f t="shared" si="142"/>
        <v>0</v>
      </c>
      <c r="U309" s="158"/>
      <c r="V309" s="158"/>
      <c r="W309" s="13"/>
      <c r="X309" s="1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159"/>
      <c r="AJ309" s="160"/>
      <c r="AK309" s="161"/>
      <c r="AL309" s="48"/>
      <c r="AM309" s="48"/>
      <c r="AN309" s="48"/>
      <c r="AO309" s="48"/>
      <c r="AP309" s="48"/>
      <c r="AQ309" s="48"/>
      <c r="AR309" s="48"/>
      <c r="AS309" s="18"/>
      <c r="AT309" s="18"/>
      <c r="AU309" s="18"/>
      <c r="AV309" s="18"/>
    </row>
    <row r="310" spans="1:48">
      <c r="A310" s="78" t="s">
        <v>23</v>
      </c>
      <c r="B310" s="26"/>
      <c r="C310" s="74"/>
      <c r="D310" s="26"/>
      <c r="E310" s="74"/>
      <c r="F310" s="26">
        <v>0</v>
      </c>
      <c r="G310" s="26"/>
      <c r="H310" s="84">
        <v>4.4000000000000004</v>
      </c>
      <c r="I310" s="74"/>
      <c r="J310" s="76">
        <f t="shared" si="140"/>
        <v>0</v>
      </c>
      <c r="K310" s="26"/>
      <c r="L310" s="29">
        <f t="shared" si="138"/>
        <v>0</v>
      </c>
      <c r="M310" s="26"/>
      <c r="N310" s="76"/>
      <c r="O310" s="31"/>
      <c r="P310" s="76">
        <f t="shared" si="141"/>
        <v>0</v>
      </c>
      <c r="Q310" s="26"/>
      <c r="R310" s="82">
        <f t="shared" si="139"/>
        <v>4.8784989184143148</v>
      </c>
      <c r="S310" s="157"/>
      <c r="T310" s="83">
        <f t="shared" si="142"/>
        <v>0</v>
      </c>
      <c r="U310" s="158"/>
      <c r="V310" s="158"/>
      <c r="W310" s="13"/>
      <c r="X310" s="1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159"/>
      <c r="AJ310" s="160"/>
      <c r="AK310" s="161"/>
      <c r="AL310" s="48"/>
      <c r="AM310" s="48"/>
      <c r="AN310" s="48"/>
      <c r="AO310" s="48"/>
      <c r="AP310" s="48"/>
      <c r="AQ310" s="48"/>
      <c r="AR310" s="48"/>
      <c r="AS310" s="18"/>
      <c r="AT310" s="18"/>
      <c r="AU310" s="18"/>
      <c r="AV310" s="18"/>
    </row>
    <row r="311" spans="1:48" ht="12.75" thickBot="1">
      <c r="A311" s="151" t="s">
        <v>48</v>
      </c>
      <c r="B311" s="89">
        <f>SUM(B304:B310)</f>
        <v>211</v>
      </c>
      <c r="C311" s="90"/>
      <c r="D311" s="89">
        <f>SUM(D304:D310)</f>
        <v>36.000000000000007</v>
      </c>
      <c r="E311" s="90"/>
      <c r="F311" s="89">
        <f>SUM(F304:F310)</f>
        <v>100</v>
      </c>
      <c r="G311" s="62"/>
      <c r="H311" s="64"/>
      <c r="I311" s="63"/>
      <c r="J311" s="91">
        <f>SUM(J304:J310)</f>
        <v>2138.3200000000002</v>
      </c>
      <c r="K311" s="62"/>
      <c r="L311" s="91">
        <f>SUM(L304:L310)</f>
        <v>2138.3200000000002</v>
      </c>
      <c r="M311" s="62"/>
      <c r="N311" s="89">
        <f>SUM(N304:N310)</f>
        <v>36.000000000000007</v>
      </c>
      <c r="O311" s="67"/>
      <c r="P311" s="89">
        <f>SUM(P304:P310)</f>
        <v>100</v>
      </c>
      <c r="Q311" s="62"/>
      <c r="R311" s="32"/>
      <c r="S311" s="90"/>
      <c r="T311" s="91">
        <f>SUM(T304:T310)</f>
        <v>2370.861774369022</v>
      </c>
      <c r="U311" s="90"/>
      <c r="V311" s="158"/>
      <c r="W311" s="13"/>
      <c r="X311" s="1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159"/>
      <c r="AJ311" s="160"/>
      <c r="AK311" s="161"/>
      <c r="AL311" s="48"/>
      <c r="AM311" s="48"/>
      <c r="AN311" s="48"/>
      <c r="AO311" s="48"/>
      <c r="AP311" s="48"/>
      <c r="AQ311" s="48"/>
      <c r="AR311" s="48"/>
      <c r="AS311" s="18"/>
      <c r="AT311" s="18"/>
      <c r="AU311" s="18"/>
      <c r="AV311" s="18"/>
    </row>
    <row r="312" spans="1:48" ht="12.75" thickTop="1">
      <c r="A312" s="151"/>
      <c r="B312" s="79"/>
      <c r="C312" s="80"/>
      <c r="D312" s="79"/>
      <c r="E312" s="74"/>
      <c r="F312" s="26"/>
      <c r="G312" s="26"/>
      <c r="H312" s="28"/>
      <c r="I312" s="75"/>
      <c r="J312" s="29"/>
      <c r="K312" s="26"/>
      <c r="L312" s="29"/>
      <c r="M312" s="26"/>
      <c r="N312" s="76"/>
      <c r="O312" s="31"/>
      <c r="P312" s="76"/>
      <c r="Q312" s="26"/>
      <c r="R312" s="32"/>
      <c r="S312" s="75"/>
      <c r="T312" s="33"/>
      <c r="U312" s="75"/>
      <c r="V312" s="158"/>
      <c r="W312" s="13"/>
      <c r="X312" s="1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159"/>
      <c r="AJ312" s="160"/>
      <c r="AK312" s="161"/>
      <c r="AL312" s="48"/>
      <c r="AM312" s="48"/>
      <c r="AN312" s="48"/>
      <c r="AO312" s="48"/>
      <c r="AP312" s="48"/>
      <c r="AQ312" s="48"/>
      <c r="AR312" s="48"/>
      <c r="AS312" s="18"/>
      <c r="AT312" s="18"/>
      <c r="AU312" s="18"/>
      <c r="AV312" s="18"/>
    </row>
    <row r="313" spans="1:48" ht="12.75" thickBot="1">
      <c r="A313" s="152" t="s">
        <v>49</v>
      </c>
      <c r="B313" s="79"/>
      <c r="C313" s="80"/>
      <c r="D313" s="79"/>
      <c r="E313" s="74"/>
      <c r="F313" s="26"/>
      <c r="G313" s="26"/>
      <c r="H313" s="28"/>
      <c r="I313" s="75"/>
      <c r="J313" s="29"/>
      <c r="K313" s="26"/>
      <c r="L313" s="99">
        <f>+L311/$D311</f>
        <v>59.397777777777769</v>
      </c>
      <c r="M313" s="26"/>
      <c r="N313" s="76"/>
      <c r="O313" s="31"/>
      <c r="P313" s="76"/>
      <c r="Q313" s="26"/>
      <c r="R313" s="32"/>
      <c r="S313" s="75"/>
      <c r="T313" s="99">
        <f>+T311/$D311</f>
        <v>65.857271510250598</v>
      </c>
      <c r="U313" s="75">
        <f>+T313-L313</f>
        <v>6.4594937324728292</v>
      </c>
      <c r="V313" s="75">
        <f>U313/L313</f>
        <v>0.10874975418507141</v>
      </c>
      <c r="W313" s="13"/>
      <c r="X313" s="1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159"/>
      <c r="AJ313" s="160"/>
      <c r="AK313" s="161"/>
      <c r="AL313" s="48"/>
      <c r="AM313" s="48"/>
      <c r="AN313" s="48"/>
      <c r="AO313" s="48"/>
      <c r="AP313" s="48"/>
      <c r="AQ313" s="48"/>
      <c r="AR313" s="48"/>
      <c r="AS313" s="18"/>
      <c r="AT313" s="18"/>
      <c r="AU313" s="18"/>
      <c r="AV313" s="18"/>
    </row>
    <row r="314" spans="1:48" ht="12.75" thickTop="1">
      <c r="A314" s="73" t="s">
        <v>53</v>
      </c>
      <c r="B314" s="26">
        <v>199</v>
      </c>
      <c r="C314" s="74"/>
      <c r="D314" s="26"/>
      <c r="E314" s="74"/>
      <c r="F314" s="26"/>
      <c r="G314" s="26"/>
      <c r="H314" s="28"/>
      <c r="I314" s="74"/>
      <c r="J314" s="29"/>
      <c r="K314" s="26"/>
      <c r="L314" s="29"/>
      <c r="M314" s="26"/>
      <c r="N314" s="76"/>
      <c r="O314" s="31"/>
      <c r="P314" s="76"/>
      <c r="Q314" s="26"/>
      <c r="R314" s="32"/>
      <c r="S314" s="157"/>
      <c r="T314" s="83"/>
      <c r="U314" s="158"/>
      <c r="V314" s="158"/>
      <c r="W314" s="13"/>
      <c r="X314" s="1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159"/>
      <c r="AJ314" s="160"/>
      <c r="AK314" s="161"/>
      <c r="AL314" s="48"/>
      <c r="AM314" s="48"/>
      <c r="AN314" s="48"/>
      <c r="AO314" s="48"/>
      <c r="AP314" s="48"/>
      <c r="AQ314" s="48"/>
      <c r="AR314" s="48"/>
      <c r="AS314" s="18"/>
      <c r="AT314" s="18"/>
      <c r="AU314" s="18"/>
      <c r="AV314" s="18"/>
    </row>
    <row r="315" spans="1:48">
      <c r="A315" s="78" t="s">
        <v>54</v>
      </c>
      <c r="B315" s="26"/>
      <c r="C315" s="74"/>
      <c r="D315" s="26">
        <v>24</v>
      </c>
      <c r="E315" s="74"/>
      <c r="F315" s="26"/>
      <c r="G315" s="26"/>
      <c r="H315" s="81">
        <v>80.59</v>
      </c>
      <c r="I315" s="74"/>
      <c r="J315" s="29">
        <f>+D315*H315</f>
        <v>1934.16</v>
      </c>
      <c r="K315" s="26"/>
      <c r="L315" s="29">
        <f>+J315</f>
        <v>1934.16</v>
      </c>
      <c r="M315" s="26"/>
      <c r="N315" s="76">
        <f>+D315</f>
        <v>24</v>
      </c>
      <c r="O315" s="31"/>
      <c r="P315" s="76"/>
      <c r="Q315" s="26"/>
      <c r="R315" s="82">
        <f>+H315*(1+$W$5)</f>
        <v>89.354142689774918</v>
      </c>
      <c r="S315" s="157"/>
      <c r="T315" s="83">
        <f>+N315*R315</f>
        <v>2144.4994245545981</v>
      </c>
      <c r="U315" s="158"/>
      <c r="V315" s="158"/>
      <c r="W315" s="13"/>
      <c r="X315" s="1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159"/>
      <c r="AJ315" s="160"/>
      <c r="AK315" s="161"/>
      <c r="AL315" s="48"/>
      <c r="AM315" s="48"/>
      <c r="AN315" s="48"/>
      <c r="AO315" s="48"/>
      <c r="AP315" s="48"/>
      <c r="AQ315" s="48"/>
      <c r="AR315" s="48"/>
      <c r="AS315" s="18"/>
      <c r="AT315" s="18"/>
      <c r="AU315" s="18"/>
      <c r="AV315" s="18"/>
    </row>
    <row r="316" spans="1:48">
      <c r="A316" s="78" t="s">
        <v>55</v>
      </c>
      <c r="B316" s="26"/>
      <c r="C316" s="74"/>
      <c r="D316" s="26"/>
      <c r="E316" s="74"/>
      <c r="F316" s="26">
        <v>36</v>
      </c>
      <c r="G316" s="26"/>
      <c r="H316" s="84">
        <v>6.23</v>
      </c>
      <c r="I316" s="74"/>
      <c r="J316" s="76">
        <f>+F316*H316</f>
        <v>224.28000000000003</v>
      </c>
      <c r="K316" s="26"/>
      <c r="L316" s="29">
        <f t="shared" ref="L316:L319" si="143">+J316</f>
        <v>224.28000000000003</v>
      </c>
      <c r="M316" s="26"/>
      <c r="N316" s="76"/>
      <c r="O316" s="31"/>
      <c r="P316" s="76">
        <f>+F316</f>
        <v>36</v>
      </c>
      <c r="Q316" s="26"/>
      <c r="R316" s="82">
        <f t="shared" ref="R316:R319" si="144">+H316*(1+$W$5)</f>
        <v>6.9075109685729963</v>
      </c>
      <c r="S316" s="157"/>
      <c r="T316" s="83">
        <f>+P316*R316</f>
        <v>248.67039486862785</v>
      </c>
      <c r="U316" s="158"/>
      <c r="V316" s="158"/>
      <c r="W316" s="13"/>
      <c r="X316" s="1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159"/>
      <c r="AJ316" s="160"/>
      <c r="AK316" s="161"/>
      <c r="AL316" s="48"/>
      <c r="AM316" s="48"/>
      <c r="AN316" s="48"/>
      <c r="AO316" s="48"/>
      <c r="AP316" s="48"/>
      <c r="AQ316" s="48"/>
      <c r="AR316" s="48"/>
      <c r="AS316" s="18"/>
      <c r="AT316" s="18"/>
      <c r="AU316" s="18"/>
      <c r="AV316" s="18"/>
    </row>
    <row r="317" spans="1:48">
      <c r="A317" s="78" t="s">
        <v>21</v>
      </c>
      <c r="B317" s="26"/>
      <c r="C317" s="74"/>
      <c r="D317" s="26"/>
      <c r="E317" s="74"/>
      <c r="F317" s="26">
        <v>25</v>
      </c>
      <c r="G317" s="26"/>
      <c r="H317" s="84">
        <v>5.68</v>
      </c>
      <c r="I317" s="74"/>
      <c r="J317" s="76">
        <f t="shared" ref="J317:J319" si="145">+F317*H317</f>
        <v>142</v>
      </c>
      <c r="K317" s="26"/>
      <c r="L317" s="29">
        <f t="shared" si="143"/>
        <v>142</v>
      </c>
      <c r="M317" s="26"/>
      <c r="N317" s="76"/>
      <c r="O317" s="31"/>
      <c r="P317" s="76">
        <f t="shared" ref="P317:P319" si="146">+F317</f>
        <v>25</v>
      </c>
      <c r="Q317" s="26"/>
      <c r="R317" s="82">
        <f t="shared" si="144"/>
        <v>6.2976986037712059</v>
      </c>
      <c r="S317" s="157"/>
      <c r="T317" s="83">
        <f t="shared" ref="T317:T319" si="147">+P317*R317</f>
        <v>157.44246509428015</v>
      </c>
      <c r="U317" s="158"/>
      <c r="V317" s="158"/>
      <c r="W317" s="13"/>
      <c r="X317" s="1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159"/>
      <c r="AJ317" s="160"/>
      <c r="AK317" s="161"/>
      <c r="AL317" s="48"/>
      <c r="AM317" s="48"/>
      <c r="AN317" s="48"/>
      <c r="AO317" s="48"/>
      <c r="AP317" s="48"/>
      <c r="AQ317" s="48"/>
      <c r="AR317" s="48"/>
      <c r="AS317" s="18"/>
      <c r="AT317" s="18"/>
      <c r="AU317" s="18"/>
      <c r="AV317" s="18"/>
    </row>
    <row r="318" spans="1:48">
      <c r="A318" s="78" t="s">
        <v>22</v>
      </c>
      <c r="B318" s="26"/>
      <c r="C318" s="74"/>
      <c r="D318" s="26"/>
      <c r="E318" s="74"/>
      <c r="F318" s="26">
        <v>6</v>
      </c>
      <c r="G318" s="26"/>
      <c r="H318" s="84">
        <v>5.04</v>
      </c>
      <c r="I318" s="74"/>
      <c r="J318" s="76">
        <f t="shared" si="145"/>
        <v>30.240000000000002</v>
      </c>
      <c r="K318" s="26"/>
      <c r="L318" s="29">
        <f t="shared" si="143"/>
        <v>30.240000000000002</v>
      </c>
      <c r="M318" s="26"/>
      <c r="N318" s="76"/>
      <c r="O318" s="31"/>
      <c r="P318" s="76">
        <f t="shared" si="146"/>
        <v>6</v>
      </c>
      <c r="Q318" s="26"/>
      <c r="R318" s="82">
        <f t="shared" si="144"/>
        <v>5.5880987610927599</v>
      </c>
      <c r="S318" s="157"/>
      <c r="T318" s="83">
        <f t="shared" si="147"/>
        <v>33.528592566556561</v>
      </c>
      <c r="U318" s="158"/>
      <c r="V318" s="158"/>
      <c r="W318" s="13"/>
      <c r="X318" s="1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159"/>
      <c r="AJ318" s="160"/>
      <c r="AK318" s="161"/>
      <c r="AL318" s="48"/>
      <c r="AM318" s="48"/>
      <c r="AN318" s="48"/>
      <c r="AO318" s="48"/>
      <c r="AP318" s="48"/>
      <c r="AQ318" s="48"/>
      <c r="AR318" s="48"/>
      <c r="AS318" s="18"/>
      <c r="AT318" s="18"/>
      <c r="AU318" s="18"/>
      <c r="AV318" s="18"/>
    </row>
    <row r="319" spans="1:48">
      <c r="A319" s="78" t="s">
        <v>23</v>
      </c>
      <c r="B319" s="26"/>
      <c r="C319" s="74"/>
      <c r="D319" s="26"/>
      <c r="E319" s="74"/>
      <c r="F319" s="26">
        <v>0</v>
      </c>
      <c r="G319" s="26"/>
      <c r="H319" s="84">
        <v>4.4000000000000004</v>
      </c>
      <c r="I319" s="74"/>
      <c r="J319" s="76">
        <f t="shared" si="145"/>
        <v>0</v>
      </c>
      <c r="K319" s="26"/>
      <c r="L319" s="29">
        <f t="shared" si="143"/>
        <v>0</v>
      </c>
      <c r="M319" s="26"/>
      <c r="N319" s="76"/>
      <c r="O319" s="31"/>
      <c r="P319" s="76">
        <f t="shared" si="146"/>
        <v>0</v>
      </c>
      <c r="Q319" s="26"/>
      <c r="R319" s="82">
        <f t="shared" si="144"/>
        <v>4.8784989184143148</v>
      </c>
      <c r="S319" s="157"/>
      <c r="T319" s="83">
        <f t="shared" si="147"/>
        <v>0</v>
      </c>
      <c r="U319" s="158"/>
      <c r="V319" s="158"/>
      <c r="W319" s="13"/>
      <c r="X319" s="1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159"/>
      <c r="AJ319" s="160"/>
      <c r="AK319" s="161"/>
      <c r="AL319" s="48"/>
      <c r="AM319" s="48"/>
      <c r="AN319" s="48"/>
      <c r="AO319" s="48"/>
      <c r="AP319" s="48"/>
      <c r="AQ319" s="48"/>
      <c r="AR319" s="48"/>
      <c r="AS319" s="18"/>
      <c r="AT319" s="18"/>
      <c r="AU319" s="18"/>
      <c r="AV319" s="18"/>
    </row>
    <row r="320" spans="1:48" s="97" customFormat="1" ht="12.75" thickBot="1">
      <c r="A320" s="151" t="s">
        <v>56</v>
      </c>
      <c r="B320" s="89">
        <f>SUM(B313:B319)</f>
        <v>199</v>
      </c>
      <c r="C320" s="90"/>
      <c r="D320" s="89">
        <f>SUM(D313:D319)</f>
        <v>24</v>
      </c>
      <c r="E320" s="90"/>
      <c r="F320" s="89">
        <f>SUM(F313:F319)</f>
        <v>67</v>
      </c>
      <c r="G320" s="62"/>
      <c r="H320" s="64"/>
      <c r="I320" s="63"/>
      <c r="J320" s="91">
        <f>SUM(J313:J319)</f>
        <v>2330.6799999999998</v>
      </c>
      <c r="K320" s="62"/>
      <c r="L320" s="91">
        <f>SUM(L313:L319)</f>
        <v>2390.0777777777776</v>
      </c>
      <c r="M320" s="62"/>
      <c r="N320" s="89">
        <f>SUM(N313:N319)</f>
        <v>24</v>
      </c>
      <c r="O320" s="67"/>
      <c r="P320" s="89">
        <f>SUM(P313:P319)</f>
        <v>67</v>
      </c>
      <c r="Q320" s="62"/>
      <c r="R320" s="32"/>
      <c r="S320" s="90"/>
      <c r="T320" s="91">
        <f>SUM(T313:T319)</f>
        <v>2649.9981485943131</v>
      </c>
      <c r="U320" s="90"/>
      <c r="V320" s="95"/>
      <c r="W320" s="17"/>
      <c r="X320" s="17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62"/>
      <c r="AJ320" s="163"/>
      <c r="AK320" s="164"/>
      <c r="AL320" s="96"/>
      <c r="AM320" s="96"/>
      <c r="AN320" s="96"/>
      <c r="AO320" s="96"/>
      <c r="AP320" s="96"/>
      <c r="AQ320" s="96"/>
      <c r="AR320" s="96"/>
      <c r="AS320" s="131"/>
      <c r="AT320" s="131"/>
      <c r="AU320" s="131"/>
      <c r="AV320" s="131"/>
    </row>
    <row r="321" spans="1:48" s="97" customFormat="1" ht="12.75" thickTop="1">
      <c r="A321" s="151"/>
      <c r="B321" s="79"/>
      <c r="C321" s="80"/>
      <c r="D321" s="79"/>
      <c r="E321" s="74"/>
      <c r="F321" s="26"/>
      <c r="G321" s="26"/>
      <c r="H321" s="28"/>
      <c r="I321" s="75"/>
      <c r="J321" s="29"/>
      <c r="K321" s="26"/>
      <c r="L321" s="29"/>
      <c r="M321" s="26"/>
      <c r="N321" s="76"/>
      <c r="O321" s="31"/>
      <c r="P321" s="76"/>
      <c r="Q321" s="26"/>
      <c r="R321" s="32"/>
      <c r="S321" s="75"/>
      <c r="T321" s="33"/>
      <c r="U321" s="75"/>
      <c r="V321" s="95"/>
      <c r="W321" s="17"/>
      <c r="X321" s="17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62"/>
      <c r="AJ321" s="163"/>
      <c r="AK321" s="164"/>
      <c r="AL321" s="96"/>
      <c r="AM321" s="96"/>
      <c r="AN321" s="96"/>
      <c r="AO321" s="96"/>
      <c r="AP321" s="96"/>
      <c r="AQ321" s="96"/>
      <c r="AR321" s="96"/>
      <c r="AS321" s="131"/>
      <c r="AT321" s="131"/>
      <c r="AU321" s="131"/>
      <c r="AV321" s="131"/>
    </row>
    <row r="322" spans="1:48" ht="12.75" thickBot="1">
      <c r="A322" s="152" t="s">
        <v>57</v>
      </c>
      <c r="B322" s="79"/>
      <c r="C322" s="80"/>
      <c r="D322" s="79"/>
      <c r="E322" s="74"/>
      <c r="F322" s="26"/>
      <c r="G322" s="26"/>
      <c r="H322" s="28"/>
      <c r="I322" s="75"/>
      <c r="J322" s="29"/>
      <c r="K322" s="26"/>
      <c r="L322" s="99">
        <f>+L320/$D320</f>
        <v>99.586574074074065</v>
      </c>
      <c r="M322" s="26"/>
      <c r="N322" s="76"/>
      <c r="O322" s="31"/>
      <c r="P322" s="76"/>
      <c r="Q322" s="26"/>
      <c r="R322" s="32"/>
      <c r="S322" s="75"/>
      <c r="T322" s="99">
        <f>+T320/$D320</f>
        <v>110.41658952476304</v>
      </c>
      <c r="U322" s="75">
        <f>+T322-L322</f>
        <v>10.830015450688975</v>
      </c>
      <c r="V322" s="158"/>
      <c r="W322" s="13"/>
      <c r="X322" s="1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159"/>
      <c r="AJ322" s="160"/>
      <c r="AK322" s="161"/>
      <c r="AL322" s="48"/>
      <c r="AM322" s="48"/>
      <c r="AN322" s="48"/>
      <c r="AO322" s="48"/>
      <c r="AP322" s="48"/>
      <c r="AQ322" s="48"/>
      <c r="AR322" s="48"/>
      <c r="AS322" s="18"/>
      <c r="AT322" s="18"/>
      <c r="AU322" s="18"/>
      <c r="AV322" s="18"/>
    </row>
    <row r="323" spans="1:48" ht="12.75" thickTop="1">
      <c r="A323" s="73" t="s">
        <v>58</v>
      </c>
      <c r="B323" s="26">
        <v>1761</v>
      </c>
      <c r="C323" s="74"/>
      <c r="D323" s="26"/>
      <c r="E323" s="74"/>
      <c r="F323" s="26"/>
      <c r="G323" s="26"/>
      <c r="H323" s="28"/>
      <c r="I323" s="74"/>
      <c r="J323" s="29"/>
      <c r="K323" s="26"/>
      <c r="L323" s="29"/>
      <c r="M323" s="26"/>
      <c r="N323" s="76"/>
      <c r="O323" s="31"/>
      <c r="P323" s="76"/>
      <c r="Q323" s="26"/>
      <c r="R323" s="32"/>
      <c r="S323" s="157"/>
      <c r="T323" s="83"/>
      <c r="U323" s="158"/>
      <c r="V323" s="158"/>
      <c r="W323" s="13"/>
      <c r="X323" s="1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159"/>
      <c r="AJ323" s="160"/>
      <c r="AK323" s="161"/>
      <c r="AL323" s="48"/>
      <c r="AM323" s="48"/>
      <c r="AN323" s="48"/>
      <c r="AO323" s="48"/>
      <c r="AP323" s="48"/>
      <c r="AQ323" s="48"/>
      <c r="AR323" s="48"/>
      <c r="AS323" s="18"/>
      <c r="AT323" s="18"/>
      <c r="AU323" s="18"/>
      <c r="AV323" s="18"/>
    </row>
    <row r="324" spans="1:48">
      <c r="A324" s="78" t="s">
        <v>54</v>
      </c>
      <c r="B324" s="26"/>
      <c r="C324" s="74"/>
      <c r="D324" s="26">
        <v>23.999999999999993</v>
      </c>
      <c r="E324" s="74"/>
      <c r="F324" s="26"/>
      <c r="G324" s="26"/>
      <c r="H324" s="81">
        <v>80.59</v>
      </c>
      <c r="I324" s="74"/>
      <c r="J324" s="29">
        <f>+D324*H324</f>
        <v>1934.1599999999994</v>
      </c>
      <c r="K324" s="26"/>
      <c r="L324" s="29">
        <f>+J324</f>
        <v>1934.1599999999994</v>
      </c>
      <c r="M324" s="26"/>
      <c r="N324" s="76">
        <f>+D324</f>
        <v>23.999999999999993</v>
      </c>
      <c r="O324" s="31"/>
      <c r="P324" s="76"/>
      <c r="Q324" s="26"/>
      <c r="R324" s="82">
        <f>+H324*(1+$W$5)</f>
        <v>89.354142689774918</v>
      </c>
      <c r="S324" s="157"/>
      <c r="T324" s="83">
        <f>+N324*R324</f>
        <v>2144.4994245545972</v>
      </c>
      <c r="U324" s="158"/>
      <c r="V324" s="158"/>
      <c r="W324" s="13"/>
      <c r="X324" s="1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159"/>
      <c r="AJ324" s="160"/>
      <c r="AK324" s="161"/>
      <c r="AL324" s="48"/>
      <c r="AM324" s="48"/>
      <c r="AN324" s="48"/>
      <c r="AO324" s="48"/>
      <c r="AP324" s="48"/>
      <c r="AQ324" s="48"/>
      <c r="AR324" s="48"/>
      <c r="AS324" s="18"/>
      <c r="AT324" s="18"/>
      <c r="AU324" s="18"/>
      <c r="AV324" s="18"/>
    </row>
    <row r="325" spans="1:48">
      <c r="A325" s="78" t="s">
        <v>55</v>
      </c>
      <c r="B325" s="26"/>
      <c r="C325" s="74"/>
      <c r="D325" s="26"/>
      <c r="E325" s="74"/>
      <c r="F325" s="26">
        <v>168</v>
      </c>
      <c r="G325" s="26"/>
      <c r="H325" s="84">
        <v>6.23</v>
      </c>
      <c r="I325" s="74"/>
      <c r="J325" s="76">
        <f>+F325*H325</f>
        <v>1046.6400000000001</v>
      </c>
      <c r="K325" s="26"/>
      <c r="L325" s="29">
        <f t="shared" ref="L325:L328" si="148">+J325</f>
        <v>1046.6400000000001</v>
      </c>
      <c r="M325" s="26"/>
      <c r="N325" s="76"/>
      <c r="O325" s="31"/>
      <c r="P325" s="76">
        <f>+F325</f>
        <v>168</v>
      </c>
      <c r="Q325" s="26"/>
      <c r="R325" s="82">
        <f t="shared" ref="R325:R328" si="149">+H325*(1+$W$5)</f>
        <v>6.9075109685729963</v>
      </c>
      <c r="S325" s="157"/>
      <c r="T325" s="83">
        <f>+P325*R325</f>
        <v>1160.4618427202633</v>
      </c>
      <c r="U325" s="158"/>
      <c r="V325" s="158"/>
      <c r="W325" s="13"/>
      <c r="X325" s="1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159"/>
      <c r="AJ325" s="160"/>
      <c r="AK325" s="161"/>
      <c r="AL325" s="48"/>
      <c r="AM325" s="48"/>
      <c r="AN325" s="48"/>
      <c r="AO325" s="48"/>
      <c r="AP325" s="48"/>
      <c r="AQ325" s="48"/>
      <c r="AR325" s="48"/>
      <c r="AS325" s="18"/>
      <c r="AT325" s="18"/>
      <c r="AU325" s="18"/>
      <c r="AV325" s="18"/>
    </row>
    <row r="326" spans="1:48">
      <c r="A326" s="78" t="s">
        <v>21</v>
      </c>
      <c r="B326" s="26"/>
      <c r="C326" s="74"/>
      <c r="D326" s="26"/>
      <c r="E326" s="74"/>
      <c r="F326" s="26">
        <v>300</v>
      </c>
      <c r="G326" s="26"/>
      <c r="H326" s="84">
        <v>5.68</v>
      </c>
      <c r="I326" s="74"/>
      <c r="J326" s="76">
        <f t="shared" ref="J326:J328" si="150">+F326*H326</f>
        <v>1704</v>
      </c>
      <c r="K326" s="26"/>
      <c r="L326" s="29">
        <f t="shared" si="148"/>
        <v>1704</v>
      </c>
      <c r="M326" s="26"/>
      <c r="N326" s="76"/>
      <c r="O326" s="31"/>
      <c r="P326" s="76">
        <f t="shared" ref="P326:P328" si="151">+F326</f>
        <v>300</v>
      </c>
      <c r="Q326" s="26"/>
      <c r="R326" s="82">
        <f t="shared" si="149"/>
        <v>6.2976986037712059</v>
      </c>
      <c r="S326" s="157"/>
      <c r="T326" s="83">
        <f t="shared" ref="T326:T328" si="152">+P326*R326</f>
        <v>1889.3095811313617</v>
      </c>
      <c r="U326" s="158"/>
      <c r="V326" s="158"/>
      <c r="W326" s="13"/>
      <c r="X326" s="1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159"/>
      <c r="AJ326" s="160"/>
      <c r="AK326" s="161"/>
      <c r="AL326" s="48"/>
      <c r="AM326" s="48"/>
      <c r="AN326" s="48"/>
      <c r="AO326" s="48"/>
      <c r="AP326" s="48"/>
      <c r="AQ326" s="48"/>
      <c r="AR326" s="48"/>
      <c r="AS326" s="18"/>
      <c r="AT326" s="18"/>
      <c r="AU326" s="18"/>
      <c r="AV326" s="18"/>
    </row>
    <row r="327" spans="1:48">
      <c r="A327" s="78" t="s">
        <v>22</v>
      </c>
      <c r="B327" s="26"/>
      <c r="C327" s="74"/>
      <c r="D327" s="26"/>
      <c r="E327" s="74"/>
      <c r="F327" s="26">
        <v>600</v>
      </c>
      <c r="G327" s="26"/>
      <c r="H327" s="84">
        <v>5.04</v>
      </c>
      <c r="I327" s="74"/>
      <c r="J327" s="76">
        <f t="shared" si="150"/>
        <v>3024</v>
      </c>
      <c r="K327" s="26"/>
      <c r="L327" s="29">
        <f t="shared" si="148"/>
        <v>3024</v>
      </c>
      <c r="M327" s="26"/>
      <c r="N327" s="76"/>
      <c r="O327" s="31"/>
      <c r="P327" s="76">
        <f t="shared" si="151"/>
        <v>600</v>
      </c>
      <c r="Q327" s="26"/>
      <c r="R327" s="82">
        <f t="shared" si="149"/>
        <v>5.5880987610927599</v>
      </c>
      <c r="S327" s="157"/>
      <c r="T327" s="83">
        <f t="shared" si="152"/>
        <v>3352.8592566556558</v>
      </c>
      <c r="U327" s="158"/>
      <c r="V327" s="158"/>
      <c r="W327" s="13"/>
      <c r="X327" s="1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159"/>
      <c r="AJ327" s="160"/>
      <c r="AK327" s="161"/>
      <c r="AL327" s="48"/>
      <c r="AM327" s="48"/>
      <c r="AN327" s="48"/>
      <c r="AO327" s="48"/>
      <c r="AP327" s="48"/>
      <c r="AQ327" s="48"/>
      <c r="AR327" s="48"/>
      <c r="AS327" s="18"/>
      <c r="AT327" s="18"/>
      <c r="AU327" s="18"/>
      <c r="AV327" s="18"/>
    </row>
    <row r="328" spans="1:48">
      <c r="A328" s="78" t="s">
        <v>23</v>
      </c>
      <c r="B328" s="26"/>
      <c r="C328" s="74"/>
      <c r="D328" s="26"/>
      <c r="E328" s="74"/>
      <c r="F328" s="26">
        <v>530.00000000000011</v>
      </c>
      <c r="G328" s="26"/>
      <c r="H328" s="84">
        <v>4.4000000000000004</v>
      </c>
      <c r="I328" s="74"/>
      <c r="J328" s="76">
        <f t="shared" si="150"/>
        <v>2332.0000000000009</v>
      </c>
      <c r="K328" s="26"/>
      <c r="L328" s="29">
        <f t="shared" si="148"/>
        <v>2332.0000000000009</v>
      </c>
      <c r="M328" s="26"/>
      <c r="N328" s="76"/>
      <c r="O328" s="31"/>
      <c r="P328" s="76">
        <f t="shared" si="151"/>
        <v>530.00000000000011</v>
      </c>
      <c r="Q328" s="26"/>
      <c r="R328" s="82">
        <f t="shared" si="149"/>
        <v>4.8784989184143148</v>
      </c>
      <c r="S328" s="157"/>
      <c r="T328" s="83">
        <f t="shared" si="152"/>
        <v>2585.6044267595876</v>
      </c>
      <c r="U328" s="158"/>
      <c r="V328" s="158"/>
      <c r="W328" s="13"/>
      <c r="X328" s="1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159"/>
      <c r="AJ328" s="160"/>
      <c r="AK328" s="161"/>
      <c r="AL328" s="48"/>
      <c r="AM328" s="48"/>
      <c r="AN328" s="48"/>
      <c r="AO328" s="48"/>
      <c r="AP328" s="48"/>
      <c r="AQ328" s="48"/>
      <c r="AR328" s="48"/>
      <c r="AS328" s="18"/>
      <c r="AT328" s="18"/>
      <c r="AU328" s="18"/>
      <c r="AV328" s="18"/>
    </row>
    <row r="329" spans="1:48" s="97" customFormat="1" ht="12.75" thickBot="1">
      <c r="A329" s="151" t="s">
        <v>59</v>
      </c>
      <c r="B329" s="103">
        <f>SUM(B323:B328)</f>
        <v>1761</v>
      </c>
      <c r="C329" s="90"/>
      <c r="D329" s="103">
        <f>SUM(D323:D328)</f>
        <v>23.999999999999993</v>
      </c>
      <c r="E329" s="90"/>
      <c r="F329" s="103">
        <f>SUM(F323:F328)</f>
        <v>1598</v>
      </c>
      <c r="G329" s="62"/>
      <c r="H329" s="64"/>
      <c r="I329" s="63"/>
      <c r="J329" s="104">
        <f>SUM(J324:J328)</f>
        <v>10040.799999999999</v>
      </c>
      <c r="K329" s="62"/>
      <c r="L329" s="104">
        <f>SUM(L324:L328)</f>
        <v>10040.799999999999</v>
      </c>
      <c r="M329" s="62"/>
      <c r="N329" s="103">
        <f>SUM(N323:N328)</f>
        <v>23.999999999999993</v>
      </c>
      <c r="O329" s="67"/>
      <c r="P329" s="103">
        <f>SUM(P323:P328)</f>
        <v>1598</v>
      </c>
      <c r="Q329" s="62"/>
      <c r="R329" s="82"/>
      <c r="S329" s="90"/>
      <c r="T329" s="104">
        <f>SUM(T324:T328)</f>
        <v>11132.734531821467</v>
      </c>
      <c r="U329" s="90"/>
      <c r="V329" s="95"/>
      <c r="W329" s="17"/>
      <c r="X329" s="17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62"/>
      <c r="AJ329" s="163"/>
      <c r="AK329" s="164"/>
      <c r="AL329" s="96"/>
      <c r="AM329" s="96"/>
      <c r="AN329" s="96"/>
      <c r="AO329" s="96"/>
      <c r="AP329" s="96"/>
      <c r="AQ329" s="96"/>
      <c r="AR329" s="96"/>
      <c r="AS329" s="131"/>
      <c r="AT329" s="131"/>
      <c r="AU329" s="131"/>
      <c r="AV329" s="131"/>
    </row>
    <row r="330" spans="1:48" s="97" customFormat="1" ht="12.75" thickTop="1">
      <c r="A330" s="151"/>
      <c r="B330" s="79"/>
      <c r="C330" s="80"/>
      <c r="D330" s="79"/>
      <c r="E330" s="74"/>
      <c r="F330" s="26"/>
      <c r="G330" s="26"/>
      <c r="H330" s="28"/>
      <c r="I330" s="75"/>
      <c r="J330" s="29"/>
      <c r="K330" s="26"/>
      <c r="L330" s="29"/>
      <c r="M330" s="26"/>
      <c r="N330" s="76"/>
      <c r="O330" s="31"/>
      <c r="P330" s="76"/>
      <c r="Q330" s="26"/>
      <c r="R330" s="32"/>
      <c r="S330" s="75"/>
      <c r="T330" s="33"/>
      <c r="U330" s="75"/>
      <c r="V330" s="95"/>
      <c r="W330" s="17"/>
      <c r="X330" s="17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62"/>
      <c r="AJ330" s="163"/>
      <c r="AK330" s="164"/>
      <c r="AL330" s="96"/>
      <c r="AM330" s="96"/>
      <c r="AN330" s="96"/>
      <c r="AO330" s="96"/>
      <c r="AP330" s="96"/>
      <c r="AQ330" s="96"/>
      <c r="AR330" s="96"/>
      <c r="AS330" s="131"/>
      <c r="AT330" s="131"/>
      <c r="AU330" s="131"/>
      <c r="AV330" s="131"/>
    </row>
    <row r="331" spans="1:48" ht="12.75" thickBot="1">
      <c r="A331" s="152" t="s">
        <v>60</v>
      </c>
      <c r="B331" s="79"/>
      <c r="C331" s="80"/>
      <c r="D331" s="79"/>
      <c r="E331" s="74"/>
      <c r="F331" s="26"/>
      <c r="G331" s="26"/>
      <c r="H331" s="28"/>
      <c r="I331" s="75"/>
      <c r="J331" s="29"/>
      <c r="K331" s="26"/>
      <c r="L331" s="99">
        <f>+L329/$D329</f>
        <v>418.36666666666679</v>
      </c>
      <c r="M331" s="26"/>
      <c r="N331" s="76"/>
      <c r="O331" s="31"/>
      <c r="P331" s="76"/>
      <c r="Q331" s="26"/>
      <c r="R331" s="32"/>
      <c r="S331" s="75"/>
      <c r="T331" s="99">
        <f>+T329/$D329</f>
        <v>463.86393882589459</v>
      </c>
      <c r="U331" s="75">
        <f>+T331-L331</f>
        <v>45.497272159227805</v>
      </c>
      <c r="V331" s="158"/>
      <c r="W331" s="13"/>
      <c r="X331" s="1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159"/>
      <c r="AJ331" s="160"/>
      <c r="AK331" s="161"/>
      <c r="AL331" s="48"/>
      <c r="AM331" s="48"/>
      <c r="AN331" s="48"/>
      <c r="AO331" s="48"/>
      <c r="AP331" s="48"/>
      <c r="AQ331" s="48"/>
      <c r="AR331" s="48"/>
      <c r="AS331" s="18"/>
      <c r="AT331" s="18"/>
      <c r="AU331" s="18"/>
      <c r="AV331" s="18"/>
    </row>
    <row r="332" spans="1:48" ht="12.75" thickTop="1">
      <c r="A332" s="73" t="s">
        <v>132</v>
      </c>
      <c r="B332" s="26">
        <v>304</v>
      </c>
      <c r="C332" s="74"/>
      <c r="D332" s="26"/>
      <c r="E332" s="74"/>
      <c r="F332" s="26"/>
      <c r="G332" s="26"/>
      <c r="I332" s="74"/>
      <c r="K332" s="26"/>
      <c r="L332" s="29"/>
      <c r="M332" s="26"/>
      <c r="N332" s="76"/>
      <c r="O332" s="31"/>
      <c r="P332" s="76"/>
      <c r="Q332" s="26"/>
      <c r="R332" s="32"/>
      <c r="S332" s="157"/>
      <c r="T332" s="83"/>
      <c r="U332" s="158"/>
      <c r="V332" s="158"/>
      <c r="W332" s="13"/>
      <c r="X332" s="1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159"/>
      <c r="AJ332" s="160"/>
      <c r="AK332" s="161"/>
      <c r="AL332" s="48"/>
      <c r="AM332" s="48"/>
      <c r="AN332" s="48"/>
      <c r="AO332" s="48"/>
      <c r="AP332" s="48"/>
      <c r="AQ332" s="48"/>
      <c r="AR332" s="48"/>
      <c r="AS332" s="18"/>
      <c r="AT332" s="18"/>
      <c r="AU332" s="18"/>
      <c r="AV332" s="18"/>
    </row>
    <row r="333" spans="1:48">
      <c r="A333" s="78" t="s">
        <v>65</v>
      </c>
      <c r="B333" s="26"/>
      <c r="C333" s="74"/>
      <c r="D333" s="26">
        <v>12</v>
      </c>
      <c r="E333" s="74"/>
      <c r="F333" s="26"/>
      <c r="G333" s="26"/>
      <c r="H333" s="81">
        <v>120.48</v>
      </c>
      <c r="I333" s="74"/>
      <c r="J333" s="29">
        <f>+D333*H333</f>
        <v>1445.76</v>
      </c>
      <c r="K333" s="26"/>
      <c r="L333" s="29">
        <f>+J333</f>
        <v>1445.76</v>
      </c>
      <c r="M333" s="26"/>
      <c r="N333" s="76">
        <f>+D333</f>
        <v>12</v>
      </c>
      <c r="O333" s="31"/>
      <c r="P333" s="76"/>
      <c r="Q333" s="26"/>
      <c r="R333" s="82">
        <f>+H333*(1+$W$5)</f>
        <v>133.58217038421742</v>
      </c>
      <c r="S333" s="157"/>
      <c r="T333" s="83">
        <f>+N333*R333</f>
        <v>1602.986044610609</v>
      </c>
      <c r="U333" s="158"/>
      <c r="V333" s="158"/>
      <c r="W333" s="13"/>
      <c r="X333" s="1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159"/>
      <c r="AJ333" s="160"/>
      <c r="AK333" s="161"/>
      <c r="AL333" s="48"/>
      <c r="AM333" s="48"/>
      <c r="AN333" s="48"/>
      <c r="AO333" s="48"/>
      <c r="AP333" s="48"/>
      <c r="AQ333" s="48"/>
      <c r="AR333" s="48"/>
      <c r="AS333" s="18"/>
      <c r="AT333" s="18"/>
      <c r="AU333" s="18"/>
      <c r="AV333" s="18"/>
    </row>
    <row r="334" spans="1:48">
      <c r="A334" s="78" t="s">
        <v>66</v>
      </c>
      <c r="B334" s="26"/>
      <c r="C334" s="74"/>
      <c r="D334" s="26"/>
      <c r="E334" s="74"/>
      <c r="F334" s="26">
        <v>72</v>
      </c>
      <c r="G334" s="26"/>
      <c r="H334" s="84">
        <v>6.23</v>
      </c>
      <c r="I334" s="74"/>
      <c r="J334" s="76">
        <f>+F334*H334</f>
        <v>448.56000000000006</v>
      </c>
      <c r="K334" s="26"/>
      <c r="L334" s="29">
        <f t="shared" ref="L334:L337" si="153">+J334</f>
        <v>448.56000000000006</v>
      </c>
      <c r="M334" s="26"/>
      <c r="N334" s="76"/>
      <c r="O334" s="31"/>
      <c r="P334" s="76">
        <f>+F334</f>
        <v>72</v>
      </c>
      <c r="Q334" s="26"/>
      <c r="R334" s="82">
        <f t="shared" ref="R334:R337" si="154">+H334*(1+$W$5)</f>
        <v>6.9075109685729963</v>
      </c>
      <c r="S334" s="157"/>
      <c r="T334" s="83">
        <f>+P334*R334</f>
        <v>497.3407897372557</v>
      </c>
      <c r="U334" s="158"/>
      <c r="V334" s="158"/>
      <c r="W334" s="13"/>
      <c r="X334" s="1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159"/>
      <c r="AJ334" s="160"/>
      <c r="AK334" s="161"/>
      <c r="AL334" s="48"/>
      <c r="AM334" s="48"/>
      <c r="AN334" s="48"/>
      <c r="AO334" s="48"/>
      <c r="AP334" s="48"/>
      <c r="AQ334" s="48"/>
      <c r="AR334" s="48"/>
      <c r="AS334" s="18"/>
      <c r="AT334" s="18"/>
      <c r="AU334" s="18"/>
      <c r="AV334" s="18"/>
    </row>
    <row r="335" spans="1:48">
      <c r="A335" s="78" t="s">
        <v>21</v>
      </c>
      <c r="B335" s="26"/>
      <c r="C335" s="74"/>
      <c r="D335" s="26"/>
      <c r="E335" s="74"/>
      <c r="F335" s="26">
        <v>29.999999999999996</v>
      </c>
      <c r="G335" s="26"/>
      <c r="H335" s="84">
        <v>5.68</v>
      </c>
      <c r="I335" s="74"/>
      <c r="J335" s="76">
        <f t="shared" ref="J335:J337" si="155">+F335*H335</f>
        <v>170.39999999999998</v>
      </c>
      <c r="K335" s="26"/>
      <c r="L335" s="29">
        <f t="shared" si="153"/>
        <v>170.39999999999998</v>
      </c>
      <c r="M335" s="26"/>
      <c r="N335" s="76"/>
      <c r="O335" s="31"/>
      <c r="P335" s="76">
        <f t="shared" ref="P335:P337" si="156">+F335</f>
        <v>29.999999999999996</v>
      </c>
      <c r="Q335" s="26"/>
      <c r="R335" s="82">
        <f t="shared" si="154"/>
        <v>6.2976986037712059</v>
      </c>
      <c r="S335" s="157"/>
      <c r="T335" s="83">
        <f t="shared" ref="T335:T337" si="157">+P335*R335</f>
        <v>188.93095811313614</v>
      </c>
      <c r="U335" s="158"/>
      <c r="V335" s="158"/>
      <c r="W335" s="13"/>
      <c r="X335" s="1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159"/>
      <c r="AJ335" s="160"/>
      <c r="AK335" s="161"/>
      <c r="AL335" s="48"/>
      <c r="AM335" s="48"/>
      <c r="AN335" s="48"/>
      <c r="AO335" s="48"/>
      <c r="AP335" s="48"/>
      <c r="AQ335" s="48"/>
      <c r="AR335" s="48"/>
      <c r="AS335" s="18"/>
      <c r="AT335" s="18"/>
      <c r="AU335" s="18"/>
      <c r="AV335" s="18"/>
    </row>
    <row r="336" spans="1:48">
      <c r="A336" s="78" t="s">
        <v>22</v>
      </c>
      <c r="B336" s="26"/>
      <c r="C336" s="74"/>
      <c r="D336" s="26"/>
      <c r="E336" s="74"/>
      <c r="F336" s="26">
        <v>0</v>
      </c>
      <c r="G336" s="26"/>
      <c r="H336" s="84">
        <v>5.04</v>
      </c>
      <c r="I336" s="74"/>
      <c r="J336" s="76">
        <f t="shared" si="155"/>
        <v>0</v>
      </c>
      <c r="K336" s="26"/>
      <c r="L336" s="29">
        <f t="shared" si="153"/>
        <v>0</v>
      </c>
      <c r="M336" s="26"/>
      <c r="N336" s="76"/>
      <c r="O336" s="31"/>
      <c r="P336" s="76">
        <f t="shared" si="156"/>
        <v>0</v>
      </c>
      <c r="Q336" s="26"/>
      <c r="R336" s="82">
        <f t="shared" si="154"/>
        <v>5.5880987610927599</v>
      </c>
      <c r="S336" s="157"/>
      <c r="T336" s="83">
        <f t="shared" si="157"/>
        <v>0</v>
      </c>
      <c r="U336" s="158"/>
      <c r="V336" s="158"/>
      <c r="W336" s="13"/>
      <c r="X336" s="1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159"/>
      <c r="AJ336" s="160"/>
      <c r="AK336" s="161"/>
      <c r="AL336" s="48"/>
      <c r="AM336" s="48"/>
      <c r="AN336" s="48"/>
      <c r="AO336" s="48"/>
      <c r="AP336" s="48"/>
      <c r="AQ336" s="48"/>
      <c r="AR336" s="48"/>
      <c r="AS336" s="18"/>
      <c r="AT336" s="18"/>
      <c r="AU336" s="18"/>
      <c r="AV336" s="18"/>
    </row>
    <row r="337" spans="1:48">
      <c r="A337" s="78" t="s">
        <v>23</v>
      </c>
      <c r="B337" s="26"/>
      <c r="C337" s="74"/>
      <c r="D337" s="26"/>
      <c r="E337" s="74"/>
      <c r="F337" s="26">
        <v>0</v>
      </c>
      <c r="G337" s="26"/>
      <c r="H337" s="84">
        <v>4.4000000000000004</v>
      </c>
      <c r="I337" s="74"/>
      <c r="J337" s="76">
        <f t="shared" si="155"/>
        <v>0</v>
      </c>
      <c r="K337" s="26"/>
      <c r="L337" s="29">
        <f t="shared" si="153"/>
        <v>0</v>
      </c>
      <c r="M337" s="26"/>
      <c r="N337" s="76"/>
      <c r="O337" s="31"/>
      <c r="P337" s="76">
        <f t="shared" si="156"/>
        <v>0</v>
      </c>
      <c r="Q337" s="26"/>
      <c r="R337" s="82">
        <f t="shared" si="154"/>
        <v>4.8784989184143148</v>
      </c>
      <c r="S337" s="157"/>
      <c r="T337" s="83">
        <f t="shared" si="157"/>
        <v>0</v>
      </c>
      <c r="U337" s="158"/>
      <c r="V337" s="158"/>
      <c r="W337" s="13"/>
      <c r="X337" s="1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159"/>
      <c r="AJ337" s="160"/>
      <c r="AK337" s="161"/>
      <c r="AL337" s="48"/>
      <c r="AM337" s="48"/>
      <c r="AN337" s="48"/>
      <c r="AO337" s="48"/>
      <c r="AP337" s="48"/>
      <c r="AQ337" s="48"/>
      <c r="AR337" s="48"/>
      <c r="AS337" s="18"/>
      <c r="AT337" s="18"/>
      <c r="AU337" s="18"/>
      <c r="AV337" s="18"/>
    </row>
    <row r="338" spans="1:48" ht="12.75" thickBot="1">
      <c r="A338" s="88" t="s">
        <v>133</v>
      </c>
      <c r="B338" s="103">
        <f>SUM(B332:B337)</f>
        <v>304</v>
      </c>
      <c r="C338" s="90"/>
      <c r="D338" s="103">
        <f>SUM(D332:D337)</f>
        <v>12</v>
      </c>
      <c r="E338" s="90"/>
      <c r="F338" s="103">
        <f>SUM(F332:F337)</f>
        <v>102</v>
      </c>
      <c r="G338" s="62"/>
      <c r="H338" s="64"/>
      <c r="I338" s="63"/>
      <c r="J338" s="104">
        <f>SUM(J333:J337)</f>
        <v>2064.7200000000003</v>
      </c>
      <c r="K338" s="62"/>
      <c r="L338" s="104">
        <f>SUM(L333:L337)</f>
        <v>2064.7200000000003</v>
      </c>
      <c r="M338" s="62"/>
      <c r="N338" s="103">
        <f>SUM(N332:N337)</f>
        <v>12</v>
      </c>
      <c r="O338" s="67"/>
      <c r="P338" s="103">
        <f>SUM(P332:P337)</f>
        <v>102</v>
      </c>
      <c r="Q338" s="62"/>
      <c r="R338" s="82"/>
      <c r="S338" s="90"/>
      <c r="T338" s="104">
        <f>SUM(T333:T337)</f>
        <v>2289.2577924610009</v>
      </c>
      <c r="U338" s="90"/>
      <c r="V338" s="158"/>
      <c r="W338" s="13"/>
      <c r="X338" s="1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159"/>
      <c r="AJ338" s="160"/>
      <c r="AK338" s="161"/>
      <c r="AL338" s="48"/>
      <c r="AM338" s="48"/>
      <c r="AN338" s="48"/>
      <c r="AO338" s="48"/>
      <c r="AP338" s="48"/>
      <c r="AQ338" s="48"/>
      <c r="AR338" s="48"/>
      <c r="AS338" s="18"/>
      <c r="AT338" s="18"/>
      <c r="AU338" s="18"/>
      <c r="AV338" s="18"/>
    </row>
    <row r="339" spans="1:48" ht="12.75" thickTop="1">
      <c r="A339" s="88"/>
      <c r="B339" s="79"/>
      <c r="C339" s="80"/>
      <c r="D339" s="79"/>
      <c r="E339" s="74"/>
      <c r="F339" s="26"/>
      <c r="G339" s="26"/>
      <c r="H339" s="28"/>
      <c r="I339" s="75"/>
      <c r="J339" s="29"/>
      <c r="K339" s="26"/>
      <c r="L339" s="29"/>
      <c r="M339" s="26"/>
      <c r="N339" s="76"/>
      <c r="O339" s="31"/>
      <c r="P339" s="76"/>
      <c r="Q339" s="26"/>
      <c r="R339" s="32"/>
      <c r="S339" s="75"/>
      <c r="T339" s="33"/>
      <c r="U339" s="75"/>
      <c r="V339" s="158"/>
      <c r="W339" s="13"/>
      <c r="X339" s="1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159"/>
      <c r="AJ339" s="160"/>
      <c r="AK339" s="161"/>
      <c r="AL339" s="48"/>
      <c r="AM339" s="48"/>
      <c r="AN339" s="48"/>
      <c r="AO339" s="48"/>
      <c r="AP339" s="48"/>
      <c r="AQ339" s="48"/>
      <c r="AR339" s="48"/>
      <c r="AS339" s="18"/>
      <c r="AT339" s="18"/>
      <c r="AU339" s="18"/>
      <c r="AV339" s="18"/>
    </row>
    <row r="340" spans="1:48" ht="12.75" thickBot="1">
      <c r="A340" s="98" t="s">
        <v>134</v>
      </c>
      <c r="B340" s="79"/>
      <c r="C340" s="80"/>
      <c r="D340" s="79"/>
      <c r="E340" s="74"/>
      <c r="F340" s="26"/>
      <c r="G340" s="26"/>
      <c r="H340" s="28"/>
      <c r="I340" s="75"/>
      <c r="J340" s="29"/>
      <c r="K340" s="26"/>
      <c r="L340" s="99">
        <f>+L338/$D338</f>
        <v>172.06000000000003</v>
      </c>
      <c r="M340" s="26"/>
      <c r="N340" s="76"/>
      <c r="O340" s="31"/>
      <c r="P340" s="76"/>
      <c r="Q340" s="26"/>
      <c r="R340" s="32"/>
      <c r="S340" s="75"/>
      <c r="T340" s="99">
        <f>+T338/$D338</f>
        <v>190.7714827050834</v>
      </c>
      <c r="U340" s="75">
        <f>+T340-L340</f>
        <v>18.71148270508337</v>
      </c>
      <c r="V340" s="158"/>
      <c r="W340" s="13"/>
      <c r="X340" s="1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159"/>
      <c r="AJ340" s="160"/>
      <c r="AK340" s="161"/>
      <c r="AL340" s="48"/>
      <c r="AM340" s="48"/>
      <c r="AN340" s="48"/>
      <c r="AO340" s="48"/>
      <c r="AP340" s="48"/>
      <c r="AQ340" s="48"/>
      <c r="AR340" s="48"/>
      <c r="AS340" s="18"/>
      <c r="AT340" s="18"/>
      <c r="AU340" s="18"/>
      <c r="AV340" s="18"/>
    </row>
    <row r="341" spans="1:48" ht="12.75" thickTop="1">
      <c r="A341" s="73" t="s">
        <v>64</v>
      </c>
      <c r="B341" s="26">
        <v>1471</v>
      </c>
      <c r="C341" s="74"/>
      <c r="D341" s="26"/>
      <c r="E341" s="74"/>
      <c r="F341" s="26"/>
      <c r="G341" s="26"/>
      <c r="H341" s="28"/>
      <c r="I341" s="74"/>
      <c r="J341" s="29"/>
      <c r="K341" s="26"/>
      <c r="L341" s="29"/>
      <c r="M341" s="26"/>
      <c r="N341" s="76"/>
      <c r="O341" s="31"/>
      <c r="P341" s="76"/>
      <c r="Q341" s="26"/>
      <c r="R341" s="32"/>
      <c r="S341" s="157"/>
      <c r="T341" s="83"/>
      <c r="U341" s="158"/>
      <c r="V341" s="158"/>
      <c r="W341" s="13"/>
      <c r="X341" s="1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159"/>
      <c r="AJ341" s="160"/>
      <c r="AK341" s="161"/>
      <c r="AL341" s="48"/>
      <c r="AM341" s="48"/>
      <c r="AN341" s="48"/>
      <c r="AO341" s="48"/>
      <c r="AP341" s="48"/>
      <c r="AQ341" s="48"/>
      <c r="AR341" s="48"/>
      <c r="AS341" s="18"/>
      <c r="AT341" s="18"/>
      <c r="AU341" s="18"/>
      <c r="AV341" s="18"/>
    </row>
    <row r="342" spans="1:48">
      <c r="A342" s="78" t="s">
        <v>65</v>
      </c>
      <c r="B342" s="26"/>
      <c r="C342" s="74"/>
      <c r="D342" s="26">
        <v>16</v>
      </c>
      <c r="E342" s="74"/>
      <c r="F342" s="26"/>
      <c r="G342" s="26"/>
      <c r="H342" s="81">
        <v>120.48</v>
      </c>
      <c r="I342" s="74"/>
      <c r="J342" s="29">
        <f>+D342*H342</f>
        <v>1927.68</v>
      </c>
      <c r="K342" s="26"/>
      <c r="L342" s="29">
        <f>+J342</f>
        <v>1927.68</v>
      </c>
      <c r="M342" s="26"/>
      <c r="N342" s="76">
        <f>+D342</f>
        <v>16</v>
      </c>
      <c r="O342" s="31"/>
      <c r="P342" s="76"/>
      <c r="Q342" s="26"/>
      <c r="R342" s="82">
        <f>+H342*(1+$W$5)</f>
        <v>133.58217038421742</v>
      </c>
      <c r="S342" s="157"/>
      <c r="T342" s="83">
        <f>+N342*R342</f>
        <v>2137.3147261474787</v>
      </c>
      <c r="U342" s="158"/>
      <c r="V342" s="158"/>
      <c r="W342" s="13"/>
      <c r="X342" s="1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159"/>
      <c r="AJ342" s="160"/>
      <c r="AK342" s="161"/>
      <c r="AL342" s="48"/>
      <c r="AM342" s="48"/>
      <c r="AN342" s="48"/>
      <c r="AO342" s="48"/>
      <c r="AP342" s="48"/>
      <c r="AQ342" s="48"/>
      <c r="AR342" s="48"/>
      <c r="AS342" s="18"/>
      <c r="AT342" s="18"/>
      <c r="AU342" s="18"/>
      <c r="AV342" s="18"/>
    </row>
    <row r="343" spans="1:48">
      <c r="A343" s="78" t="s">
        <v>66</v>
      </c>
      <c r="B343" s="26"/>
      <c r="C343" s="74"/>
      <c r="D343" s="26"/>
      <c r="E343" s="74"/>
      <c r="F343" s="26">
        <v>72</v>
      </c>
      <c r="G343" s="26"/>
      <c r="H343" s="84">
        <v>6.23</v>
      </c>
      <c r="I343" s="74"/>
      <c r="J343" s="76">
        <f>+F343*H343</f>
        <v>448.56000000000006</v>
      </c>
      <c r="K343" s="26"/>
      <c r="L343" s="29">
        <f t="shared" ref="L343:L346" si="158">+J343</f>
        <v>448.56000000000006</v>
      </c>
      <c r="M343" s="26"/>
      <c r="N343" s="76"/>
      <c r="O343" s="31"/>
      <c r="P343" s="76">
        <f>+F343</f>
        <v>72</v>
      </c>
      <c r="Q343" s="26"/>
      <c r="R343" s="82">
        <f t="shared" ref="R343:R346" si="159">+H343*(1+$W$5)</f>
        <v>6.9075109685729963</v>
      </c>
      <c r="S343" s="157"/>
      <c r="T343" s="83">
        <f>+P343*R343</f>
        <v>497.3407897372557</v>
      </c>
      <c r="U343" s="158"/>
      <c r="V343" s="158"/>
      <c r="W343" s="13"/>
      <c r="X343" s="1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159"/>
      <c r="AJ343" s="160"/>
      <c r="AK343" s="161"/>
      <c r="AL343" s="48"/>
      <c r="AM343" s="48"/>
      <c r="AN343" s="48"/>
      <c r="AO343" s="48"/>
      <c r="AP343" s="48"/>
      <c r="AQ343" s="48"/>
      <c r="AR343" s="48"/>
      <c r="AS343" s="18"/>
      <c r="AT343" s="18"/>
      <c r="AU343" s="18"/>
      <c r="AV343" s="18"/>
    </row>
    <row r="344" spans="1:48">
      <c r="A344" s="78" t="s">
        <v>21</v>
      </c>
      <c r="B344" s="26"/>
      <c r="C344" s="74"/>
      <c r="D344" s="26"/>
      <c r="E344" s="74"/>
      <c r="F344" s="26">
        <v>225</v>
      </c>
      <c r="G344" s="26"/>
      <c r="H344" s="84">
        <v>5.68</v>
      </c>
      <c r="I344" s="74"/>
      <c r="J344" s="76">
        <f t="shared" ref="J344:J346" si="160">+F344*H344</f>
        <v>1278</v>
      </c>
      <c r="K344" s="26"/>
      <c r="L344" s="29">
        <f t="shared" si="158"/>
        <v>1278</v>
      </c>
      <c r="M344" s="26"/>
      <c r="N344" s="76"/>
      <c r="O344" s="31"/>
      <c r="P344" s="76">
        <f t="shared" ref="P344:P346" si="161">+F344</f>
        <v>225</v>
      </c>
      <c r="Q344" s="26"/>
      <c r="R344" s="82">
        <f t="shared" si="159"/>
        <v>6.2976986037712059</v>
      </c>
      <c r="S344" s="157"/>
      <c r="T344" s="83">
        <f t="shared" ref="T344:T346" si="162">+P344*R344</f>
        <v>1416.9821858485213</v>
      </c>
      <c r="U344" s="158"/>
      <c r="V344" s="158"/>
      <c r="W344" s="13"/>
      <c r="X344" s="1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159"/>
      <c r="AJ344" s="160"/>
      <c r="AK344" s="161"/>
      <c r="AL344" s="48"/>
      <c r="AM344" s="48"/>
      <c r="AN344" s="48"/>
      <c r="AO344" s="48"/>
      <c r="AP344" s="48"/>
      <c r="AQ344" s="48"/>
      <c r="AR344" s="48"/>
      <c r="AS344" s="18"/>
      <c r="AT344" s="18"/>
      <c r="AU344" s="18"/>
      <c r="AV344" s="18"/>
    </row>
    <row r="345" spans="1:48">
      <c r="A345" s="78" t="s">
        <v>22</v>
      </c>
      <c r="B345" s="26"/>
      <c r="C345" s="74"/>
      <c r="D345" s="26"/>
      <c r="E345" s="74"/>
      <c r="F345" s="26">
        <v>319</v>
      </c>
      <c r="G345" s="26"/>
      <c r="H345" s="84">
        <v>5.04</v>
      </c>
      <c r="I345" s="74"/>
      <c r="J345" s="76">
        <f t="shared" si="160"/>
        <v>1607.76</v>
      </c>
      <c r="K345" s="26"/>
      <c r="L345" s="29">
        <f t="shared" si="158"/>
        <v>1607.76</v>
      </c>
      <c r="M345" s="26"/>
      <c r="N345" s="76"/>
      <c r="O345" s="31"/>
      <c r="P345" s="76">
        <f t="shared" si="161"/>
        <v>319</v>
      </c>
      <c r="Q345" s="26"/>
      <c r="R345" s="82">
        <f t="shared" si="159"/>
        <v>5.5880987610927599</v>
      </c>
      <c r="S345" s="157"/>
      <c r="T345" s="83">
        <f t="shared" si="162"/>
        <v>1782.6035047885905</v>
      </c>
      <c r="U345" s="158"/>
      <c r="V345" s="158"/>
      <c r="W345" s="13"/>
      <c r="X345" s="1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159"/>
      <c r="AJ345" s="160"/>
      <c r="AK345" s="161"/>
      <c r="AL345" s="48"/>
      <c r="AM345" s="48"/>
      <c r="AN345" s="48"/>
      <c r="AO345" s="48"/>
      <c r="AP345" s="48"/>
      <c r="AQ345" s="48"/>
      <c r="AR345" s="48"/>
      <c r="AS345" s="18"/>
      <c r="AT345" s="18"/>
      <c r="AU345" s="18"/>
      <c r="AV345" s="18"/>
    </row>
    <row r="346" spans="1:48">
      <c r="A346" s="78" t="s">
        <v>23</v>
      </c>
      <c r="B346" s="26"/>
      <c r="C346" s="74"/>
      <c r="D346" s="26"/>
      <c r="E346" s="74"/>
      <c r="F346" s="26">
        <v>649</v>
      </c>
      <c r="G346" s="26"/>
      <c r="H346" s="84">
        <v>4.4000000000000004</v>
      </c>
      <c r="I346" s="74"/>
      <c r="J346" s="76">
        <f t="shared" si="160"/>
        <v>2855.6000000000004</v>
      </c>
      <c r="K346" s="26"/>
      <c r="L346" s="29">
        <f t="shared" si="158"/>
        <v>2855.6000000000004</v>
      </c>
      <c r="M346" s="26"/>
      <c r="N346" s="76"/>
      <c r="O346" s="31"/>
      <c r="P346" s="76">
        <f t="shared" si="161"/>
        <v>649</v>
      </c>
      <c r="Q346" s="26"/>
      <c r="R346" s="82">
        <f t="shared" si="159"/>
        <v>4.8784989184143148</v>
      </c>
      <c r="S346" s="157"/>
      <c r="T346" s="83">
        <f t="shared" si="162"/>
        <v>3166.1457980508903</v>
      </c>
      <c r="U346" s="158"/>
      <c r="V346" s="158"/>
      <c r="W346" s="13"/>
      <c r="X346" s="1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159"/>
      <c r="AJ346" s="160"/>
      <c r="AK346" s="161"/>
      <c r="AL346" s="48"/>
      <c r="AM346" s="48"/>
      <c r="AN346" s="48"/>
      <c r="AO346" s="48"/>
      <c r="AP346" s="48"/>
      <c r="AQ346" s="48"/>
      <c r="AR346" s="48"/>
      <c r="AS346" s="18"/>
      <c r="AT346" s="18"/>
      <c r="AU346" s="18"/>
      <c r="AV346" s="18"/>
    </row>
    <row r="347" spans="1:48" ht="12.75" thickBot="1">
      <c r="A347" s="151" t="s">
        <v>67</v>
      </c>
      <c r="B347" s="103">
        <f>SUM(B341:B346)</f>
        <v>1471</v>
      </c>
      <c r="C347" s="90"/>
      <c r="D347" s="103">
        <f>SUM(D341:D346)</f>
        <v>16</v>
      </c>
      <c r="E347" s="90"/>
      <c r="F347" s="103">
        <f>SUM(F341:F346)</f>
        <v>1265</v>
      </c>
      <c r="G347" s="62"/>
      <c r="H347" s="64"/>
      <c r="I347" s="63"/>
      <c r="J347" s="104">
        <f>SUM(J342:J346)</f>
        <v>8117.6</v>
      </c>
      <c r="K347" s="62"/>
      <c r="L347" s="104">
        <f>SUM(L342:L346)</f>
        <v>8117.6</v>
      </c>
      <c r="M347" s="62"/>
      <c r="N347" s="103">
        <f>SUM(N341:N346)</f>
        <v>16</v>
      </c>
      <c r="O347" s="67"/>
      <c r="P347" s="103">
        <f>SUM(P341:P346)</f>
        <v>1265</v>
      </c>
      <c r="Q347" s="62"/>
      <c r="R347" s="82"/>
      <c r="S347" s="90"/>
      <c r="T347" s="104">
        <f>SUM(T342:T346)</f>
        <v>9000.3870045727381</v>
      </c>
      <c r="U347" s="90"/>
      <c r="V347" s="158"/>
      <c r="W347" s="13"/>
      <c r="X347" s="1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159"/>
      <c r="AJ347" s="160"/>
      <c r="AK347" s="161"/>
      <c r="AL347" s="48"/>
      <c r="AM347" s="48"/>
      <c r="AN347" s="48"/>
      <c r="AO347" s="48"/>
      <c r="AP347" s="48"/>
      <c r="AQ347" s="48"/>
      <c r="AR347" s="48"/>
      <c r="AS347" s="18"/>
      <c r="AT347" s="18"/>
      <c r="AU347" s="18"/>
      <c r="AV347" s="18"/>
    </row>
    <row r="348" spans="1:48" ht="12.75" thickTop="1">
      <c r="A348" s="151"/>
      <c r="B348" s="79"/>
      <c r="C348" s="80"/>
      <c r="D348" s="79"/>
      <c r="E348" s="74"/>
      <c r="F348" s="26"/>
      <c r="G348" s="26"/>
      <c r="H348" s="28"/>
      <c r="I348" s="75"/>
      <c r="J348" s="29"/>
      <c r="K348" s="26"/>
      <c r="L348" s="29"/>
      <c r="M348" s="26"/>
      <c r="N348" s="76"/>
      <c r="O348" s="31"/>
      <c r="P348" s="76"/>
      <c r="Q348" s="26"/>
      <c r="R348" s="32"/>
      <c r="S348" s="75"/>
      <c r="T348" s="33"/>
      <c r="U348" s="75"/>
      <c r="V348" s="158"/>
      <c r="W348" s="13"/>
      <c r="X348" s="1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159"/>
      <c r="AJ348" s="160"/>
      <c r="AK348" s="161"/>
      <c r="AL348" s="48"/>
      <c r="AM348" s="48"/>
      <c r="AN348" s="48"/>
      <c r="AO348" s="48"/>
      <c r="AP348" s="48"/>
      <c r="AQ348" s="48"/>
      <c r="AR348" s="48"/>
      <c r="AS348" s="18"/>
      <c r="AT348" s="18"/>
      <c r="AU348" s="18"/>
      <c r="AV348" s="18"/>
    </row>
    <row r="349" spans="1:48" ht="12.75" thickBot="1">
      <c r="A349" s="152" t="s">
        <v>68</v>
      </c>
      <c r="B349" s="79"/>
      <c r="C349" s="80"/>
      <c r="D349" s="79"/>
      <c r="E349" s="74"/>
      <c r="F349" s="26"/>
      <c r="G349" s="26"/>
      <c r="H349" s="28"/>
      <c r="I349" s="75"/>
      <c r="J349" s="29"/>
      <c r="K349" s="26"/>
      <c r="L349" s="99">
        <f>+L347/$D347</f>
        <v>507.35</v>
      </c>
      <c r="M349" s="26"/>
      <c r="N349" s="76"/>
      <c r="O349" s="31"/>
      <c r="P349" s="76"/>
      <c r="Q349" s="26"/>
      <c r="R349" s="32"/>
      <c r="S349" s="75"/>
      <c r="T349" s="99">
        <f>+T347/$D347</f>
        <v>562.52418778579613</v>
      </c>
      <c r="U349" s="75">
        <f>+T349-L349</f>
        <v>55.174187785796107</v>
      </c>
      <c r="V349" s="158"/>
      <c r="W349" s="13"/>
      <c r="X349" s="1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159"/>
      <c r="AJ349" s="160"/>
      <c r="AK349" s="161"/>
      <c r="AL349" s="48"/>
      <c r="AM349" s="48"/>
      <c r="AN349" s="48"/>
      <c r="AO349" s="48"/>
      <c r="AP349" s="48"/>
      <c r="AQ349" s="48"/>
      <c r="AR349" s="48"/>
      <c r="AS349" s="18"/>
      <c r="AT349" s="18"/>
      <c r="AU349" s="18"/>
      <c r="AV349" s="18"/>
    </row>
    <row r="350" spans="1:48" ht="12.75" thickTop="1">
      <c r="A350" s="73" t="s">
        <v>135</v>
      </c>
      <c r="B350" s="26">
        <v>4157</v>
      </c>
      <c r="C350" s="74"/>
      <c r="D350" s="26"/>
      <c r="E350" s="74"/>
      <c r="F350" s="26"/>
      <c r="G350" s="26"/>
      <c r="H350" s="28"/>
      <c r="I350" s="74"/>
      <c r="J350" s="29"/>
      <c r="K350" s="26"/>
      <c r="L350" s="29"/>
      <c r="M350" s="26"/>
      <c r="N350" s="76"/>
      <c r="O350" s="31"/>
      <c r="P350" s="76"/>
      <c r="Q350" s="26"/>
      <c r="R350" s="32"/>
      <c r="S350" s="157"/>
      <c r="T350" s="83"/>
      <c r="U350" s="158"/>
      <c r="V350" s="158"/>
      <c r="W350" s="13"/>
      <c r="X350" s="1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159"/>
      <c r="AJ350" s="160"/>
      <c r="AK350" s="161"/>
      <c r="AL350" s="48"/>
      <c r="AM350" s="48"/>
      <c r="AN350" s="48"/>
      <c r="AO350" s="48"/>
      <c r="AP350" s="48"/>
      <c r="AQ350" s="48"/>
      <c r="AR350" s="48"/>
      <c r="AS350" s="18"/>
      <c r="AT350" s="18"/>
      <c r="AU350" s="18"/>
      <c r="AV350" s="18"/>
    </row>
    <row r="351" spans="1:48">
      <c r="A351" s="78" t="s">
        <v>65</v>
      </c>
      <c r="B351" s="26"/>
      <c r="C351" s="74"/>
      <c r="D351" s="26">
        <v>59.999999999999915</v>
      </c>
      <c r="E351" s="74"/>
      <c r="F351" s="26"/>
      <c r="G351" s="26"/>
      <c r="H351" s="81">
        <v>120.48</v>
      </c>
      <c r="I351" s="74"/>
      <c r="J351" s="29">
        <f>+D351*H351</f>
        <v>7228.7999999999902</v>
      </c>
      <c r="K351" s="26"/>
      <c r="L351" s="29">
        <f>+J351</f>
        <v>7228.7999999999902</v>
      </c>
      <c r="M351" s="26"/>
      <c r="N351" s="76">
        <f>+D351</f>
        <v>59.999999999999915</v>
      </c>
      <c r="O351" s="31"/>
      <c r="P351" s="76"/>
      <c r="Q351" s="26"/>
      <c r="R351" s="82">
        <f>+H351*(1+$W$5)</f>
        <v>133.58217038421742</v>
      </c>
      <c r="S351" s="157"/>
      <c r="T351" s="83">
        <f>+N351*R351</f>
        <v>8014.9302230530338</v>
      </c>
      <c r="U351" s="158"/>
      <c r="V351" s="158"/>
      <c r="W351" s="13"/>
      <c r="X351" s="1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159"/>
      <c r="AJ351" s="160"/>
      <c r="AK351" s="161"/>
      <c r="AL351" s="48"/>
      <c r="AM351" s="48"/>
      <c r="AN351" s="48"/>
      <c r="AO351" s="48"/>
      <c r="AP351" s="48"/>
      <c r="AQ351" s="48"/>
      <c r="AR351" s="48"/>
      <c r="AS351" s="18"/>
      <c r="AT351" s="18"/>
      <c r="AU351" s="18"/>
      <c r="AV351" s="18"/>
    </row>
    <row r="352" spans="1:48">
      <c r="A352" s="78" t="s">
        <v>66</v>
      </c>
      <c r="B352" s="26"/>
      <c r="C352" s="74"/>
      <c r="D352" s="26"/>
      <c r="E352" s="74"/>
      <c r="F352" s="26">
        <v>287.99999999999989</v>
      </c>
      <c r="G352" s="26"/>
      <c r="H352" s="84">
        <v>6.23</v>
      </c>
      <c r="I352" s="74"/>
      <c r="J352" s="76">
        <f>+F352*H352</f>
        <v>1794.2399999999993</v>
      </c>
      <c r="K352" s="26"/>
      <c r="L352" s="29">
        <f t="shared" ref="L352:L355" si="163">+J352</f>
        <v>1794.2399999999993</v>
      </c>
      <c r="M352" s="26"/>
      <c r="N352" s="76"/>
      <c r="O352" s="31"/>
      <c r="P352" s="76">
        <f>+F352</f>
        <v>287.99999999999989</v>
      </c>
      <c r="Q352" s="26"/>
      <c r="R352" s="82">
        <f t="shared" ref="R352:R355" si="164">+H352*(1+$W$5)</f>
        <v>6.9075109685729963</v>
      </c>
      <c r="S352" s="157"/>
      <c r="T352" s="83">
        <f>+P352*R352</f>
        <v>1989.3631589490221</v>
      </c>
      <c r="U352" s="158"/>
      <c r="V352" s="158"/>
      <c r="W352" s="13"/>
      <c r="X352" s="1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159"/>
      <c r="AJ352" s="160"/>
      <c r="AK352" s="161"/>
      <c r="AL352" s="48"/>
      <c r="AM352" s="48"/>
      <c r="AN352" s="48"/>
      <c r="AO352" s="48"/>
      <c r="AP352" s="48"/>
      <c r="AQ352" s="48"/>
      <c r="AR352" s="48"/>
      <c r="AS352" s="18"/>
      <c r="AT352" s="18"/>
      <c r="AU352" s="18"/>
      <c r="AV352" s="18"/>
    </row>
    <row r="353" spans="1:48">
      <c r="A353" s="78" t="s">
        <v>21</v>
      </c>
      <c r="B353" s="26"/>
      <c r="C353" s="74"/>
      <c r="D353" s="26"/>
      <c r="E353" s="74"/>
      <c r="F353" s="26">
        <v>846</v>
      </c>
      <c r="G353" s="26"/>
      <c r="H353" s="84">
        <v>5.68</v>
      </c>
      <c r="I353" s="74"/>
      <c r="J353" s="76">
        <f t="shared" ref="J353:J355" si="165">+F353*H353</f>
        <v>4805.28</v>
      </c>
      <c r="K353" s="26"/>
      <c r="L353" s="29">
        <f t="shared" si="163"/>
        <v>4805.28</v>
      </c>
      <c r="M353" s="26"/>
      <c r="N353" s="76"/>
      <c r="O353" s="31"/>
      <c r="P353" s="76">
        <f t="shared" ref="P353:P355" si="166">+F353</f>
        <v>846</v>
      </c>
      <c r="Q353" s="26"/>
      <c r="R353" s="82">
        <f t="shared" si="164"/>
        <v>6.2976986037712059</v>
      </c>
      <c r="S353" s="157"/>
      <c r="T353" s="83">
        <f t="shared" ref="T353:T355" si="167">+P353*R353</f>
        <v>5327.8530187904398</v>
      </c>
      <c r="U353" s="158"/>
      <c r="V353" s="158"/>
      <c r="W353" s="13"/>
      <c r="X353" s="1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159"/>
      <c r="AJ353" s="160"/>
      <c r="AK353" s="161"/>
      <c r="AL353" s="48"/>
      <c r="AM353" s="48"/>
      <c r="AN353" s="48"/>
      <c r="AO353" s="48"/>
      <c r="AP353" s="48"/>
      <c r="AQ353" s="48"/>
      <c r="AR353" s="48"/>
      <c r="AS353" s="18"/>
      <c r="AT353" s="18"/>
      <c r="AU353" s="18"/>
      <c r="AV353" s="18"/>
    </row>
    <row r="354" spans="1:48">
      <c r="A354" s="78" t="s">
        <v>22</v>
      </c>
      <c r="B354" s="26"/>
      <c r="C354" s="74"/>
      <c r="D354" s="26"/>
      <c r="E354" s="74"/>
      <c r="F354" s="26">
        <v>1395</v>
      </c>
      <c r="G354" s="26"/>
      <c r="H354" s="84">
        <v>5.04</v>
      </c>
      <c r="I354" s="74"/>
      <c r="J354" s="76">
        <f t="shared" si="165"/>
        <v>7030.8</v>
      </c>
      <c r="K354" s="26"/>
      <c r="L354" s="29">
        <f t="shared" si="163"/>
        <v>7030.8</v>
      </c>
      <c r="M354" s="26"/>
      <c r="N354" s="76"/>
      <c r="O354" s="31"/>
      <c r="P354" s="76">
        <f t="shared" si="166"/>
        <v>1395</v>
      </c>
      <c r="Q354" s="26"/>
      <c r="R354" s="82">
        <f t="shared" si="164"/>
        <v>5.5880987610927599</v>
      </c>
      <c r="S354" s="157"/>
      <c r="T354" s="83">
        <f t="shared" si="167"/>
        <v>7795.3977717243997</v>
      </c>
      <c r="U354" s="158"/>
      <c r="V354" s="158"/>
      <c r="W354" s="6"/>
      <c r="X354" s="6"/>
      <c r="Z354" s="3"/>
      <c r="AA354" s="3"/>
      <c r="AB354" s="3"/>
      <c r="AC354" s="3"/>
      <c r="AD354" s="3"/>
      <c r="AE354" s="3"/>
      <c r="AF354" s="3"/>
      <c r="AG354" s="3"/>
      <c r="AH354" s="3"/>
      <c r="AI354" s="159"/>
      <c r="AJ354" s="160"/>
      <c r="AK354" s="161"/>
      <c r="AL354" s="48"/>
      <c r="AM354" s="48"/>
      <c r="AN354" s="48"/>
      <c r="AO354" s="48"/>
      <c r="AP354" s="48"/>
      <c r="AQ354" s="48"/>
      <c r="AR354" s="48"/>
      <c r="AS354" s="18"/>
      <c r="AT354" s="18"/>
      <c r="AU354" s="18"/>
      <c r="AV354" s="18"/>
    </row>
    <row r="355" spans="1:48" ht="11.25" customHeight="1">
      <c r="A355" s="78" t="s">
        <v>23</v>
      </c>
      <c r="B355" s="26"/>
      <c r="C355" s="74"/>
      <c r="D355" s="26"/>
      <c r="E355" s="74"/>
      <c r="F355" s="26">
        <v>947.00000000000023</v>
      </c>
      <c r="G355" s="26"/>
      <c r="H355" s="84">
        <v>4.4000000000000004</v>
      </c>
      <c r="I355" s="74"/>
      <c r="J355" s="76">
        <f t="shared" si="165"/>
        <v>4166.8000000000011</v>
      </c>
      <c r="K355" s="26"/>
      <c r="L355" s="29">
        <f t="shared" si="163"/>
        <v>4166.8000000000011</v>
      </c>
      <c r="M355" s="26"/>
      <c r="N355" s="76"/>
      <c r="O355" s="31"/>
      <c r="P355" s="76">
        <f t="shared" si="166"/>
        <v>947.00000000000023</v>
      </c>
      <c r="Q355" s="26"/>
      <c r="R355" s="82">
        <f t="shared" si="164"/>
        <v>4.8784989184143148</v>
      </c>
      <c r="S355" s="157"/>
      <c r="T355" s="83">
        <f t="shared" si="167"/>
        <v>4619.9384757383568</v>
      </c>
      <c r="U355" s="158"/>
      <c r="V355" s="158"/>
      <c r="W355" s="6"/>
      <c r="X355" s="6"/>
      <c r="Z355" s="3"/>
      <c r="AA355" s="3"/>
      <c r="AB355" s="3"/>
      <c r="AC355" s="3"/>
      <c r="AD355" s="3"/>
      <c r="AE355" s="3"/>
      <c r="AF355" s="3"/>
      <c r="AG355" s="3"/>
      <c r="AH355" s="3"/>
      <c r="AI355" s="159"/>
      <c r="AJ355" s="160"/>
      <c r="AK355" s="161"/>
      <c r="AL355" s="48"/>
      <c r="AM355" s="48"/>
      <c r="AN355" s="48"/>
      <c r="AO355" s="48"/>
      <c r="AP355" s="48"/>
      <c r="AQ355" s="48"/>
      <c r="AR355" s="48"/>
      <c r="AS355" s="18"/>
      <c r="AT355" s="18"/>
      <c r="AU355" s="18"/>
      <c r="AV355" s="18"/>
    </row>
    <row r="356" spans="1:48" ht="12.75" thickBot="1">
      <c r="A356" s="151" t="s">
        <v>136</v>
      </c>
      <c r="B356" s="103">
        <f>SUM(B350:B355)</f>
        <v>4157</v>
      </c>
      <c r="C356" s="90"/>
      <c r="D356" s="103">
        <f>SUM(D350:D355)</f>
        <v>59.999999999999915</v>
      </c>
      <c r="E356" s="90"/>
      <c r="F356" s="103">
        <f>SUM(F350:F355)</f>
        <v>3476</v>
      </c>
      <c r="G356" s="62"/>
      <c r="H356" s="64"/>
      <c r="I356" s="63"/>
      <c r="J356" s="104">
        <f>SUM(J351:J355)</f>
        <v>25025.919999999991</v>
      </c>
      <c r="K356" s="62"/>
      <c r="L356" s="104">
        <f>SUM(L351:L355)</f>
        <v>25025.919999999991</v>
      </c>
      <c r="M356" s="62"/>
      <c r="N356" s="103">
        <f>SUM(N350:N355)</f>
        <v>59.999999999999915</v>
      </c>
      <c r="O356" s="67"/>
      <c r="P356" s="103">
        <f>SUM(P350:P355)</f>
        <v>3476</v>
      </c>
      <c r="Q356" s="62"/>
      <c r="R356" s="82"/>
      <c r="S356" s="90"/>
      <c r="T356" s="104">
        <f>SUM(T351:T355)</f>
        <v>27747.482648255249</v>
      </c>
      <c r="U356" s="90"/>
      <c r="V356" s="158"/>
      <c r="W356" s="6"/>
      <c r="X356" s="6"/>
      <c r="Z356" s="3"/>
      <c r="AA356" s="3"/>
      <c r="AB356" s="3"/>
      <c r="AC356" s="3"/>
      <c r="AD356" s="3"/>
      <c r="AE356" s="3"/>
      <c r="AF356" s="3"/>
      <c r="AG356" s="3"/>
      <c r="AH356" s="3"/>
      <c r="AI356" s="159"/>
      <c r="AJ356" s="160"/>
      <c r="AK356" s="161"/>
      <c r="AL356" s="48"/>
      <c r="AM356" s="48"/>
      <c r="AN356" s="48"/>
      <c r="AO356" s="48"/>
      <c r="AP356" s="48"/>
      <c r="AQ356" s="48"/>
      <c r="AR356" s="48"/>
      <c r="AS356" s="18"/>
      <c r="AT356" s="18"/>
      <c r="AU356" s="18"/>
      <c r="AV356" s="18"/>
    </row>
    <row r="357" spans="1:48" ht="12.75" thickTop="1">
      <c r="A357" s="151"/>
      <c r="B357" s="79"/>
      <c r="C357" s="80"/>
      <c r="D357" s="79"/>
      <c r="E357" s="74"/>
      <c r="F357" s="26"/>
      <c r="G357" s="26"/>
      <c r="H357" s="28"/>
      <c r="I357" s="75"/>
      <c r="J357" s="29"/>
      <c r="K357" s="26"/>
      <c r="L357" s="29"/>
      <c r="M357" s="26"/>
      <c r="N357" s="76"/>
      <c r="O357" s="31"/>
      <c r="P357" s="76"/>
      <c r="Q357" s="26"/>
      <c r="R357" s="32"/>
      <c r="S357" s="75"/>
      <c r="T357" s="33"/>
      <c r="U357" s="75"/>
      <c r="V357" s="158"/>
      <c r="W357" s="165"/>
      <c r="X357" s="166"/>
      <c r="Y357" s="167"/>
      <c r="Z357" s="3"/>
      <c r="AA357" s="3"/>
      <c r="AB357" s="3"/>
      <c r="AC357" s="3"/>
      <c r="AD357" s="3"/>
      <c r="AE357" s="3"/>
      <c r="AF357" s="3"/>
      <c r="AG357" s="3"/>
      <c r="AH357" s="3"/>
      <c r="AI357" s="159"/>
      <c r="AJ357" s="160"/>
      <c r="AK357" s="161"/>
      <c r="AL357" s="48"/>
      <c r="AM357" s="48"/>
      <c r="AN357" s="48"/>
      <c r="AO357" s="48"/>
      <c r="AP357" s="48"/>
      <c r="AQ357" s="48"/>
      <c r="AR357" s="48"/>
      <c r="AS357" s="18"/>
      <c r="AT357" s="18"/>
      <c r="AU357" s="18"/>
      <c r="AV357" s="18"/>
    </row>
    <row r="358" spans="1:48" s="172" customFormat="1" ht="12.75" thickBot="1">
      <c r="A358" s="168" t="s">
        <v>137</v>
      </c>
      <c r="B358" s="79"/>
      <c r="C358" s="80"/>
      <c r="D358" s="79"/>
      <c r="E358" s="74"/>
      <c r="F358" s="26"/>
      <c r="G358" s="26"/>
      <c r="H358" s="28"/>
      <c r="I358" s="75"/>
      <c r="J358" s="29"/>
      <c r="K358" s="26"/>
      <c r="L358" s="99">
        <f>+L356/$D356</f>
        <v>417.0986666666671</v>
      </c>
      <c r="M358" s="26"/>
      <c r="N358" s="76"/>
      <c r="O358" s="31"/>
      <c r="P358" s="76"/>
      <c r="Q358" s="26"/>
      <c r="R358" s="32"/>
      <c r="S358" s="75"/>
      <c r="T358" s="99">
        <f>+T356/$D356</f>
        <v>462.45804413758816</v>
      </c>
      <c r="U358" s="75">
        <f>+T358-L358</f>
        <v>45.359377470921061</v>
      </c>
      <c r="V358" s="18"/>
      <c r="W358" s="169"/>
      <c r="X358" s="170"/>
      <c r="Y358" s="171"/>
      <c r="Z358" s="46"/>
      <c r="AA358" s="46"/>
      <c r="AB358" s="46"/>
      <c r="AC358" s="46"/>
      <c r="AD358" s="46"/>
      <c r="AE358" s="46"/>
      <c r="AF358" s="46"/>
      <c r="AG358" s="46"/>
      <c r="AH358" s="46"/>
      <c r="AI358" s="159"/>
      <c r="AJ358" s="160"/>
      <c r="AK358" s="161"/>
      <c r="AL358" s="48"/>
      <c r="AM358" s="48"/>
      <c r="AN358" s="48"/>
      <c r="AO358" s="48"/>
      <c r="AP358" s="48"/>
      <c r="AQ358" s="48"/>
      <c r="AR358" s="48"/>
      <c r="AS358" s="18"/>
      <c r="AT358" s="18"/>
      <c r="AU358" s="18"/>
      <c r="AV358" s="18"/>
    </row>
    <row r="359" spans="1:48" s="172" customFormat="1" ht="12.75" thickTop="1">
      <c r="B359" s="67"/>
      <c r="C359" s="48"/>
      <c r="D359" s="67"/>
      <c r="E359" s="48"/>
      <c r="F359" s="67"/>
      <c r="G359" s="31"/>
      <c r="H359" s="32"/>
      <c r="I359" s="48"/>
      <c r="J359" s="173"/>
      <c r="K359" s="31"/>
      <c r="L359" s="173"/>
      <c r="M359" s="31"/>
      <c r="N359" s="124"/>
      <c r="O359" s="31"/>
      <c r="P359" s="124"/>
      <c r="Q359" s="67"/>
      <c r="R359" s="68"/>
      <c r="S359" s="174"/>
      <c r="T359" s="174"/>
      <c r="U359" s="18"/>
      <c r="V359" s="18"/>
      <c r="W359" s="169"/>
      <c r="X359" s="170"/>
      <c r="Y359" s="171"/>
      <c r="Z359" s="46"/>
      <c r="AA359" s="46"/>
      <c r="AB359" s="46"/>
      <c r="AC359" s="46"/>
      <c r="AD359" s="46"/>
      <c r="AE359" s="46"/>
      <c r="AF359" s="46"/>
      <c r="AG359" s="46"/>
      <c r="AH359" s="46"/>
      <c r="AI359" s="159"/>
      <c r="AJ359" s="160"/>
      <c r="AK359" s="161"/>
      <c r="AL359" s="48"/>
      <c r="AM359" s="48"/>
      <c r="AN359" s="48"/>
      <c r="AO359" s="48"/>
      <c r="AP359" s="48"/>
      <c r="AQ359" s="48"/>
      <c r="AR359" s="48"/>
      <c r="AS359" s="18"/>
      <c r="AT359" s="18"/>
      <c r="AU359" s="18"/>
      <c r="AV359" s="18"/>
    </row>
    <row r="360" spans="1:48" s="172" customFormat="1">
      <c r="A360" s="168"/>
      <c r="B360" s="67"/>
      <c r="C360" s="48"/>
      <c r="D360" s="67"/>
      <c r="E360" s="48"/>
      <c r="F360" s="67"/>
      <c r="G360" s="31"/>
      <c r="H360" s="32"/>
      <c r="I360" s="48"/>
      <c r="J360" s="173"/>
      <c r="K360" s="31"/>
      <c r="L360" s="173"/>
      <c r="M360" s="31"/>
      <c r="N360" s="124"/>
      <c r="O360" s="31"/>
      <c r="P360" s="124"/>
      <c r="Q360" s="67"/>
      <c r="R360" s="68"/>
      <c r="S360" s="174"/>
      <c r="T360" s="174"/>
      <c r="U360" s="18"/>
      <c r="V360" s="18"/>
      <c r="W360" s="169"/>
      <c r="X360" s="170"/>
      <c r="Y360" s="171"/>
      <c r="Z360" s="46"/>
      <c r="AA360" s="46"/>
      <c r="AB360" s="46"/>
      <c r="AC360" s="46"/>
      <c r="AD360" s="46"/>
      <c r="AE360" s="46"/>
      <c r="AF360" s="46"/>
      <c r="AG360" s="46"/>
      <c r="AH360" s="46"/>
      <c r="AI360" s="159"/>
      <c r="AJ360" s="160"/>
      <c r="AK360" s="161"/>
      <c r="AL360" s="48"/>
      <c r="AM360" s="48"/>
      <c r="AN360" s="48"/>
      <c r="AO360" s="48"/>
      <c r="AP360" s="48"/>
      <c r="AQ360" s="48"/>
      <c r="AR360" s="48"/>
      <c r="AS360" s="18"/>
      <c r="AT360" s="18"/>
      <c r="AU360" s="18"/>
      <c r="AV360" s="18"/>
    </row>
    <row r="361" spans="1:48">
      <c r="A361" s="114" t="s">
        <v>138</v>
      </c>
      <c r="B361" s="79">
        <v>0</v>
      </c>
      <c r="C361" s="80"/>
      <c r="D361" s="79">
        <v>648</v>
      </c>
      <c r="E361" s="74"/>
      <c r="F361" s="26">
        <v>0</v>
      </c>
      <c r="G361" s="26"/>
      <c r="H361" s="115">
        <v>4.43</v>
      </c>
      <c r="I361" s="75"/>
      <c r="J361" s="29">
        <v>2870.64</v>
      </c>
      <c r="K361" s="26"/>
      <c r="L361" s="29">
        <v>2870.64</v>
      </c>
      <c r="M361" s="26"/>
      <c r="N361" s="76">
        <v>648</v>
      </c>
      <c r="O361" s="31"/>
      <c r="P361" s="76"/>
      <c r="Q361" s="26"/>
      <c r="R361" s="82">
        <f>+H361*(1+$W$5)</f>
        <v>4.9117614110398664</v>
      </c>
      <c r="S361" s="74"/>
      <c r="T361" s="83">
        <f>+N361*R361</f>
        <v>3182.8213943538335</v>
      </c>
      <c r="U361" s="74"/>
      <c r="V361" s="74"/>
      <c r="W361" s="47"/>
      <c r="X361" s="45"/>
      <c r="Y361" s="46"/>
      <c r="Z361" s="46"/>
      <c r="AA361" s="46"/>
      <c r="AB361" s="46"/>
      <c r="AC361" s="46"/>
      <c r="AD361" s="111"/>
      <c r="AE361" s="112"/>
      <c r="AF361" s="19"/>
      <c r="AG361" s="113"/>
      <c r="AH361" s="48"/>
      <c r="AI361" s="48"/>
      <c r="AJ361" s="19"/>
      <c r="AK361" s="18"/>
      <c r="AL361" s="48"/>
      <c r="AM361" s="18"/>
      <c r="AN361" s="48"/>
      <c r="AO361" s="18"/>
      <c r="AP361" s="18"/>
      <c r="AQ361" s="18"/>
      <c r="AR361" s="18"/>
      <c r="AS361" s="18"/>
      <c r="AT361" s="18"/>
      <c r="AU361" s="18"/>
      <c r="AV361" s="18"/>
    </row>
    <row r="362" spans="1:48" ht="12.75" thickBot="1">
      <c r="A362" s="88" t="s">
        <v>139</v>
      </c>
      <c r="B362" s="103">
        <f>SUM(B361)</f>
        <v>0</v>
      </c>
      <c r="C362" s="80"/>
      <c r="D362" s="103">
        <f>SUM(D361)</f>
        <v>648</v>
      </c>
      <c r="E362" s="74"/>
      <c r="F362" s="103">
        <f>SUM(F361)</f>
        <v>0</v>
      </c>
      <c r="G362" s="26"/>
      <c r="H362" s="28"/>
      <c r="I362" s="75"/>
      <c r="J362" s="91">
        <f>J361</f>
        <v>2870.64</v>
      </c>
      <c r="K362" s="26"/>
      <c r="L362" s="91">
        <f>+L361</f>
        <v>2870.64</v>
      </c>
      <c r="M362" s="26"/>
      <c r="N362" s="108">
        <f>+N361</f>
        <v>648</v>
      </c>
      <c r="O362" s="31"/>
      <c r="P362" s="108">
        <f>+P361</f>
        <v>0</v>
      </c>
      <c r="Q362" s="26"/>
      <c r="R362" s="32"/>
      <c r="S362" s="74"/>
      <c r="T362" s="91">
        <f>+T361</f>
        <v>3182.8213943538335</v>
      </c>
      <c r="U362" s="74"/>
      <c r="V362" s="74"/>
      <c r="W362" s="47"/>
      <c r="X362" s="45"/>
      <c r="Y362" s="46"/>
      <c r="Z362" s="46"/>
      <c r="AA362" s="46"/>
      <c r="AB362" s="46"/>
      <c r="AC362" s="46"/>
      <c r="AD362" s="111"/>
      <c r="AE362" s="112"/>
      <c r="AF362" s="19"/>
      <c r="AG362" s="113"/>
      <c r="AH362" s="48"/>
      <c r="AI362" s="48"/>
      <c r="AJ362" s="19"/>
      <c r="AK362" s="18"/>
      <c r="AL362" s="48"/>
      <c r="AM362" s="18"/>
      <c r="AN362" s="48"/>
      <c r="AO362" s="18"/>
      <c r="AP362" s="18"/>
      <c r="AQ362" s="18"/>
      <c r="AR362" s="18"/>
      <c r="AS362" s="18"/>
      <c r="AT362" s="18"/>
      <c r="AU362" s="18"/>
      <c r="AV362" s="18"/>
    </row>
    <row r="363" spans="1:48" ht="12.75" thickTop="1">
      <c r="A363" s="114"/>
      <c r="B363" s="79"/>
      <c r="C363" s="80"/>
      <c r="D363" s="79"/>
      <c r="E363" s="74"/>
      <c r="F363" s="26"/>
      <c r="G363" s="26"/>
      <c r="H363" s="28"/>
      <c r="I363" s="75"/>
      <c r="J363" s="29"/>
      <c r="K363" s="26"/>
      <c r="L363" s="29"/>
      <c r="M363" s="26"/>
      <c r="N363" s="76"/>
      <c r="O363" s="31"/>
      <c r="P363" s="76"/>
      <c r="Q363" s="26"/>
      <c r="R363" s="32"/>
      <c r="S363" s="74"/>
      <c r="T363" s="77"/>
      <c r="U363" s="74"/>
      <c r="V363" s="74"/>
      <c r="W363" s="47"/>
      <c r="X363" s="45"/>
      <c r="Y363" s="46"/>
      <c r="Z363" s="46"/>
      <c r="AA363" s="46"/>
      <c r="AB363" s="46"/>
      <c r="AC363" s="46"/>
      <c r="AD363" s="111"/>
      <c r="AE363" s="112"/>
      <c r="AF363" s="19"/>
      <c r="AG363" s="113"/>
      <c r="AH363" s="48"/>
      <c r="AI363" s="48"/>
      <c r="AJ363" s="19"/>
      <c r="AK363" s="18"/>
      <c r="AL363" s="48"/>
      <c r="AM363" s="18"/>
      <c r="AN363" s="48"/>
      <c r="AO363" s="18"/>
      <c r="AP363" s="18"/>
      <c r="AQ363" s="18"/>
      <c r="AR363" s="18"/>
      <c r="AS363" s="18"/>
      <c r="AT363" s="18"/>
      <c r="AU363" s="18"/>
      <c r="AV363" s="18"/>
    </row>
    <row r="364" spans="1:48" ht="12.75" thickBot="1">
      <c r="A364" s="98" t="s">
        <v>140</v>
      </c>
      <c r="B364" s="79"/>
      <c r="C364" s="80"/>
      <c r="D364" s="79"/>
      <c r="E364" s="74"/>
      <c r="F364" s="26"/>
      <c r="G364" s="26"/>
      <c r="H364" s="28"/>
      <c r="I364" s="75"/>
      <c r="J364" s="29"/>
      <c r="K364" s="26"/>
      <c r="L364" s="99">
        <f>+L362/$D362</f>
        <v>4.43</v>
      </c>
      <c r="M364" s="26"/>
      <c r="N364" s="76"/>
      <c r="O364" s="31"/>
      <c r="P364" s="76"/>
      <c r="Q364" s="26"/>
      <c r="R364" s="32"/>
      <c r="S364" s="75"/>
      <c r="T364" s="99">
        <f>+T362/$D362</f>
        <v>4.9117614110398664</v>
      </c>
      <c r="U364" s="75">
        <f>+T364-L364</f>
        <v>0.48176141103986669</v>
      </c>
      <c r="V364" s="74"/>
      <c r="W364" s="47"/>
      <c r="X364" s="45"/>
      <c r="Y364" s="46"/>
      <c r="Z364" s="46"/>
      <c r="AA364" s="46"/>
      <c r="AB364" s="46"/>
      <c r="AC364" s="46"/>
      <c r="AD364" s="111"/>
      <c r="AE364" s="112"/>
      <c r="AF364" s="19"/>
      <c r="AG364" s="113"/>
      <c r="AH364" s="48"/>
      <c r="AI364" s="48"/>
      <c r="AJ364" s="19"/>
      <c r="AK364" s="18"/>
      <c r="AL364" s="48"/>
      <c r="AM364" s="18"/>
      <c r="AN364" s="48"/>
      <c r="AO364" s="18"/>
      <c r="AP364" s="18"/>
      <c r="AQ364" s="18"/>
      <c r="AR364" s="18"/>
      <c r="AS364" s="18"/>
      <c r="AT364" s="18"/>
      <c r="AU364" s="18"/>
      <c r="AV364" s="18"/>
    </row>
    <row r="365" spans="1:48" ht="12.75" thickTop="1">
      <c r="A365" s="114" t="s">
        <v>141</v>
      </c>
      <c r="B365" s="79">
        <v>0</v>
      </c>
      <c r="C365" s="80"/>
      <c r="D365" s="79">
        <v>144</v>
      </c>
      <c r="E365" s="74"/>
      <c r="F365" s="26">
        <v>0</v>
      </c>
      <c r="G365" s="26"/>
      <c r="H365" s="115">
        <v>19.93</v>
      </c>
      <c r="I365" s="75"/>
      <c r="J365" s="29">
        <v>2869.92</v>
      </c>
      <c r="K365" s="26"/>
      <c r="L365" s="29">
        <v>2869.92</v>
      </c>
      <c r="M365" s="26"/>
      <c r="N365" s="76">
        <v>144</v>
      </c>
      <c r="O365" s="31"/>
      <c r="P365" s="76"/>
      <c r="Q365" s="26"/>
      <c r="R365" s="82">
        <f>+H365*(1+$W$5)</f>
        <v>22.097382600908475</v>
      </c>
      <c r="S365" s="74"/>
      <c r="T365" s="83">
        <f>+N365*R365</f>
        <v>3182.0230945308203</v>
      </c>
      <c r="U365" s="74"/>
      <c r="V365" s="74"/>
      <c r="W365" s="47"/>
      <c r="X365" s="45"/>
      <c r="Y365" s="46"/>
      <c r="Z365" s="46"/>
      <c r="AA365" s="46"/>
      <c r="AB365" s="46"/>
      <c r="AC365" s="46"/>
      <c r="AD365" s="111"/>
      <c r="AE365" s="112"/>
      <c r="AF365" s="19"/>
      <c r="AG365" s="113"/>
      <c r="AH365" s="48"/>
      <c r="AI365" s="48"/>
      <c r="AJ365" s="19"/>
      <c r="AK365" s="18"/>
      <c r="AL365" s="48"/>
      <c r="AM365" s="18"/>
      <c r="AN365" s="48"/>
      <c r="AO365" s="18"/>
      <c r="AP365" s="18"/>
      <c r="AQ365" s="18"/>
      <c r="AR365" s="18"/>
      <c r="AS365" s="18"/>
      <c r="AT365" s="18"/>
      <c r="AU365" s="18"/>
      <c r="AV365" s="18"/>
    </row>
    <row r="366" spans="1:48" ht="12.75" thickBot="1">
      <c r="A366" s="88" t="s">
        <v>142</v>
      </c>
      <c r="B366" s="103">
        <f>SUM(B365)</f>
        <v>0</v>
      </c>
      <c r="C366" s="80"/>
      <c r="D366" s="103">
        <f>SUM(D365)</f>
        <v>144</v>
      </c>
      <c r="E366" s="74"/>
      <c r="F366" s="103">
        <f>SUM(F365)</f>
        <v>0</v>
      </c>
      <c r="G366" s="26"/>
      <c r="H366" s="28"/>
      <c r="I366" s="75"/>
      <c r="J366" s="91">
        <f>J365</f>
        <v>2869.92</v>
      </c>
      <c r="K366" s="26"/>
      <c r="L366" s="91">
        <f>+L365</f>
        <v>2869.92</v>
      </c>
      <c r="M366" s="26"/>
      <c r="N366" s="108">
        <f>+N365</f>
        <v>144</v>
      </c>
      <c r="O366" s="31"/>
      <c r="P366" s="108">
        <f>+P365</f>
        <v>0</v>
      </c>
      <c r="Q366" s="26"/>
      <c r="R366" s="32"/>
      <c r="S366" s="74"/>
      <c r="T366" s="91">
        <f>+T365</f>
        <v>3182.0230945308203</v>
      </c>
      <c r="U366" s="75"/>
      <c r="V366" s="74"/>
      <c r="W366" s="47"/>
      <c r="X366" s="45"/>
      <c r="Y366" s="46"/>
      <c r="Z366" s="46"/>
      <c r="AA366" s="46"/>
      <c r="AB366" s="46"/>
      <c r="AC366" s="46"/>
      <c r="AD366" s="111"/>
      <c r="AE366" s="112"/>
      <c r="AF366" s="19"/>
      <c r="AG366" s="113"/>
      <c r="AH366" s="48"/>
      <c r="AI366" s="48"/>
      <c r="AJ366" s="19"/>
      <c r="AK366" s="18"/>
      <c r="AL366" s="48"/>
      <c r="AM366" s="18"/>
      <c r="AN366" s="48"/>
      <c r="AO366" s="18"/>
      <c r="AP366" s="18"/>
      <c r="AQ366" s="18"/>
      <c r="AR366" s="18"/>
      <c r="AS366" s="18"/>
      <c r="AT366" s="18"/>
      <c r="AU366" s="18"/>
      <c r="AV366" s="18"/>
    </row>
    <row r="367" spans="1:48" ht="12.75" thickTop="1">
      <c r="A367" s="114"/>
      <c r="B367" s="79"/>
      <c r="C367" s="80"/>
      <c r="D367" s="79"/>
      <c r="E367" s="74"/>
      <c r="F367" s="26"/>
      <c r="G367" s="26"/>
      <c r="H367" s="28"/>
      <c r="I367" s="75"/>
      <c r="J367" s="29"/>
      <c r="K367" s="26"/>
      <c r="L367" s="29"/>
      <c r="M367" s="26"/>
      <c r="N367" s="76"/>
      <c r="O367" s="31"/>
      <c r="P367" s="76"/>
      <c r="Q367" s="26"/>
      <c r="R367" s="32"/>
      <c r="S367" s="74"/>
      <c r="T367" s="77"/>
      <c r="U367" s="74"/>
      <c r="V367" s="74"/>
      <c r="W367" s="197" t="s">
        <v>143</v>
      </c>
      <c r="X367" s="197"/>
      <c r="Y367" s="197"/>
      <c r="Z367" s="46"/>
      <c r="AA367" s="46"/>
      <c r="AB367" s="46"/>
      <c r="AC367" s="46"/>
      <c r="AD367" s="111"/>
      <c r="AE367" s="112"/>
      <c r="AF367" s="19"/>
      <c r="AG367" s="113"/>
      <c r="AH367" s="48"/>
      <c r="AI367" s="48"/>
      <c r="AJ367" s="19"/>
      <c r="AK367" s="18"/>
      <c r="AL367" s="48"/>
      <c r="AM367" s="18"/>
      <c r="AN367" s="48"/>
      <c r="AO367" s="18"/>
      <c r="AP367" s="18"/>
      <c r="AQ367" s="18"/>
      <c r="AR367" s="18"/>
      <c r="AS367" s="18"/>
      <c r="AT367" s="18"/>
      <c r="AU367" s="18"/>
      <c r="AV367" s="18"/>
    </row>
    <row r="368" spans="1:48" ht="24.75" thickBot="1">
      <c r="A368" s="98" t="s">
        <v>144</v>
      </c>
      <c r="B368" s="79"/>
      <c r="C368" s="80"/>
      <c r="D368" s="79"/>
      <c r="E368" s="74"/>
      <c r="F368" s="26"/>
      <c r="G368" s="26"/>
      <c r="H368" s="28"/>
      <c r="I368" s="75"/>
      <c r="J368" s="29"/>
      <c r="K368" s="26"/>
      <c r="L368" s="99">
        <f>+L366/$D366</f>
        <v>19.93</v>
      </c>
      <c r="M368" s="26"/>
      <c r="N368" s="76"/>
      <c r="O368" s="31"/>
      <c r="P368" s="76"/>
      <c r="Q368" s="26"/>
      <c r="R368" s="32"/>
      <c r="S368" s="75"/>
      <c r="T368" s="99">
        <f>+T366/$D366</f>
        <v>22.097382600908475</v>
      </c>
      <c r="U368" s="75">
        <f>+T368-L368</f>
        <v>2.1673826009084749</v>
      </c>
      <c r="V368" s="74"/>
      <c r="W368" s="175" t="s">
        <v>145</v>
      </c>
      <c r="X368" s="175" t="s">
        <v>112</v>
      </c>
      <c r="Y368" s="3" t="s">
        <v>113</v>
      </c>
      <c r="Z368" s="46"/>
      <c r="AA368" s="46"/>
      <c r="AB368" s="46"/>
      <c r="AC368" s="46"/>
      <c r="AD368" s="111"/>
      <c r="AE368" s="112"/>
      <c r="AF368" s="19"/>
      <c r="AG368" s="113"/>
      <c r="AH368" s="48"/>
      <c r="AI368" s="48"/>
      <c r="AJ368" s="19"/>
      <c r="AK368" s="18"/>
      <c r="AL368" s="48"/>
      <c r="AM368" s="18"/>
      <c r="AN368" s="48"/>
      <c r="AO368" s="18"/>
      <c r="AP368" s="18"/>
      <c r="AQ368" s="18"/>
      <c r="AR368" s="18"/>
      <c r="AS368" s="18"/>
      <c r="AT368" s="18"/>
      <c r="AU368" s="18"/>
      <c r="AV368" s="18"/>
    </row>
    <row r="369" spans="1:25" ht="13.5" thickTop="1">
      <c r="A369" s="176"/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W369" s="165">
        <f>L356+L347+L338+L329+L320+L311+L301+L291+L281+L271+L261+L251+L241+L231+L362+L366</f>
        <v>283458.15777777787</v>
      </c>
      <c r="X369" s="166">
        <f>[16]Summary!$I$28</f>
        <v>277645.8670666666</v>
      </c>
      <c r="Y369" s="167">
        <f>W369-X369</f>
        <v>5812.2907111112727</v>
      </c>
    </row>
    <row r="370" spans="1:25" s="97" customFormat="1" ht="12.75" thickBot="1">
      <c r="A370" s="70" t="s">
        <v>146</v>
      </c>
      <c r="B370" s="177">
        <f>+B366+B362+B356+B347+B338+B329+B320+B311+B301+B291+B281+B271+B261+B251+B241+B231</f>
        <v>35715</v>
      </c>
      <c r="D370" s="177">
        <f>+D366+D362+D356+D347+D338+D329+D320+D311+D301+D291+D281+D271+D261+D251+D241+D231</f>
        <v>8613.0000000000036</v>
      </c>
      <c r="F370" s="177">
        <f>+F366+F362+F356+F347+F338+F329+F320+F311+F301+F291+F281+F271+F261+F251+F241+F231</f>
        <v>26467.000000000004</v>
      </c>
      <c r="G370" s="178"/>
      <c r="H370" s="179"/>
      <c r="J370" s="180">
        <f>+J366+J362+J356+J347+J338+J329+J320+J311+J301+J291+J281+J271+J261+J251+J241+J231</f>
        <v>283398.76000000007</v>
      </c>
      <c r="K370" s="181"/>
      <c r="L370" s="180">
        <f>+L366+L362+L356+L347+L338+L329+L320+L311+L301+L291+L281+L271+L261+L251+L241+L231</f>
        <v>283458.15777777781</v>
      </c>
      <c r="M370" s="178"/>
      <c r="N370" s="177">
        <f>+N366+N362+N356+N347+N338+N329+N320+N311+N301+N291+N281+N271+N261+N251+N241+N231</f>
        <v>8613.0000000000036</v>
      </c>
      <c r="O370" s="182"/>
      <c r="P370" s="177">
        <f>+P366+P362+P356+P347+P338+P329+P320+P311+P301+P291+P281+P271+P261+P251+P241+P231</f>
        <v>26467.000000000004</v>
      </c>
      <c r="Q370" s="178"/>
      <c r="R370" s="183"/>
      <c r="T370" s="180">
        <f>+T366+T362+T356+T347+T338+T329+T320+T311+T301+T291+T281+T271+T261+T251+T241+T231</f>
        <v>314284.1627578644</v>
      </c>
      <c r="W370" s="184"/>
      <c r="X370" s="185"/>
      <c r="Y370" s="186"/>
    </row>
    <row r="371" spans="1:25" ht="14.25" thickTop="1" thickBot="1">
      <c r="A371" s="176"/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87"/>
      <c r="P371" s="176"/>
      <c r="Q371" s="176"/>
      <c r="R371" s="176"/>
      <c r="S371" s="176"/>
      <c r="T371" s="176"/>
      <c r="W371" s="198" t="s">
        <v>143</v>
      </c>
      <c r="X371" s="198"/>
      <c r="Y371" s="188"/>
    </row>
    <row r="372" spans="1:25" ht="13.5" thickBot="1">
      <c r="A372" s="176"/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87"/>
      <c r="P372" s="176"/>
      <c r="Q372" s="176"/>
      <c r="R372" s="176"/>
      <c r="S372" s="176"/>
      <c r="T372" s="176"/>
      <c r="W372" s="189">
        <f>W369-L370</f>
        <v>0</v>
      </c>
      <c r="X372" s="190" t="s">
        <v>116</v>
      </c>
      <c r="Y372" s="167"/>
    </row>
    <row r="373" spans="1:25" s="97" customFormat="1" ht="12.75" thickBot="1">
      <c r="A373" s="97" t="s">
        <v>147</v>
      </c>
      <c r="B373" s="177">
        <f>+B370+B221</f>
        <v>439666.14399999997</v>
      </c>
      <c r="D373" s="177">
        <f>+D370+D221</f>
        <v>82417.999999999898</v>
      </c>
      <c r="F373" s="177">
        <f>+F370+F221</f>
        <v>341171.26923076907</v>
      </c>
      <c r="G373" s="178"/>
      <c r="H373" s="179"/>
      <c r="J373" s="177">
        <f>+J370+J221</f>
        <v>2103753.4699999988</v>
      </c>
      <c r="K373" s="178"/>
      <c r="L373" s="177">
        <f>+L370+L221</f>
        <v>2103812.8677777764</v>
      </c>
      <c r="M373" s="178"/>
      <c r="N373" s="177">
        <f>+N370+N221</f>
        <v>82417.999999999898</v>
      </c>
      <c r="O373" s="182"/>
      <c r="P373" s="177">
        <f>+P370+P221</f>
        <v>341171.26923076907</v>
      </c>
      <c r="Q373" s="178"/>
      <c r="R373" s="183"/>
      <c r="T373" s="177">
        <f>+T370+T221</f>
        <v>2332602</v>
      </c>
    </row>
    <row r="374" spans="1:25" ht="12.75" thickTop="1"/>
    <row r="375" spans="1:25">
      <c r="L375" s="138">
        <f>+'[5]Sch.B-I.S'!F67</f>
        <v>2066451.4</v>
      </c>
    </row>
    <row r="376" spans="1:25">
      <c r="L376" s="138">
        <f>+L373-L375</f>
        <v>37361.467777776532</v>
      </c>
      <c r="P376" s="193"/>
      <c r="R376" s="145"/>
      <c r="W376" s="194">
        <f>W369+W219</f>
        <v>2103812.8677777769</v>
      </c>
      <c r="X376" s="194">
        <f>X369+X219</f>
        <v>2000241.1086000004</v>
      </c>
      <c r="Y376" s="167">
        <f>W376-X376</f>
        <v>103571.75917777652</v>
      </c>
    </row>
    <row r="377" spans="1:25">
      <c r="L377" s="195">
        <f>+L376/L375</f>
        <v>1.8080012807354932E-2</v>
      </c>
    </row>
    <row r="378" spans="1:25" ht="12.75" thickBot="1">
      <c r="W378" s="199" t="s">
        <v>148</v>
      </c>
      <c r="X378" s="199"/>
    </row>
    <row r="379" spans="1:25" ht="12.75" thickBot="1">
      <c r="W379" s="196">
        <f>W376-L373</f>
        <v>0</v>
      </c>
      <c r="X379" s="190" t="s">
        <v>116</v>
      </c>
    </row>
  </sheetData>
  <mergeCells count="3">
    <mergeCell ref="W367:Y367"/>
    <mergeCell ref="W371:X371"/>
    <mergeCell ref="W378:X378"/>
  </mergeCells>
  <pageMargins left="0.25" right="0.25" top="0.75" bottom="0.75" header="0.3" footer="0.3"/>
  <pageSetup scale="66" orientation="landscape" r:id="rId1"/>
  <rowBreaks count="2" manualBreakCount="2">
    <brk id="221" max="16383" man="1"/>
    <brk id="32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V380"/>
  <sheetViews>
    <sheetView tabSelected="1" view="pageBreakPreview" zoomScale="115" zoomScaleNormal="100" zoomScaleSheetLayoutView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4" sqref="A14"/>
    </sheetView>
  </sheetViews>
  <sheetFormatPr defaultRowHeight="12"/>
  <cols>
    <col min="1" max="1" width="33.28515625" style="6" customWidth="1"/>
    <col min="2" max="2" width="11.140625" style="139" customWidth="1"/>
    <col min="3" max="3" width="0.7109375" style="6" customWidth="1"/>
    <col min="4" max="4" width="8.140625" style="139" customWidth="1"/>
    <col min="5" max="5" width="0.7109375" style="6" customWidth="1"/>
    <col min="6" max="6" width="9.7109375" style="139" customWidth="1"/>
    <col min="7" max="7" width="0.7109375" style="139" customWidth="1"/>
    <col min="8" max="8" width="8.5703125" style="153" customWidth="1"/>
    <col min="9" max="9" width="0.7109375" style="6" customWidth="1"/>
    <col min="10" max="10" width="11" style="138" bestFit="1" customWidth="1"/>
    <col min="11" max="11" width="0.7109375" style="139" customWidth="1"/>
    <col min="12" max="12" width="12.28515625" style="138" bestFit="1" customWidth="1"/>
    <col min="13" max="13" width="0.7109375" style="139" customWidth="1"/>
    <col min="14" max="14" width="12.28515625" style="140" customWidth="1"/>
    <col min="15" max="15" width="0.7109375" style="141" customWidth="1"/>
    <col min="16" max="16" width="12.28515625" style="140" customWidth="1"/>
    <col min="17" max="17" width="0.7109375" style="139" customWidth="1"/>
    <col min="18" max="18" width="9.5703125" style="142" customWidth="1"/>
    <col min="19" max="19" width="0.7109375" style="6" customWidth="1"/>
    <col min="20" max="20" width="10" style="191" customWidth="1"/>
    <col min="21" max="21" width="10" style="6" customWidth="1"/>
    <col min="22" max="22" width="5.28515625" style="6" bestFit="1" customWidth="1"/>
    <col min="23" max="23" width="17.85546875" style="192" bestFit="1" customWidth="1"/>
    <col min="24" max="24" width="21.28515625" style="192" bestFit="1" customWidth="1"/>
    <col min="25" max="16384" width="9.140625" style="6"/>
  </cols>
  <sheetData>
    <row r="1" spans="1:48">
      <c r="A1" s="1" t="s">
        <v>0</v>
      </c>
      <c r="B1" s="2"/>
      <c r="C1" s="3"/>
      <c r="D1" s="2"/>
      <c r="E1" s="3"/>
      <c r="F1" s="2"/>
      <c r="G1" s="2"/>
      <c r="H1" s="4"/>
      <c r="I1" s="3"/>
      <c r="J1" s="5"/>
      <c r="K1" s="2"/>
      <c r="L1" s="6"/>
      <c r="M1" s="2"/>
      <c r="N1" s="200"/>
      <c r="O1" s="8"/>
      <c r="Q1" s="10"/>
      <c r="R1" s="11"/>
      <c r="S1" s="3"/>
      <c r="T1" s="12" t="s">
        <v>1</v>
      </c>
      <c r="U1" s="3"/>
      <c r="V1" s="3"/>
      <c r="W1" s="13"/>
      <c r="X1" s="1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1" t="s">
        <v>149</v>
      </c>
      <c r="B2" s="2"/>
      <c r="C2" s="3"/>
      <c r="D2" s="2"/>
      <c r="E2" s="3"/>
      <c r="F2" s="2"/>
      <c r="G2" s="2"/>
      <c r="H2" s="4"/>
      <c r="I2" s="3"/>
      <c r="J2" s="5"/>
      <c r="K2" s="2"/>
      <c r="L2" s="6"/>
      <c r="M2" s="2"/>
      <c r="N2" s="200"/>
      <c r="O2" s="8"/>
      <c r="Q2" s="10"/>
      <c r="R2" s="11"/>
      <c r="S2" s="3"/>
      <c r="T2" s="12"/>
      <c r="U2" s="3"/>
      <c r="V2" s="3"/>
      <c r="W2" s="13"/>
      <c r="X2" s="1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14" t="s">
        <v>2</v>
      </c>
      <c r="B3" s="2"/>
      <c r="C3" s="3"/>
      <c r="D3" s="2"/>
      <c r="E3" s="3"/>
      <c r="F3" s="2"/>
      <c r="G3" s="2"/>
      <c r="H3" s="4"/>
      <c r="I3" s="3"/>
      <c r="J3" s="5"/>
      <c r="K3" s="2"/>
      <c r="L3" s="5"/>
      <c r="M3" s="2"/>
      <c r="N3" s="200"/>
      <c r="O3" s="8"/>
      <c r="P3" s="200"/>
      <c r="Q3" s="2"/>
      <c r="R3" s="15"/>
      <c r="S3" s="3"/>
      <c r="T3" s="16"/>
      <c r="U3" s="3"/>
      <c r="V3" s="3"/>
      <c r="W3" s="17" t="s">
        <v>3</v>
      </c>
      <c r="X3" s="1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74"/>
      <c r="AS3" s="19"/>
      <c r="AT3" s="174"/>
      <c r="AU3" s="19"/>
      <c r="AV3" s="174"/>
    </row>
    <row r="4" spans="1:48" ht="12.75" thickBot="1">
      <c r="A4" s="20" t="s">
        <v>150</v>
      </c>
      <c r="B4" s="2"/>
      <c r="C4" s="21"/>
      <c r="D4" s="2"/>
      <c r="E4" s="3"/>
      <c r="F4" s="2"/>
      <c r="G4" s="2"/>
      <c r="H4" s="4"/>
      <c r="I4" s="3"/>
      <c r="J4" s="5"/>
      <c r="K4" s="2"/>
      <c r="L4" s="5"/>
      <c r="M4" s="2"/>
      <c r="N4" s="200"/>
      <c r="O4" s="8"/>
      <c r="P4" s="200"/>
      <c r="Q4" s="2"/>
      <c r="R4" s="15"/>
      <c r="S4" s="3"/>
      <c r="T4" s="16"/>
      <c r="U4" s="3"/>
      <c r="V4" s="3"/>
      <c r="W4" s="17" t="s">
        <v>5</v>
      </c>
      <c r="X4" s="1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174"/>
      <c r="AS4" s="19"/>
      <c r="AT4" s="174"/>
      <c r="AU4" s="19"/>
      <c r="AV4" s="174"/>
    </row>
    <row r="5" spans="1:48" ht="12.75" thickBot="1">
      <c r="A5" s="22"/>
      <c r="B5" s="2"/>
      <c r="C5" s="21"/>
      <c r="D5" s="2"/>
      <c r="E5" s="3"/>
      <c r="F5" s="2"/>
      <c r="G5" s="2"/>
      <c r="H5" s="4"/>
      <c r="I5" s="3"/>
      <c r="J5" s="5"/>
      <c r="K5" s="2"/>
      <c r="L5" s="5"/>
      <c r="M5" s="2"/>
      <c r="N5" s="200"/>
      <c r="O5" s="8"/>
      <c r="P5" s="200"/>
      <c r="Q5" s="2"/>
      <c r="R5" s="15"/>
      <c r="S5" s="3"/>
      <c r="T5" s="16"/>
      <c r="U5" s="3"/>
      <c r="V5" s="3"/>
      <c r="W5" s="23">
        <v>0.21911993891229051</v>
      </c>
      <c r="X5" s="1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74"/>
      <c r="AS5" s="19"/>
      <c r="AT5" s="174"/>
      <c r="AU5" s="19"/>
      <c r="AV5" s="174"/>
    </row>
    <row r="6" spans="1:48">
      <c r="A6" s="3"/>
      <c r="B6" s="2"/>
      <c r="C6" s="3"/>
      <c r="D6" s="2"/>
      <c r="E6" s="3"/>
      <c r="F6" s="2"/>
      <c r="G6" s="2"/>
      <c r="H6" s="4"/>
      <c r="I6" s="3"/>
      <c r="J6" s="5"/>
      <c r="K6" s="2"/>
      <c r="L6" s="5"/>
      <c r="M6" s="2"/>
      <c r="N6" s="200"/>
      <c r="O6" s="8"/>
      <c r="P6" s="200"/>
      <c r="Q6" s="2"/>
      <c r="R6" s="15"/>
      <c r="S6" s="3"/>
      <c r="T6" s="16"/>
      <c r="U6" s="3"/>
      <c r="V6" s="3"/>
      <c r="W6" s="13"/>
      <c r="X6" s="1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174"/>
      <c r="AS6" s="19"/>
      <c r="AT6" s="174"/>
      <c r="AU6" s="19"/>
      <c r="AV6" s="174"/>
    </row>
    <row r="7" spans="1:48">
      <c r="A7" s="25"/>
      <c r="B7" s="26"/>
      <c r="C7" s="27"/>
      <c r="D7" s="26"/>
      <c r="E7" s="27"/>
      <c r="F7" s="26"/>
      <c r="G7" s="26"/>
      <c r="H7" s="28"/>
      <c r="I7" s="27"/>
      <c r="J7" s="29"/>
      <c r="K7" s="26"/>
      <c r="L7" s="29"/>
      <c r="M7" s="26"/>
      <c r="N7" s="76"/>
      <c r="O7" s="31"/>
      <c r="P7" s="76"/>
      <c r="Q7" s="26"/>
      <c r="R7" s="32"/>
      <c r="S7" s="27"/>
      <c r="T7" s="33"/>
      <c r="U7" s="27"/>
      <c r="V7" s="27"/>
      <c r="W7" s="201">
        <f>'[17]Sch.B-I.S'!N8</f>
        <v>2497595</v>
      </c>
      <c r="X7" s="1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174"/>
      <c r="AS7" s="19"/>
      <c r="AT7" s="174"/>
      <c r="AU7" s="19"/>
      <c r="AV7" s="174"/>
    </row>
    <row r="8" spans="1:48">
      <c r="A8" s="35"/>
      <c r="B8" s="36"/>
      <c r="C8" s="37"/>
      <c r="D8" s="36"/>
      <c r="E8" s="37"/>
      <c r="F8" s="36"/>
      <c r="G8" s="36"/>
      <c r="H8" s="38"/>
      <c r="I8" s="37"/>
      <c r="J8" s="39"/>
      <c r="K8" s="36"/>
      <c r="L8" s="40"/>
      <c r="M8" s="36"/>
      <c r="N8" s="202"/>
      <c r="O8" s="36"/>
      <c r="P8" s="202"/>
      <c r="Q8" s="42"/>
      <c r="R8" s="38"/>
      <c r="S8" s="35"/>
      <c r="T8" s="43"/>
      <c r="U8" s="35"/>
      <c r="V8" s="35"/>
      <c r="W8" s="203"/>
      <c r="X8" s="45"/>
      <c r="Y8" s="46"/>
      <c r="Z8" s="47"/>
      <c r="AA8" s="47"/>
      <c r="AB8" s="47"/>
      <c r="AC8" s="4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174"/>
      <c r="AS8" s="48"/>
      <c r="AT8" s="174"/>
      <c r="AU8" s="19"/>
      <c r="AV8" s="174"/>
    </row>
    <row r="9" spans="1:48" ht="48">
      <c r="A9" s="35"/>
      <c r="B9" s="49" t="s">
        <v>6</v>
      </c>
      <c r="C9" s="50"/>
      <c r="D9" s="49" t="s">
        <v>151</v>
      </c>
      <c r="F9" s="49" t="s">
        <v>152</v>
      </c>
      <c r="G9" s="51"/>
      <c r="H9" s="52" t="s">
        <v>9</v>
      </c>
      <c r="I9" s="35"/>
      <c r="J9" s="53" t="s">
        <v>10</v>
      </c>
      <c r="K9" s="51"/>
      <c r="L9" s="53" t="s">
        <v>11</v>
      </c>
      <c r="M9" s="35"/>
      <c r="N9" s="204" t="s">
        <v>12</v>
      </c>
      <c r="O9" s="51"/>
      <c r="P9" s="204" t="s">
        <v>13</v>
      </c>
      <c r="Q9" s="51"/>
      <c r="R9" s="52" t="s">
        <v>14</v>
      </c>
      <c r="S9" s="35"/>
      <c r="T9" s="55" t="s">
        <v>15</v>
      </c>
      <c r="U9" s="35"/>
      <c r="V9" s="35"/>
      <c r="W9" s="203"/>
      <c r="X9" s="45"/>
      <c r="Y9" s="46"/>
      <c r="Z9" s="47"/>
      <c r="AA9" s="47"/>
      <c r="AB9" s="47"/>
      <c r="AC9" s="46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74"/>
      <c r="AS9" s="48"/>
      <c r="AT9" s="174"/>
      <c r="AU9" s="19"/>
      <c r="AV9" s="174"/>
    </row>
    <row r="10" spans="1:48">
      <c r="A10" s="35"/>
      <c r="B10" s="51"/>
      <c r="C10" s="50"/>
      <c r="D10" s="51"/>
      <c r="F10" s="51"/>
      <c r="G10" s="51"/>
      <c r="H10" s="57"/>
      <c r="I10" s="35"/>
      <c r="J10" s="58"/>
      <c r="K10" s="51"/>
      <c r="L10" s="58"/>
      <c r="M10" s="35"/>
      <c r="N10" s="205"/>
      <c r="O10" s="51"/>
      <c r="P10" s="205"/>
      <c r="Q10" s="51"/>
      <c r="R10" s="57"/>
      <c r="S10" s="35"/>
      <c r="T10" s="60"/>
      <c r="U10" s="35"/>
      <c r="V10" s="35"/>
      <c r="W10" s="203"/>
      <c r="X10" s="45"/>
      <c r="Y10" s="46"/>
      <c r="Z10" s="47"/>
      <c r="AA10" s="47"/>
      <c r="AB10" s="47"/>
      <c r="AC10" s="4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74"/>
      <c r="AS10" s="48"/>
      <c r="AT10" s="174"/>
      <c r="AU10" s="19"/>
      <c r="AV10" s="174"/>
    </row>
    <row r="11" spans="1:48">
      <c r="A11" s="61" t="s">
        <v>16</v>
      </c>
      <c r="B11" s="62"/>
      <c r="C11" s="63"/>
      <c r="D11" s="62"/>
      <c r="E11" s="63"/>
      <c r="F11" s="62"/>
      <c r="G11" s="62"/>
      <c r="H11" s="64"/>
      <c r="I11" s="63"/>
      <c r="J11" s="65"/>
      <c r="K11" s="62"/>
      <c r="L11" s="65"/>
      <c r="M11" s="62"/>
      <c r="N11" s="66"/>
      <c r="O11" s="67"/>
      <c r="P11" s="66"/>
      <c r="Q11" s="62"/>
      <c r="R11" s="68"/>
      <c r="S11" s="63"/>
      <c r="T11" s="69"/>
      <c r="U11" s="63"/>
      <c r="V11" s="63"/>
      <c r="W11" s="203"/>
      <c r="X11" s="45"/>
      <c r="Y11" s="46"/>
      <c r="Z11" s="47"/>
      <c r="AA11" s="47"/>
      <c r="AB11" s="47"/>
      <c r="AC11" s="4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74"/>
      <c r="AS11" s="48"/>
      <c r="AT11" s="174"/>
      <c r="AU11" s="19"/>
      <c r="AV11" s="174"/>
    </row>
    <row r="12" spans="1:48">
      <c r="A12" s="70"/>
      <c r="B12" s="71"/>
      <c r="C12" s="72"/>
      <c r="D12" s="71"/>
      <c r="E12" s="63"/>
      <c r="F12" s="62"/>
      <c r="G12" s="62"/>
      <c r="H12" s="64"/>
      <c r="I12" s="63"/>
      <c r="J12" s="65"/>
      <c r="K12" s="62"/>
      <c r="L12" s="65"/>
      <c r="M12" s="62"/>
      <c r="N12" s="66"/>
      <c r="O12" s="67"/>
      <c r="P12" s="66"/>
      <c r="Q12" s="62"/>
      <c r="R12" s="68"/>
      <c r="S12" s="63"/>
      <c r="T12" s="69"/>
      <c r="U12" s="63"/>
      <c r="V12" s="63"/>
      <c r="W12" s="203"/>
      <c r="X12" s="45"/>
      <c r="Y12" s="46"/>
      <c r="Z12" s="46"/>
      <c r="AA12" s="46"/>
      <c r="AB12" s="46"/>
      <c r="AC12" s="46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74"/>
      <c r="AS12" s="48"/>
      <c r="AT12" s="174"/>
      <c r="AU12" s="174"/>
      <c r="AV12" s="174"/>
    </row>
    <row r="13" spans="1:48">
      <c r="A13" s="73" t="s">
        <v>17</v>
      </c>
      <c r="B13" s="26">
        <f>(+'[18]5-8" W R E14'!I95+'[18]5-8" ResCom E14'!I35)/1000</f>
        <v>240397</v>
      </c>
      <c r="C13" s="74"/>
      <c r="D13" s="26"/>
      <c r="E13" s="74"/>
      <c r="F13" s="26"/>
      <c r="G13" s="26"/>
      <c r="H13" s="28"/>
      <c r="I13" s="75"/>
      <c r="J13" s="29"/>
      <c r="K13" s="26"/>
      <c r="L13" s="29"/>
      <c r="M13" s="26"/>
      <c r="N13" s="76"/>
      <c r="O13" s="31"/>
      <c r="P13" s="76"/>
      <c r="Q13" s="26"/>
      <c r="R13" s="32"/>
      <c r="S13" s="74"/>
      <c r="T13" s="77"/>
      <c r="V13" s="74"/>
      <c r="W13" s="203"/>
      <c r="X13" s="45"/>
      <c r="Y13" s="46"/>
      <c r="Z13" s="46"/>
      <c r="AA13" s="46"/>
      <c r="AB13" s="46"/>
      <c r="AC13" s="4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8"/>
      <c r="AS13" s="48"/>
      <c r="AT13" s="48"/>
      <c r="AU13" s="48"/>
      <c r="AV13" s="48"/>
    </row>
    <row r="14" spans="1:48">
      <c r="A14" s="78" t="s">
        <v>18</v>
      </c>
      <c r="B14" s="79"/>
      <c r="C14" s="80"/>
      <c r="D14" s="79">
        <f>+'[18]5-8" W R E14'!S99+'[18]5-8" ResCom E14'!S39</f>
        <v>60589.999999999913</v>
      </c>
      <c r="E14" s="74"/>
      <c r="F14" s="26"/>
      <c r="G14" s="26"/>
      <c r="H14" s="81">
        <f>+'[18]5-8" W R E14'!S2</f>
        <v>8.9600000000000009</v>
      </c>
      <c r="I14" s="75"/>
      <c r="J14" s="29">
        <f>H14*D14</f>
        <v>542886.39999999932</v>
      </c>
      <c r="K14" s="26"/>
      <c r="L14" s="29">
        <f>+J14</f>
        <v>542886.39999999932</v>
      </c>
      <c r="M14" s="26"/>
      <c r="N14" s="76">
        <f>D14</f>
        <v>60589.999999999913</v>
      </c>
      <c r="O14" s="31"/>
      <c r="P14" s="76"/>
      <c r="Q14" s="26"/>
      <c r="R14" s="82">
        <f>H14*(1+$W$5)</f>
        <v>10.923314652654124</v>
      </c>
      <c r="S14" s="75"/>
      <c r="T14" s="83">
        <f>R14*+D14</f>
        <v>661843.63480431237</v>
      </c>
      <c r="U14" s="75"/>
      <c r="V14" s="75"/>
      <c r="W14" s="201"/>
      <c r="X14" s="45"/>
      <c r="Y14" s="46"/>
      <c r="Z14" s="46"/>
      <c r="AA14" s="46"/>
      <c r="AB14" s="46"/>
      <c r="AC14" s="46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74"/>
      <c r="AS14" s="174"/>
      <c r="AT14" s="174"/>
      <c r="AU14" s="19"/>
      <c r="AV14" s="174"/>
    </row>
    <row r="15" spans="1:48">
      <c r="A15" s="78" t="s">
        <v>19</v>
      </c>
      <c r="B15" s="79"/>
      <c r="C15" s="80"/>
      <c r="D15" s="79"/>
      <c r="E15" s="74"/>
      <c r="F15" s="26">
        <f>+'[18]5-8" W R E14'!V99+'[18]5-8" ResCom E14'!V39</f>
        <v>167609.99999999985</v>
      </c>
      <c r="G15" s="26"/>
      <c r="H15" s="84">
        <f>+'[18]5-8" W R E14'!S4</f>
        <v>3.61</v>
      </c>
      <c r="I15" s="85"/>
      <c r="J15" s="76">
        <f>H15*F15</f>
        <v>605072.09999999951</v>
      </c>
      <c r="K15" s="26"/>
      <c r="L15" s="29">
        <f t="shared" ref="L15:L19" si="0">+J15</f>
        <v>605072.09999999951</v>
      </c>
      <c r="M15" s="26"/>
      <c r="N15" s="76"/>
      <c r="O15" s="31"/>
      <c r="P15" s="76">
        <f>SUM(F15)</f>
        <v>167609.99999999985</v>
      </c>
      <c r="Q15" s="26"/>
      <c r="R15" s="82">
        <f t="shared" ref="R15:R19" si="1">H15*(1+$W$5)</f>
        <v>4.4010229794733684</v>
      </c>
      <c r="S15" s="86"/>
      <c r="T15" s="83">
        <f>R15*F15</f>
        <v>737655.46158953069</v>
      </c>
      <c r="U15" s="75"/>
      <c r="V15" s="75"/>
      <c r="W15" s="201"/>
      <c r="X15" s="45"/>
      <c r="Y15" s="46"/>
      <c r="Z15" s="46"/>
      <c r="AA15" s="46"/>
      <c r="AB15" s="46"/>
      <c r="AC15" s="4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174"/>
      <c r="AS15" s="174"/>
      <c r="AT15" s="174"/>
      <c r="AU15" s="19"/>
      <c r="AV15" s="174"/>
    </row>
    <row r="16" spans="1:48">
      <c r="A16" s="78" t="s">
        <v>20</v>
      </c>
      <c r="B16" s="79"/>
      <c r="C16" s="80"/>
      <c r="D16" s="79"/>
      <c r="E16" s="74"/>
      <c r="F16" s="26">
        <f>+'[18]5-8" W R E14'!W99+'[18]5-8" ResCom E14'!W39</f>
        <v>12591.999999999984</v>
      </c>
      <c r="G16" s="26"/>
      <c r="H16" s="84">
        <f>+'[18]5-8" W R E14'!S5</f>
        <v>3.29</v>
      </c>
      <c r="I16" s="85"/>
      <c r="J16" s="76">
        <f>H16*F16</f>
        <v>41427.679999999949</v>
      </c>
      <c r="K16" s="26"/>
      <c r="L16" s="29">
        <f t="shared" si="0"/>
        <v>41427.679999999949</v>
      </c>
      <c r="M16" s="26"/>
      <c r="N16" s="76"/>
      <c r="O16" s="31"/>
      <c r="P16" s="76">
        <f t="shared" ref="P16:P19" si="2">SUM(F16)</f>
        <v>12591.999999999984</v>
      </c>
      <c r="Q16" s="26"/>
      <c r="R16" s="82">
        <f t="shared" si="1"/>
        <v>4.0109045990214351</v>
      </c>
      <c r="S16" s="86"/>
      <c r="T16" s="83">
        <f t="shared" ref="T16:T19" si="3">R16*F16</f>
        <v>50505.310710877842</v>
      </c>
      <c r="U16" s="75"/>
      <c r="V16" s="75"/>
      <c r="W16" s="203"/>
      <c r="X16" s="45"/>
      <c r="Y16" s="46"/>
      <c r="Z16" s="46"/>
      <c r="AA16" s="46"/>
      <c r="AB16" s="46"/>
      <c r="AC16" s="46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174"/>
      <c r="AS16" s="174"/>
      <c r="AT16" s="174"/>
      <c r="AU16" s="19"/>
      <c r="AV16" s="174"/>
    </row>
    <row r="17" spans="1:48">
      <c r="A17" s="78" t="s">
        <v>21</v>
      </c>
      <c r="B17" s="79"/>
      <c r="C17" s="80"/>
      <c r="D17" s="79"/>
      <c r="E17" s="74"/>
      <c r="F17" s="26">
        <f>+'[18]5-8" W R E14'!X99+'[18]5-8" ResCom E14'!X39</f>
        <v>2584</v>
      </c>
      <c r="G17" s="26"/>
      <c r="H17" s="84">
        <f>+'[18]5-8" W R E14'!S6</f>
        <v>3.12</v>
      </c>
      <c r="I17" s="85"/>
      <c r="J17" s="76">
        <f>H17*F17</f>
        <v>8062.08</v>
      </c>
      <c r="K17" s="26"/>
      <c r="L17" s="29">
        <f t="shared" si="0"/>
        <v>8062.08</v>
      </c>
      <c r="M17" s="26"/>
      <c r="N17" s="76"/>
      <c r="O17" s="31"/>
      <c r="P17" s="76">
        <f t="shared" si="2"/>
        <v>2584</v>
      </c>
      <c r="Q17" s="26"/>
      <c r="R17" s="82">
        <f t="shared" si="1"/>
        <v>3.8036542094063464</v>
      </c>
      <c r="S17" s="86"/>
      <c r="T17" s="83">
        <f t="shared" si="3"/>
        <v>9828.6424771059992</v>
      </c>
      <c r="U17" s="75"/>
      <c r="V17" s="75"/>
      <c r="W17" s="203"/>
      <c r="X17" s="45"/>
      <c r="Y17" s="46"/>
      <c r="Z17" s="46"/>
      <c r="AA17" s="46"/>
      <c r="AB17" s="46"/>
      <c r="AC17" s="4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174"/>
      <c r="AS17" s="48"/>
      <c r="AT17" s="174"/>
      <c r="AU17" s="19"/>
      <c r="AV17" s="174"/>
    </row>
    <row r="18" spans="1:48">
      <c r="A18" s="78" t="s">
        <v>22</v>
      </c>
      <c r="B18" s="79"/>
      <c r="C18" s="80"/>
      <c r="D18" s="79"/>
      <c r="E18" s="74"/>
      <c r="F18" s="26">
        <f>+'[18]5-8" W R E14'!Y99+'[18]5-8" ResCom E14'!Y39</f>
        <v>1118</v>
      </c>
      <c r="G18" s="26"/>
      <c r="H18" s="84">
        <f>+'[18]5-8" W R E14'!S7</f>
        <v>2.79</v>
      </c>
      <c r="I18" s="85"/>
      <c r="J18" s="76">
        <f>H18*F18</f>
        <v>3119.2200000000003</v>
      </c>
      <c r="K18" s="26"/>
      <c r="L18" s="29">
        <f t="shared" si="0"/>
        <v>3119.2200000000003</v>
      </c>
      <c r="M18" s="26"/>
      <c r="N18" s="76"/>
      <c r="O18" s="31"/>
      <c r="P18" s="76">
        <f t="shared" si="2"/>
        <v>1118</v>
      </c>
      <c r="Q18" s="26"/>
      <c r="R18" s="82">
        <f t="shared" si="1"/>
        <v>3.4013446295652905</v>
      </c>
      <c r="S18" s="86"/>
      <c r="T18" s="83">
        <f t="shared" si="3"/>
        <v>3802.7032958539949</v>
      </c>
      <c r="U18" s="75"/>
      <c r="V18" s="75"/>
      <c r="W18" s="203"/>
      <c r="X18" s="45"/>
      <c r="Y18" s="46"/>
      <c r="Z18" s="46"/>
      <c r="AA18" s="46"/>
      <c r="AB18" s="4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174"/>
      <c r="AS18" s="48"/>
      <c r="AT18" s="174"/>
      <c r="AU18" s="19"/>
      <c r="AV18" s="174"/>
    </row>
    <row r="19" spans="1:48">
      <c r="A19" s="78" t="s">
        <v>23</v>
      </c>
      <c r="B19" s="79"/>
      <c r="C19" s="80"/>
      <c r="D19" s="79"/>
      <c r="E19" s="74"/>
      <c r="F19" s="26">
        <f>+'[18]5-8" W R E14'!Z99+'[18]5-8" ResCom E14'!Z39</f>
        <v>508.99999999999994</v>
      </c>
      <c r="G19" s="26"/>
      <c r="H19" s="84">
        <f>+'[18]5-8" W R E14'!S8</f>
        <v>2.5499999999999998</v>
      </c>
      <c r="I19" s="85"/>
      <c r="J19" s="76">
        <f>H19*F19</f>
        <v>1297.9499999999998</v>
      </c>
      <c r="K19" s="26"/>
      <c r="L19" s="29">
        <f t="shared" si="0"/>
        <v>1297.9499999999998</v>
      </c>
      <c r="M19" s="26"/>
      <c r="N19" s="76"/>
      <c r="O19" s="31"/>
      <c r="P19" s="76">
        <f t="shared" si="2"/>
        <v>508.99999999999994</v>
      </c>
      <c r="Q19" s="26"/>
      <c r="R19" s="82">
        <f t="shared" si="1"/>
        <v>3.1087558442263403</v>
      </c>
      <c r="S19" s="86"/>
      <c r="T19" s="83">
        <f t="shared" si="3"/>
        <v>1582.3567247112071</v>
      </c>
      <c r="U19" s="75"/>
      <c r="V19" s="75"/>
      <c r="W19" s="206"/>
      <c r="X19" s="45"/>
      <c r="Y19" s="46"/>
      <c r="Z19" s="46"/>
      <c r="AA19" s="46"/>
      <c r="AB19" s="46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74"/>
      <c r="AS19" s="48"/>
      <c r="AT19" s="174"/>
      <c r="AU19" s="19"/>
      <c r="AV19" s="174"/>
    </row>
    <row r="20" spans="1:48" s="97" customFormat="1" ht="12.75" thickBot="1">
      <c r="A20" s="88" t="s">
        <v>24</v>
      </c>
      <c r="B20" s="103">
        <f>SUM(B13:B19)</f>
        <v>240397</v>
      </c>
      <c r="C20" s="90"/>
      <c r="D20" s="103">
        <f>SUM(D13:D19)</f>
        <v>60589.999999999913</v>
      </c>
      <c r="E20" s="90"/>
      <c r="F20" s="103">
        <f>SUM(F13:F19)</f>
        <v>184412.99999999983</v>
      </c>
      <c r="G20" s="62"/>
      <c r="H20" s="64"/>
      <c r="I20" s="63"/>
      <c r="J20" s="91">
        <f>SUM(J13:J19)</f>
        <v>1201865.4299999988</v>
      </c>
      <c r="K20" s="62"/>
      <c r="L20" s="91">
        <f>SUM(L13:L19)</f>
        <v>1201865.4299999988</v>
      </c>
      <c r="M20" s="62"/>
      <c r="N20" s="108">
        <f>SUM(N14:N19)</f>
        <v>60589.999999999913</v>
      </c>
      <c r="O20" s="67"/>
      <c r="P20" s="108">
        <f>SUM(P15:P19)</f>
        <v>184412.99999999983</v>
      </c>
      <c r="Q20" s="62"/>
      <c r="R20" s="32"/>
      <c r="S20" s="90"/>
      <c r="T20" s="91">
        <f>SUM(T13:T19)</f>
        <v>1465218.1096023922</v>
      </c>
      <c r="U20" s="90"/>
      <c r="V20" s="90"/>
      <c r="W20" s="207"/>
      <c r="X20" s="93"/>
      <c r="Y20" s="94"/>
      <c r="Z20" s="94"/>
      <c r="AA20" s="94"/>
      <c r="AB20" s="94"/>
      <c r="AC20" s="94"/>
      <c r="AD20" s="94" t="s">
        <v>25</v>
      </c>
      <c r="AE20" s="70"/>
      <c r="AF20" s="63"/>
      <c r="AG20" s="90"/>
      <c r="AH20" s="90"/>
      <c r="AI20" s="90"/>
      <c r="AJ20" s="63"/>
      <c r="AK20" s="208"/>
      <c r="AL20" s="63"/>
      <c r="AM20" s="208"/>
      <c r="AN20" s="63"/>
      <c r="AO20" s="208"/>
      <c r="AP20" s="63"/>
      <c r="AQ20" s="208"/>
      <c r="AR20" s="96"/>
      <c r="AS20" s="96"/>
      <c r="AT20" s="96"/>
      <c r="AU20" s="96"/>
      <c r="AV20" s="96"/>
    </row>
    <row r="21" spans="1:48" ht="12.75" thickTop="1">
      <c r="A21" s="88"/>
      <c r="B21" s="79"/>
      <c r="C21" s="80"/>
      <c r="D21" s="79"/>
      <c r="E21" s="74"/>
      <c r="F21" s="26"/>
      <c r="G21" s="26"/>
      <c r="H21" s="28"/>
      <c r="I21" s="75"/>
      <c r="J21" s="29"/>
      <c r="K21" s="26"/>
      <c r="L21" s="29"/>
      <c r="M21" s="26"/>
      <c r="N21" s="76"/>
      <c r="O21" s="31"/>
      <c r="P21" s="76"/>
      <c r="Q21" s="26"/>
      <c r="R21" s="32"/>
      <c r="S21" s="75"/>
      <c r="T21" s="33"/>
      <c r="U21" s="75"/>
      <c r="V21" s="75"/>
      <c r="W21" s="201"/>
      <c r="X21" s="45"/>
      <c r="Y21" s="46"/>
      <c r="Z21" s="46"/>
      <c r="AA21" s="46"/>
      <c r="AB21" s="46"/>
      <c r="AC21" s="4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174"/>
      <c r="AS21" s="174"/>
      <c r="AT21" s="174"/>
      <c r="AU21" s="19"/>
      <c r="AV21" s="174"/>
    </row>
    <row r="22" spans="1:48" ht="12.75" thickBot="1">
      <c r="A22" s="98" t="s">
        <v>26</v>
      </c>
      <c r="B22" s="79"/>
      <c r="C22" s="80"/>
      <c r="D22" s="79"/>
      <c r="E22" s="74"/>
      <c r="F22" s="26"/>
      <c r="G22" s="26"/>
      <c r="H22" s="28"/>
      <c r="I22" s="75"/>
      <c r="J22" s="29"/>
      <c r="K22" s="26"/>
      <c r="L22" s="99">
        <f>L20/+$D20</f>
        <v>19.836036144578323</v>
      </c>
      <c r="M22" s="26"/>
      <c r="N22" s="76"/>
      <c r="O22" s="31"/>
      <c r="P22" s="76"/>
      <c r="Q22" s="26"/>
      <c r="R22" s="32"/>
      <c r="S22" s="75"/>
      <c r="T22" s="99">
        <f>T20/+$D20</f>
        <v>24.18250717284031</v>
      </c>
      <c r="U22" s="75"/>
      <c r="V22" s="75"/>
      <c r="W22" s="201"/>
      <c r="X22" s="45"/>
      <c r="Y22" s="46"/>
      <c r="Z22" s="46"/>
      <c r="AA22" s="46"/>
      <c r="AB22" s="46"/>
      <c r="AC22" s="46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174"/>
      <c r="AS22" s="174"/>
      <c r="AT22" s="174"/>
      <c r="AU22" s="19"/>
      <c r="AV22" s="174"/>
    </row>
    <row r="23" spans="1:48" ht="12.75" thickTop="1">
      <c r="A23" s="73" t="s">
        <v>27</v>
      </c>
      <c r="B23" s="26">
        <f>(+'[18]5-8" W C E14'!I102+'[18]5-8" W-R Com E14'!I28)/1000</f>
        <v>26042</v>
      </c>
      <c r="C23" s="74"/>
      <c r="D23" s="26"/>
      <c r="E23" s="74"/>
      <c r="F23" s="26"/>
      <c r="G23" s="26"/>
      <c r="H23" s="28"/>
      <c r="I23" s="75"/>
      <c r="J23" s="29"/>
      <c r="K23" s="26"/>
      <c r="L23" s="29"/>
      <c r="M23" s="26"/>
      <c r="N23" s="76"/>
      <c r="O23" s="31"/>
      <c r="P23" s="76"/>
      <c r="Q23" s="26"/>
      <c r="R23" s="32"/>
      <c r="S23" s="74"/>
      <c r="T23" s="77"/>
      <c r="U23" s="74"/>
      <c r="V23" s="74"/>
      <c r="W23" s="203"/>
      <c r="X23" s="209"/>
      <c r="Y23" s="46"/>
      <c r="Z23" s="46"/>
      <c r="AA23" s="46"/>
      <c r="AB23" s="46"/>
      <c r="AC23" s="4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48"/>
      <c r="AS23" s="48"/>
      <c r="AT23" s="48"/>
      <c r="AU23" s="48"/>
      <c r="AV23" s="48"/>
    </row>
    <row r="24" spans="1:48">
      <c r="A24" s="78" t="s">
        <v>18</v>
      </c>
      <c r="B24" s="79"/>
      <c r="C24" s="80"/>
      <c r="D24" s="79">
        <f>+'[18]5-8" W C E14'!S106+'[18]5-8" W-R Com E14'!S32</f>
        <v>6429.9999999999918</v>
      </c>
      <c r="E24" s="74"/>
      <c r="F24" s="26"/>
      <c r="G24" s="26"/>
      <c r="H24" s="81">
        <f>+'[18]5-8" W C E14'!S2</f>
        <v>8.9600000000000009</v>
      </c>
      <c r="I24" s="75"/>
      <c r="J24" s="29">
        <f>H24*D24</f>
        <v>57612.79999999993</v>
      </c>
      <c r="K24" s="26"/>
      <c r="L24" s="29">
        <f t="shared" ref="L24:L29" si="4">+J24</f>
        <v>57612.79999999993</v>
      </c>
      <c r="M24" s="26"/>
      <c r="N24" s="76">
        <f>D24</f>
        <v>6429.9999999999918</v>
      </c>
      <c r="O24" s="31"/>
      <c r="P24" s="76"/>
      <c r="Q24" s="26"/>
      <c r="R24" s="82">
        <f t="shared" ref="R24:R29" si="5">H24*(1+$W$5)</f>
        <v>10.923314652654124</v>
      </c>
      <c r="S24" s="75"/>
      <c r="T24" s="83">
        <f>R24*+D24</f>
        <v>70236.913216565925</v>
      </c>
      <c r="U24" s="75"/>
      <c r="V24" s="75"/>
      <c r="W24" s="201"/>
      <c r="X24" s="45"/>
      <c r="Y24" s="46"/>
      <c r="Z24" s="46"/>
      <c r="AA24" s="46"/>
      <c r="AB24" s="46"/>
      <c r="AC24" s="46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74"/>
      <c r="AS24" s="174"/>
      <c r="AT24" s="174"/>
      <c r="AU24" s="19"/>
      <c r="AV24" s="174"/>
    </row>
    <row r="25" spans="1:48">
      <c r="A25" s="78" t="s">
        <v>19</v>
      </c>
      <c r="B25" s="79"/>
      <c r="C25" s="80"/>
      <c r="D25" s="79"/>
      <c r="E25" s="74"/>
      <c r="F25" s="26">
        <f>+'[18]5-8" W C E14'!V106+'[18]5-8" W-R Com E14'!V32</f>
        <v>13082.999999999998</v>
      </c>
      <c r="G25" s="26"/>
      <c r="H25" s="84">
        <f>+'[18]5-8" W C E14'!S4</f>
        <v>3.61</v>
      </c>
      <c r="I25" s="86"/>
      <c r="J25" s="76">
        <f>H25*F25</f>
        <v>47229.62999999999</v>
      </c>
      <c r="K25" s="26"/>
      <c r="L25" s="29">
        <f t="shared" si="4"/>
        <v>47229.62999999999</v>
      </c>
      <c r="M25" s="26"/>
      <c r="N25" s="76"/>
      <c r="O25" s="31"/>
      <c r="P25" s="76">
        <f t="shared" ref="P25:P29" si="6">SUM(F25)</f>
        <v>13082.999999999998</v>
      </c>
      <c r="Q25" s="26"/>
      <c r="R25" s="82">
        <f t="shared" si="5"/>
        <v>4.4010229794733684</v>
      </c>
      <c r="S25" s="75"/>
      <c r="T25" s="83">
        <f>R25*F25</f>
        <v>57578.583640450073</v>
      </c>
      <c r="U25" s="75"/>
      <c r="V25" s="75"/>
      <c r="W25" s="201"/>
      <c r="X25" s="45"/>
      <c r="Y25" s="46"/>
      <c r="Z25" s="46"/>
      <c r="AA25" s="46"/>
      <c r="AB25" s="46"/>
      <c r="AC25" s="46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74"/>
      <c r="AS25" s="174"/>
      <c r="AT25" s="174"/>
      <c r="AU25" s="19"/>
      <c r="AV25" s="174"/>
    </row>
    <row r="26" spans="1:48">
      <c r="A26" s="78" t="s">
        <v>20</v>
      </c>
      <c r="B26" s="79"/>
      <c r="C26" s="80"/>
      <c r="D26" s="79"/>
      <c r="E26" s="74"/>
      <c r="F26" s="26">
        <f>+'[18]5-8" W C E14'!W106+'[18]5-8" W-R Com E14'!W32</f>
        <v>4017.0000000000055</v>
      </c>
      <c r="G26" s="26"/>
      <c r="H26" s="84">
        <f>+'[18]5-8" W C E14'!S5</f>
        <v>3.29</v>
      </c>
      <c r="I26" s="86"/>
      <c r="J26" s="76">
        <f>H26*F26</f>
        <v>13215.930000000018</v>
      </c>
      <c r="K26" s="26"/>
      <c r="L26" s="29">
        <f t="shared" si="4"/>
        <v>13215.930000000018</v>
      </c>
      <c r="M26" s="26"/>
      <c r="N26" s="76"/>
      <c r="O26" s="31"/>
      <c r="P26" s="76">
        <f t="shared" si="6"/>
        <v>4017.0000000000055</v>
      </c>
      <c r="Q26" s="26"/>
      <c r="R26" s="82">
        <f t="shared" si="5"/>
        <v>4.0109045990214351</v>
      </c>
      <c r="S26" s="75"/>
      <c r="T26" s="83">
        <f t="shared" ref="T26:T29" si="7">R26*F26</f>
        <v>16111.803774269127</v>
      </c>
      <c r="U26" s="75"/>
      <c r="V26" s="75"/>
      <c r="W26" s="203"/>
      <c r="X26" s="45"/>
      <c r="Y26" s="46"/>
      <c r="Z26" s="46"/>
      <c r="AA26" s="46"/>
      <c r="AB26" s="46"/>
      <c r="AC26" s="46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174"/>
      <c r="AS26" s="174"/>
      <c r="AT26" s="174"/>
      <c r="AU26" s="19"/>
      <c r="AV26" s="174"/>
    </row>
    <row r="27" spans="1:48">
      <c r="A27" s="78" t="s">
        <v>21</v>
      </c>
      <c r="B27" s="79"/>
      <c r="C27" s="80"/>
      <c r="D27" s="79"/>
      <c r="E27" s="74"/>
      <c r="F27" s="26">
        <f>+'[18]5-8" W C E14'!X106+'[18]5-8" W-R Com E14'!X32</f>
        <v>2280</v>
      </c>
      <c r="G27" s="26"/>
      <c r="H27" s="84">
        <f>+'[18]5-8" W C E14'!S6</f>
        <v>3.12</v>
      </c>
      <c r="I27" s="86"/>
      <c r="J27" s="76">
        <f>H27*F27</f>
        <v>7113.6</v>
      </c>
      <c r="K27" s="26"/>
      <c r="L27" s="29">
        <f t="shared" si="4"/>
        <v>7113.6</v>
      </c>
      <c r="M27" s="26"/>
      <c r="N27" s="76"/>
      <c r="O27" s="31"/>
      <c r="P27" s="76">
        <f t="shared" si="6"/>
        <v>2280</v>
      </c>
      <c r="Q27" s="26"/>
      <c r="R27" s="82">
        <f t="shared" si="5"/>
        <v>3.8036542094063464</v>
      </c>
      <c r="S27" s="75"/>
      <c r="T27" s="83">
        <f t="shared" si="7"/>
        <v>8672.3315974464695</v>
      </c>
      <c r="U27" s="75"/>
      <c r="V27" s="75"/>
      <c r="W27" s="203"/>
      <c r="X27" s="45"/>
      <c r="Y27" s="46"/>
      <c r="Z27" s="46"/>
      <c r="AA27" s="46"/>
      <c r="AB27" s="46"/>
      <c r="AC27" s="46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174"/>
      <c r="AS27" s="48"/>
      <c r="AT27" s="174"/>
      <c r="AU27" s="19"/>
      <c r="AV27" s="174"/>
    </row>
    <row r="28" spans="1:48">
      <c r="A28" s="78" t="s">
        <v>22</v>
      </c>
      <c r="B28" s="79"/>
      <c r="C28" s="80"/>
      <c r="D28" s="79"/>
      <c r="E28" s="74"/>
      <c r="F28" s="26">
        <f>+'[18]5-8" W C E14'!Y106+'[18]5-8" W-R Com E14'!Y32</f>
        <v>1588.9999999999998</v>
      </c>
      <c r="G28" s="26"/>
      <c r="H28" s="84">
        <f>+'[18]5-8" W C E14'!S7</f>
        <v>2.79</v>
      </c>
      <c r="I28" s="86"/>
      <c r="J28" s="76">
        <f>H28*F28</f>
        <v>4433.3099999999995</v>
      </c>
      <c r="K28" s="26"/>
      <c r="L28" s="29">
        <f t="shared" si="4"/>
        <v>4433.3099999999995</v>
      </c>
      <c r="M28" s="26"/>
      <c r="N28" s="76"/>
      <c r="O28" s="31"/>
      <c r="P28" s="76">
        <f t="shared" si="6"/>
        <v>1588.9999999999998</v>
      </c>
      <c r="Q28" s="26"/>
      <c r="R28" s="82">
        <f t="shared" si="5"/>
        <v>3.4013446295652905</v>
      </c>
      <c r="S28" s="75"/>
      <c r="T28" s="83">
        <f t="shared" si="7"/>
        <v>5404.7366163792458</v>
      </c>
      <c r="U28" s="75"/>
      <c r="V28" s="75"/>
      <c r="W28" s="203"/>
      <c r="X28" s="45"/>
      <c r="Y28" s="46"/>
      <c r="Z28" s="46"/>
      <c r="AA28" s="46"/>
      <c r="AB28" s="46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174"/>
      <c r="AS28" s="48"/>
      <c r="AT28" s="174"/>
      <c r="AU28" s="19"/>
      <c r="AV28" s="174"/>
    </row>
    <row r="29" spans="1:48">
      <c r="A29" s="78" t="s">
        <v>23</v>
      </c>
      <c r="B29" s="79"/>
      <c r="C29" s="80"/>
      <c r="D29" s="79"/>
      <c r="E29" s="74"/>
      <c r="F29" s="26">
        <f>+'[18]5-8" W C E14'!Z106+'[18]5-8" W-R Com E14'!Z32</f>
        <v>267</v>
      </c>
      <c r="G29" s="26"/>
      <c r="H29" s="84">
        <f>+'[18]5-8" W C E14'!S8</f>
        <v>2.5499999999999998</v>
      </c>
      <c r="I29" s="86"/>
      <c r="J29" s="76">
        <f>H29*F29</f>
        <v>680.84999999999991</v>
      </c>
      <c r="K29" s="26"/>
      <c r="L29" s="29">
        <f t="shared" si="4"/>
        <v>680.84999999999991</v>
      </c>
      <c r="M29" s="26"/>
      <c r="N29" s="76"/>
      <c r="O29" s="31"/>
      <c r="P29" s="76">
        <f t="shared" si="6"/>
        <v>267</v>
      </c>
      <c r="Q29" s="26"/>
      <c r="R29" s="82">
        <f t="shared" si="5"/>
        <v>3.1087558442263403</v>
      </c>
      <c r="S29" s="75"/>
      <c r="T29" s="83">
        <f t="shared" si="7"/>
        <v>830.03781040843285</v>
      </c>
      <c r="U29" s="75"/>
      <c r="V29" s="75"/>
      <c r="W29" s="203"/>
      <c r="X29" s="45"/>
      <c r="Y29" s="46"/>
      <c r="Z29" s="46"/>
      <c r="AA29" s="46"/>
      <c r="AB29" s="46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74"/>
      <c r="AS29" s="48"/>
      <c r="AT29" s="174"/>
      <c r="AU29" s="19"/>
      <c r="AV29" s="174"/>
    </row>
    <row r="30" spans="1:48" s="97" customFormat="1" ht="12.75" thickBot="1">
      <c r="A30" s="88" t="s">
        <v>28</v>
      </c>
      <c r="B30" s="103">
        <f>SUM(B23:B29)</f>
        <v>26042</v>
      </c>
      <c r="C30" s="90"/>
      <c r="D30" s="103">
        <f>SUM(D23:D29)</f>
        <v>6429.9999999999918</v>
      </c>
      <c r="E30" s="90"/>
      <c r="F30" s="103">
        <f>SUM(F23:F29)</f>
        <v>21236.000000000004</v>
      </c>
      <c r="G30" s="62"/>
      <c r="H30" s="64"/>
      <c r="I30" s="63"/>
      <c r="J30" s="91">
        <f>SUM(J23:J29)</f>
        <v>130286.11999999995</v>
      </c>
      <c r="K30" s="62"/>
      <c r="L30" s="91">
        <f>SUM(L23:L29)</f>
        <v>130286.11999999995</v>
      </c>
      <c r="M30" s="62"/>
      <c r="N30" s="108">
        <f>SUM(N24:N29)</f>
        <v>6429.9999999999918</v>
      </c>
      <c r="O30" s="67"/>
      <c r="P30" s="108">
        <f>SUM(P25:P29)</f>
        <v>21236.000000000004</v>
      </c>
      <c r="Q30" s="62"/>
      <c r="R30" s="32"/>
      <c r="S30" s="90"/>
      <c r="T30" s="91">
        <f>SUM(T23:T29)</f>
        <v>158834.40665551924</v>
      </c>
      <c r="U30" s="90"/>
      <c r="V30" s="90"/>
      <c r="W30" s="206"/>
      <c r="X30" s="93"/>
      <c r="Y30" s="94"/>
      <c r="Z30" s="94"/>
      <c r="AA30" s="94"/>
      <c r="AB30" s="94"/>
      <c r="AC30" s="94"/>
      <c r="AD30" s="94" t="s">
        <v>25</v>
      </c>
      <c r="AE30" s="70"/>
      <c r="AF30" s="63"/>
      <c r="AG30" s="90"/>
      <c r="AH30" s="90"/>
      <c r="AI30" s="90"/>
      <c r="AJ30" s="63"/>
      <c r="AK30" s="208"/>
      <c r="AL30" s="63"/>
      <c r="AM30" s="208"/>
      <c r="AN30" s="63"/>
      <c r="AO30" s="208"/>
      <c r="AP30" s="63"/>
      <c r="AQ30" s="208"/>
      <c r="AR30" s="96"/>
      <c r="AS30" s="96"/>
      <c r="AT30" s="96"/>
      <c r="AU30" s="96"/>
      <c r="AV30" s="96"/>
    </row>
    <row r="31" spans="1:48" ht="12.75" thickTop="1">
      <c r="A31" s="88"/>
      <c r="B31" s="79"/>
      <c r="C31" s="80"/>
      <c r="D31" s="79"/>
      <c r="E31" s="74"/>
      <c r="F31" s="26"/>
      <c r="G31" s="26"/>
      <c r="H31" s="28"/>
      <c r="I31" s="75"/>
      <c r="J31" s="29"/>
      <c r="K31" s="26"/>
      <c r="L31" s="29"/>
      <c r="M31" s="26"/>
      <c r="N31" s="76"/>
      <c r="O31" s="31"/>
      <c r="P31" s="76"/>
      <c r="Q31" s="26"/>
      <c r="R31" s="32"/>
      <c r="S31" s="75"/>
      <c r="T31" s="33"/>
      <c r="U31" s="75"/>
      <c r="V31" s="75"/>
      <c r="W31" s="201"/>
      <c r="X31" s="45"/>
      <c r="Y31" s="46"/>
      <c r="Z31" s="46"/>
      <c r="AA31" s="46"/>
      <c r="AB31" s="46"/>
      <c r="AC31" s="46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74"/>
      <c r="AS31" s="174"/>
      <c r="AT31" s="174"/>
      <c r="AU31" s="19"/>
      <c r="AV31" s="174"/>
    </row>
    <row r="32" spans="1:48" ht="12.75" thickBot="1">
      <c r="A32" s="98" t="s">
        <v>29</v>
      </c>
      <c r="B32" s="79"/>
      <c r="C32" s="80"/>
      <c r="D32" s="79"/>
      <c r="E32" s="74"/>
      <c r="F32" s="26"/>
      <c r="G32" s="26"/>
      <c r="H32" s="28"/>
      <c r="I32" s="75"/>
      <c r="J32" s="29"/>
      <c r="K32" s="26"/>
      <c r="L32" s="99">
        <f>L30/+$D30</f>
        <v>20.262227060653206</v>
      </c>
      <c r="M32" s="26"/>
      <c r="N32" s="76"/>
      <c r="O32" s="31"/>
      <c r="P32" s="76"/>
      <c r="Q32" s="26"/>
      <c r="R32" s="32"/>
      <c r="S32" s="75"/>
      <c r="T32" s="99">
        <f>T30/+$D30</f>
        <v>24.702085016410489</v>
      </c>
      <c r="U32" s="75"/>
      <c r="V32" s="75"/>
      <c r="W32" s="201"/>
      <c r="X32" s="45"/>
      <c r="Y32" s="46"/>
      <c r="Z32" s="46"/>
      <c r="AA32" s="46"/>
      <c r="AB32" s="46"/>
      <c r="AC32" s="4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174"/>
      <c r="AS32" s="174"/>
      <c r="AT32" s="174"/>
      <c r="AU32" s="19"/>
      <c r="AV32" s="174"/>
    </row>
    <row r="33" spans="1:48" ht="12.75" thickTop="1">
      <c r="A33" s="73" t="s">
        <v>30</v>
      </c>
      <c r="B33" s="26">
        <f>+'[18]5-8" W Gov E14'!I39/1000</f>
        <v>1877</v>
      </c>
      <c r="C33" s="74"/>
      <c r="D33" s="26"/>
      <c r="E33" s="74"/>
      <c r="F33" s="26"/>
      <c r="G33" s="26"/>
      <c r="H33" s="28"/>
      <c r="I33" s="75"/>
      <c r="J33" s="29"/>
      <c r="K33" s="26"/>
      <c r="L33" s="29"/>
      <c r="M33" s="26"/>
      <c r="N33" s="76"/>
      <c r="O33" s="31"/>
      <c r="P33" s="76"/>
      <c r="Q33" s="26"/>
      <c r="R33" s="32"/>
      <c r="S33" s="74"/>
      <c r="T33" s="77"/>
      <c r="U33" s="74"/>
      <c r="V33" s="74"/>
      <c r="W33" s="203"/>
      <c r="X33" s="45"/>
      <c r="Y33" s="46"/>
      <c r="Z33" s="46"/>
      <c r="AA33" s="46"/>
      <c r="AB33" s="46"/>
      <c r="AC33" s="46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48"/>
      <c r="AS33" s="48"/>
      <c r="AT33" s="48"/>
      <c r="AU33" s="48"/>
      <c r="AV33" s="48"/>
    </row>
    <row r="34" spans="1:48">
      <c r="A34" s="78" t="s">
        <v>18</v>
      </c>
      <c r="B34" s="79"/>
      <c r="C34" s="80"/>
      <c r="D34" s="79">
        <f>+'[18]5-8" W Gov E14'!S43</f>
        <v>160.00000000000011</v>
      </c>
      <c r="E34" s="74"/>
      <c r="F34" s="26"/>
      <c r="G34" s="26"/>
      <c r="H34" s="81">
        <f>+'[18]5-8" W Gov E14'!S2</f>
        <v>8.9600000000000009</v>
      </c>
      <c r="I34" s="75"/>
      <c r="J34" s="29">
        <f>H34*D34</f>
        <v>1433.600000000001</v>
      </c>
      <c r="K34" s="26"/>
      <c r="L34" s="29">
        <f t="shared" ref="L34:L39" si="8">+J34</f>
        <v>1433.600000000001</v>
      </c>
      <c r="M34" s="26"/>
      <c r="N34" s="76">
        <f>D34</f>
        <v>160.00000000000011</v>
      </c>
      <c r="O34" s="31"/>
      <c r="P34" s="76"/>
      <c r="Q34" s="26"/>
      <c r="R34" s="82">
        <f t="shared" ref="R34:R39" si="9">H34*(1+$W$5)</f>
        <v>10.923314652654124</v>
      </c>
      <c r="S34" s="75"/>
      <c r="T34" s="83">
        <f>R34*+D34</f>
        <v>1747.7303444246611</v>
      </c>
      <c r="U34" s="75"/>
      <c r="V34" s="75"/>
      <c r="W34" s="201"/>
      <c r="X34" s="45"/>
      <c r="Y34" s="46"/>
      <c r="Z34" s="46"/>
      <c r="AA34" s="46"/>
      <c r="AB34" s="46"/>
      <c r="AC34" s="46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174"/>
      <c r="AS34" s="174"/>
      <c r="AT34" s="174"/>
      <c r="AU34" s="19"/>
      <c r="AV34" s="174"/>
    </row>
    <row r="35" spans="1:48">
      <c r="A35" s="78" t="s">
        <v>19</v>
      </c>
      <c r="B35" s="79"/>
      <c r="C35" s="80"/>
      <c r="D35" s="79"/>
      <c r="E35" s="74"/>
      <c r="F35" s="26">
        <f>+'[18]5-8" W Gov E14'!V43</f>
        <v>405.00000000000006</v>
      </c>
      <c r="G35" s="26"/>
      <c r="H35" s="84">
        <f>+'[18]5-8" W Gov E14'!S4</f>
        <v>3.61</v>
      </c>
      <c r="I35" s="75"/>
      <c r="J35" s="76">
        <f>H35*F35</f>
        <v>1462.0500000000002</v>
      </c>
      <c r="K35" s="26"/>
      <c r="L35" s="29">
        <f t="shared" si="8"/>
        <v>1462.0500000000002</v>
      </c>
      <c r="M35" s="26"/>
      <c r="N35" s="76"/>
      <c r="O35" s="31"/>
      <c r="P35" s="76">
        <f t="shared" ref="P35:P39" si="10">SUM(F35)</f>
        <v>405.00000000000006</v>
      </c>
      <c r="Q35" s="26"/>
      <c r="R35" s="82">
        <f t="shared" si="9"/>
        <v>4.4010229794733684</v>
      </c>
      <c r="S35" s="75"/>
      <c r="T35" s="83">
        <f>R35*F35</f>
        <v>1782.4143066867146</v>
      </c>
      <c r="U35" s="75"/>
      <c r="V35" s="75"/>
      <c r="W35" s="201"/>
      <c r="X35" s="45"/>
      <c r="Y35" s="46"/>
      <c r="Z35" s="46"/>
      <c r="AA35" s="46"/>
      <c r="AB35" s="46"/>
      <c r="AC35" s="46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174"/>
      <c r="AS35" s="174"/>
      <c r="AT35" s="174"/>
      <c r="AU35" s="19"/>
      <c r="AV35" s="174"/>
    </row>
    <row r="36" spans="1:48">
      <c r="A36" s="78" t="s">
        <v>20</v>
      </c>
      <c r="B36" s="79"/>
      <c r="C36" s="80"/>
      <c r="D36" s="79"/>
      <c r="E36" s="74"/>
      <c r="F36" s="26">
        <f>+'[18]5-8" W Gov E14'!W43</f>
        <v>291.00000000000006</v>
      </c>
      <c r="G36" s="26"/>
      <c r="H36" s="84">
        <f>+'[18]5-8" W Gov E14'!S5</f>
        <v>3.29</v>
      </c>
      <c r="I36" s="75"/>
      <c r="J36" s="76">
        <f>H36*F36</f>
        <v>957.39000000000021</v>
      </c>
      <c r="K36" s="26"/>
      <c r="L36" s="29">
        <f t="shared" si="8"/>
        <v>957.39000000000021</v>
      </c>
      <c r="M36" s="26"/>
      <c r="N36" s="76"/>
      <c r="O36" s="31"/>
      <c r="P36" s="76">
        <f t="shared" si="10"/>
        <v>291.00000000000006</v>
      </c>
      <c r="Q36" s="26"/>
      <c r="R36" s="82">
        <f t="shared" si="9"/>
        <v>4.0109045990214351</v>
      </c>
      <c r="S36" s="75"/>
      <c r="T36" s="83">
        <f t="shared" ref="T36:T39" si="11">R36*F36</f>
        <v>1167.1732383152378</v>
      </c>
      <c r="U36" s="75"/>
      <c r="V36" s="75"/>
      <c r="W36" s="203"/>
      <c r="X36" s="45"/>
      <c r="Y36" s="46"/>
      <c r="Z36" s="46"/>
      <c r="AA36" s="46"/>
      <c r="AB36" s="46"/>
      <c r="AC36" s="46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174"/>
      <c r="AS36" s="174"/>
      <c r="AT36" s="174"/>
      <c r="AU36" s="19"/>
      <c r="AV36" s="174"/>
    </row>
    <row r="37" spans="1:48">
      <c r="A37" s="78" t="s">
        <v>21</v>
      </c>
      <c r="B37" s="79"/>
      <c r="C37" s="80"/>
      <c r="D37" s="79"/>
      <c r="E37" s="74"/>
      <c r="F37" s="26">
        <f>+'[18]5-8" W Gov E14'!X43</f>
        <v>375</v>
      </c>
      <c r="G37" s="26"/>
      <c r="H37" s="84">
        <f>+'[18]5-8" W Gov E14'!S6</f>
        <v>3.12</v>
      </c>
      <c r="I37" s="75"/>
      <c r="J37" s="76">
        <f>H37*F37</f>
        <v>1170</v>
      </c>
      <c r="K37" s="26"/>
      <c r="L37" s="29">
        <f t="shared" si="8"/>
        <v>1170</v>
      </c>
      <c r="M37" s="26"/>
      <c r="N37" s="76"/>
      <c r="O37" s="31"/>
      <c r="P37" s="76">
        <f t="shared" si="10"/>
        <v>375</v>
      </c>
      <c r="Q37" s="26"/>
      <c r="R37" s="82">
        <f t="shared" si="9"/>
        <v>3.8036542094063464</v>
      </c>
      <c r="S37" s="75"/>
      <c r="T37" s="83">
        <f t="shared" si="11"/>
        <v>1426.3703285273798</v>
      </c>
      <c r="U37" s="75"/>
      <c r="V37" s="75"/>
      <c r="W37" s="203"/>
      <c r="X37" s="45"/>
      <c r="Y37" s="46"/>
      <c r="Z37" s="46"/>
      <c r="AA37" s="46"/>
      <c r="AB37" s="46"/>
      <c r="AC37" s="4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174"/>
      <c r="AS37" s="48"/>
      <c r="AT37" s="174"/>
      <c r="AU37" s="19"/>
      <c r="AV37" s="174"/>
    </row>
    <row r="38" spans="1:48">
      <c r="A38" s="78" t="s">
        <v>22</v>
      </c>
      <c r="B38" s="79"/>
      <c r="C38" s="80"/>
      <c r="D38" s="79"/>
      <c r="E38" s="74"/>
      <c r="F38" s="26">
        <f>+'[18]5-8" W Gov E14'!Y43</f>
        <v>580</v>
      </c>
      <c r="G38" s="26"/>
      <c r="H38" s="84">
        <f>+'[18]5-8" W Gov E14'!S7</f>
        <v>2.79</v>
      </c>
      <c r="I38" s="75"/>
      <c r="J38" s="76">
        <f>H38*F38</f>
        <v>1618.2</v>
      </c>
      <c r="K38" s="26"/>
      <c r="L38" s="29">
        <f t="shared" si="8"/>
        <v>1618.2</v>
      </c>
      <c r="M38" s="26"/>
      <c r="N38" s="76"/>
      <c r="O38" s="31"/>
      <c r="P38" s="76">
        <f t="shared" si="10"/>
        <v>580</v>
      </c>
      <c r="Q38" s="26"/>
      <c r="R38" s="82">
        <f t="shared" si="9"/>
        <v>3.4013446295652905</v>
      </c>
      <c r="S38" s="75"/>
      <c r="T38" s="83">
        <f t="shared" si="11"/>
        <v>1972.7798851478685</v>
      </c>
      <c r="U38" s="75"/>
      <c r="V38" s="75"/>
      <c r="W38" s="203"/>
      <c r="X38" s="45"/>
      <c r="Y38" s="46"/>
      <c r="Z38" s="46"/>
      <c r="AA38" s="46"/>
      <c r="AB38" s="46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174"/>
      <c r="AS38" s="48"/>
      <c r="AT38" s="174"/>
      <c r="AU38" s="19"/>
      <c r="AV38" s="174"/>
    </row>
    <row r="39" spans="1:48">
      <c r="A39" s="78" t="s">
        <v>23</v>
      </c>
      <c r="B39" s="79"/>
      <c r="C39" s="80"/>
      <c r="D39" s="79"/>
      <c r="E39" s="74"/>
      <c r="F39" s="26">
        <f>+'[18]5-8" W Gov E14'!Z43</f>
        <v>119</v>
      </c>
      <c r="G39" s="26"/>
      <c r="H39" s="84">
        <f>+'[18]5-8" W Gov E14'!S8</f>
        <v>2.5499999999999998</v>
      </c>
      <c r="I39" s="75"/>
      <c r="J39" s="76">
        <f>H39*F39</f>
        <v>303.45</v>
      </c>
      <c r="K39" s="26"/>
      <c r="L39" s="29">
        <f t="shared" si="8"/>
        <v>303.45</v>
      </c>
      <c r="M39" s="26"/>
      <c r="N39" s="76"/>
      <c r="O39" s="31"/>
      <c r="P39" s="76">
        <f t="shared" si="10"/>
        <v>119</v>
      </c>
      <c r="Q39" s="26"/>
      <c r="R39" s="82">
        <f t="shared" si="9"/>
        <v>3.1087558442263403</v>
      </c>
      <c r="S39" s="75"/>
      <c r="T39" s="83">
        <f t="shared" si="11"/>
        <v>369.94194546293448</v>
      </c>
      <c r="U39" s="75"/>
      <c r="V39" s="75"/>
      <c r="W39" s="203"/>
      <c r="X39" s="45"/>
      <c r="Y39" s="46"/>
      <c r="Z39" s="46"/>
      <c r="AA39" s="46"/>
      <c r="AB39" s="46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174"/>
      <c r="AS39" s="48"/>
      <c r="AT39" s="174"/>
      <c r="AU39" s="19"/>
      <c r="AV39" s="174"/>
    </row>
    <row r="40" spans="1:48" s="97" customFormat="1" ht="12.75" thickBot="1">
      <c r="A40" s="88" t="s">
        <v>31</v>
      </c>
      <c r="B40" s="103">
        <f>SUM(B33:B39)</f>
        <v>1877</v>
      </c>
      <c r="C40" s="90"/>
      <c r="D40" s="103">
        <f>SUM(D33:D39)</f>
        <v>160.00000000000011</v>
      </c>
      <c r="E40" s="90"/>
      <c r="F40" s="103">
        <f>SUM(F33:F39)</f>
        <v>1770</v>
      </c>
      <c r="G40" s="62"/>
      <c r="H40" s="64"/>
      <c r="I40" s="63"/>
      <c r="J40" s="91">
        <f>SUM(J33:J39)</f>
        <v>6944.6900000000014</v>
      </c>
      <c r="K40" s="62"/>
      <c r="L40" s="91">
        <f>SUM(L33:L39)</f>
        <v>6944.6900000000014</v>
      </c>
      <c r="M40" s="62"/>
      <c r="N40" s="108">
        <f>SUM(N34:N39)</f>
        <v>160.00000000000011</v>
      </c>
      <c r="O40" s="67"/>
      <c r="P40" s="108">
        <f>SUM(P35:P39)</f>
        <v>1770</v>
      </c>
      <c r="Q40" s="62"/>
      <c r="R40" s="32"/>
      <c r="S40" s="90"/>
      <c r="T40" s="91">
        <f>SUM(T33:T39)</f>
        <v>8466.4100485647959</v>
      </c>
      <c r="U40" s="90"/>
      <c r="V40" s="90"/>
      <c r="W40" s="206"/>
      <c r="X40" s="93"/>
      <c r="Y40" s="94"/>
      <c r="Z40" s="94"/>
      <c r="AA40" s="94"/>
      <c r="AB40" s="94"/>
      <c r="AC40" s="94"/>
      <c r="AD40" s="94" t="s">
        <v>25</v>
      </c>
      <c r="AE40" s="70"/>
      <c r="AF40" s="63"/>
      <c r="AG40" s="90"/>
      <c r="AH40" s="90"/>
      <c r="AI40" s="90"/>
      <c r="AJ40" s="63"/>
      <c r="AK40" s="208"/>
      <c r="AL40" s="63"/>
      <c r="AM40" s="208"/>
      <c r="AN40" s="63"/>
      <c r="AO40" s="208"/>
      <c r="AP40" s="63"/>
      <c r="AQ40" s="208"/>
      <c r="AR40" s="96"/>
      <c r="AS40" s="96"/>
      <c r="AT40" s="96"/>
      <c r="AU40" s="96"/>
      <c r="AV40" s="96"/>
    </row>
    <row r="41" spans="1:48" ht="12.75" thickTop="1">
      <c r="A41" s="88"/>
      <c r="B41" s="79"/>
      <c r="C41" s="80"/>
      <c r="D41" s="79"/>
      <c r="E41" s="74"/>
      <c r="F41" s="26"/>
      <c r="G41" s="26"/>
      <c r="H41" s="28"/>
      <c r="I41" s="75"/>
      <c r="J41" s="29"/>
      <c r="K41" s="26"/>
      <c r="L41" s="29"/>
      <c r="M41" s="26"/>
      <c r="N41" s="76"/>
      <c r="O41" s="31"/>
      <c r="P41" s="76"/>
      <c r="Q41" s="26"/>
      <c r="R41" s="32"/>
      <c r="S41" s="75"/>
      <c r="T41" s="33"/>
      <c r="U41" s="75"/>
      <c r="V41" s="75"/>
      <c r="W41" s="201"/>
      <c r="X41" s="45"/>
      <c r="Y41" s="46"/>
      <c r="Z41" s="46"/>
      <c r="AA41" s="46"/>
      <c r="AB41" s="46"/>
      <c r="AC41" s="46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174"/>
      <c r="AS41" s="174"/>
      <c r="AT41" s="174"/>
      <c r="AU41" s="19"/>
      <c r="AV41" s="174"/>
    </row>
    <row r="42" spans="1:48" ht="12.75" thickBot="1">
      <c r="A42" s="98" t="s">
        <v>32</v>
      </c>
      <c r="B42" s="79"/>
      <c r="C42" s="80"/>
      <c r="D42" s="79"/>
      <c r="E42" s="74"/>
      <c r="F42" s="26"/>
      <c r="G42" s="26"/>
      <c r="H42" s="28"/>
      <c r="I42" s="75"/>
      <c r="J42" s="29"/>
      <c r="K42" s="26"/>
      <c r="L42" s="99">
        <f>L40/+$D40</f>
        <v>43.404312499999975</v>
      </c>
      <c r="M42" s="26"/>
      <c r="N42" s="76"/>
      <c r="O42" s="31"/>
      <c r="P42" s="76"/>
      <c r="Q42" s="26"/>
      <c r="R42" s="32"/>
      <c r="S42" s="75"/>
      <c r="T42" s="99">
        <f>T40/+$D40</f>
        <v>52.915062803529935</v>
      </c>
      <c r="U42" s="75"/>
      <c r="V42" s="75"/>
      <c r="W42" s="201"/>
      <c r="X42" s="45"/>
      <c r="Y42" s="46"/>
      <c r="Z42" s="46"/>
      <c r="AA42" s="46"/>
      <c r="AB42" s="46"/>
      <c r="AC42" s="46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174"/>
      <c r="AS42" s="174"/>
      <c r="AT42" s="174"/>
      <c r="AU42" s="19"/>
      <c r="AV42" s="174"/>
    </row>
    <row r="43" spans="1:48" ht="12.75" thickTop="1">
      <c r="A43" s="73" t="s">
        <v>33</v>
      </c>
      <c r="B43" s="26">
        <f>+'[18]5-8" W Ind E14'!I37/1000</f>
        <v>1414</v>
      </c>
      <c r="C43" s="74"/>
      <c r="D43" s="26"/>
      <c r="E43" s="74"/>
      <c r="F43" s="26"/>
      <c r="G43" s="26"/>
      <c r="H43" s="28"/>
      <c r="I43" s="75"/>
      <c r="J43" s="29"/>
      <c r="K43" s="26"/>
      <c r="L43" s="29"/>
      <c r="M43" s="26"/>
      <c r="N43" s="76"/>
      <c r="O43" s="31"/>
      <c r="P43" s="76"/>
      <c r="Q43" s="26"/>
      <c r="R43" s="32"/>
      <c r="S43" s="74"/>
      <c r="T43" s="77"/>
      <c r="U43" s="74"/>
      <c r="V43" s="74"/>
      <c r="W43" s="203"/>
      <c r="X43" s="45"/>
      <c r="Y43" s="46"/>
      <c r="Z43" s="46"/>
      <c r="AA43" s="46"/>
      <c r="AB43" s="46"/>
      <c r="AC43" s="46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48"/>
      <c r="AS43" s="48"/>
      <c r="AT43" s="48"/>
      <c r="AU43" s="48"/>
      <c r="AV43" s="48"/>
    </row>
    <row r="44" spans="1:48">
      <c r="A44" s="78" t="s">
        <v>18</v>
      </c>
      <c r="B44" s="79"/>
      <c r="C44" s="80"/>
      <c r="D44" s="79">
        <f>+'[18]5-8" W Ind E14'!S41</f>
        <v>93.000000000000057</v>
      </c>
      <c r="E44" s="74"/>
      <c r="F44" s="26"/>
      <c r="G44" s="26"/>
      <c r="H44" s="81">
        <f>+'[18]5-8" W Ind E14'!S2</f>
        <v>8.9600000000000009</v>
      </c>
      <c r="I44" s="75"/>
      <c r="J44" s="29">
        <f>H44*D44</f>
        <v>833.28000000000054</v>
      </c>
      <c r="K44" s="26"/>
      <c r="L44" s="29">
        <f t="shared" ref="L44:L49" si="12">+J44</f>
        <v>833.28000000000054</v>
      </c>
      <c r="M44" s="26"/>
      <c r="N44" s="76">
        <f>D44</f>
        <v>93.000000000000057</v>
      </c>
      <c r="O44" s="31"/>
      <c r="P44" s="76"/>
      <c r="Q44" s="26"/>
      <c r="R44" s="82">
        <f t="shared" ref="R44:R49" si="13">H44*(1+$W$5)</f>
        <v>10.923314652654124</v>
      </c>
      <c r="S44" s="75"/>
      <c r="T44" s="83">
        <f>R44*+D44</f>
        <v>1015.8682626968341</v>
      </c>
      <c r="U44" s="75"/>
      <c r="V44" s="75"/>
      <c r="W44" s="201"/>
      <c r="X44" s="45"/>
      <c r="Y44" s="46"/>
      <c r="Z44" s="46"/>
      <c r="AA44" s="46"/>
      <c r="AB44" s="46"/>
      <c r="AC44" s="46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174"/>
      <c r="AS44" s="174"/>
      <c r="AT44" s="174"/>
      <c r="AU44" s="19"/>
      <c r="AV44" s="174"/>
    </row>
    <row r="45" spans="1:48">
      <c r="A45" s="78" t="s">
        <v>19</v>
      </c>
      <c r="B45" s="79"/>
      <c r="C45" s="80"/>
      <c r="D45" s="79"/>
      <c r="E45" s="74"/>
      <c r="F45" s="26">
        <f>+'[18]5-8" W Ind E14'!V41</f>
        <v>317.00000000000006</v>
      </c>
      <c r="G45" s="26"/>
      <c r="H45" s="84">
        <f>+'[18]5-8" W Ind E14'!S4</f>
        <v>3.61</v>
      </c>
      <c r="I45" s="75"/>
      <c r="J45" s="76">
        <f>H45*F45</f>
        <v>1144.3700000000001</v>
      </c>
      <c r="K45" s="26"/>
      <c r="L45" s="29">
        <f t="shared" si="12"/>
        <v>1144.3700000000001</v>
      </c>
      <c r="M45" s="26"/>
      <c r="N45" s="76"/>
      <c r="O45" s="31"/>
      <c r="P45" s="76">
        <f t="shared" ref="P45:P49" si="14">SUM(F45)</f>
        <v>317.00000000000006</v>
      </c>
      <c r="Q45" s="26"/>
      <c r="R45" s="82">
        <f t="shared" si="13"/>
        <v>4.4010229794733684</v>
      </c>
      <c r="S45" s="75"/>
      <c r="T45" s="83">
        <f>R45*F45</f>
        <v>1395.124284493058</v>
      </c>
      <c r="U45" s="75"/>
      <c r="V45" s="75"/>
      <c r="W45" s="201"/>
      <c r="X45" s="45"/>
      <c r="Y45" s="46"/>
      <c r="Z45" s="46"/>
      <c r="AA45" s="46"/>
      <c r="AB45" s="46"/>
      <c r="AC45" s="46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174"/>
      <c r="AS45" s="174"/>
      <c r="AT45" s="174"/>
      <c r="AU45" s="19"/>
      <c r="AV45" s="174"/>
    </row>
    <row r="46" spans="1:48">
      <c r="A46" s="78" t="s">
        <v>20</v>
      </c>
      <c r="B46" s="79"/>
      <c r="C46" s="80"/>
      <c r="D46" s="79"/>
      <c r="E46" s="74"/>
      <c r="F46" s="26">
        <f>+'[18]5-8" W Ind E14'!W41</f>
        <v>195.00000000000003</v>
      </c>
      <c r="G46" s="26"/>
      <c r="H46" s="84">
        <f>+'[18]5-8" W Ind E14'!S5</f>
        <v>3.29</v>
      </c>
      <c r="I46" s="75"/>
      <c r="J46" s="76">
        <f>H46*F46</f>
        <v>641.55000000000007</v>
      </c>
      <c r="K46" s="26"/>
      <c r="L46" s="29">
        <f t="shared" si="12"/>
        <v>641.55000000000007</v>
      </c>
      <c r="M46" s="26"/>
      <c r="N46" s="76"/>
      <c r="O46" s="31"/>
      <c r="P46" s="76">
        <f t="shared" si="14"/>
        <v>195.00000000000003</v>
      </c>
      <c r="Q46" s="26"/>
      <c r="R46" s="82">
        <f t="shared" si="13"/>
        <v>4.0109045990214351</v>
      </c>
      <c r="S46" s="75"/>
      <c r="T46" s="83">
        <f t="shared" ref="T46:T49" si="15">R46*F46</f>
        <v>782.12639680917994</v>
      </c>
      <c r="U46" s="75"/>
      <c r="V46" s="75"/>
      <c r="W46" s="203"/>
      <c r="X46" s="45"/>
      <c r="Y46" s="46"/>
      <c r="Z46" s="46"/>
      <c r="AA46" s="46"/>
      <c r="AB46" s="46"/>
      <c r="AC46" s="46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174"/>
      <c r="AS46" s="174"/>
      <c r="AT46" s="174"/>
      <c r="AU46" s="19"/>
      <c r="AV46" s="174"/>
    </row>
    <row r="47" spans="1:48">
      <c r="A47" s="78" t="s">
        <v>21</v>
      </c>
      <c r="B47" s="79"/>
      <c r="C47" s="80"/>
      <c r="D47" s="79"/>
      <c r="E47" s="74"/>
      <c r="F47" s="26">
        <f>+'[18]5-8" W Ind E14'!X41</f>
        <v>300</v>
      </c>
      <c r="G47" s="26"/>
      <c r="H47" s="84">
        <f>+'[18]5-8" W Ind E14'!S6</f>
        <v>3.12</v>
      </c>
      <c r="I47" s="75"/>
      <c r="J47" s="76">
        <f>H47*F47</f>
        <v>936</v>
      </c>
      <c r="K47" s="26"/>
      <c r="L47" s="29">
        <f t="shared" si="12"/>
        <v>936</v>
      </c>
      <c r="M47" s="26"/>
      <c r="N47" s="76"/>
      <c r="O47" s="31"/>
      <c r="P47" s="76">
        <f t="shared" si="14"/>
        <v>300</v>
      </c>
      <c r="Q47" s="26"/>
      <c r="R47" s="82">
        <f t="shared" si="13"/>
        <v>3.8036542094063464</v>
      </c>
      <c r="S47" s="75"/>
      <c r="T47" s="83">
        <f t="shared" si="15"/>
        <v>1141.096262821904</v>
      </c>
      <c r="U47" s="75"/>
      <c r="V47" s="75"/>
      <c r="W47" s="203"/>
      <c r="X47" s="45"/>
      <c r="Y47" s="46"/>
      <c r="Z47" s="46"/>
      <c r="AA47" s="46"/>
      <c r="AB47" s="46"/>
      <c r="AC47" s="46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174"/>
      <c r="AS47" s="48"/>
      <c r="AT47" s="174"/>
      <c r="AU47" s="19"/>
      <c r="AV47" s="174"/>
    </row>
    <row r="48" spans="1:48">
      <c r="A48" s="78" t="s">
        <v>22</v>
      </c>
      <c r="B48" s="79"/>
      <c r="C48" s="80"/>
      <c r="D48" s="79"/>
      <c r="E48" s="74"/>
      <c r="F48" s="26">
        <f>+'[18]5-8" W Ind E14'!Y41</f>
        <v>430</v>
      </c>
      <c r="G48" s="26"/>
      <c r="H48" s="84">
        <f>+'[18]5-8" W Ind E14'!S7</f>
        <v>2.79</v>
      </c>
      <c r="I48" s="75"/>
      <c r="J48" s="76">
        <f>H48*F48</f>
        <v>1199.7</v>
      </c>
      <c r="K48" s="26"/>
      <c r="L48" s="29">
        <f t="shared" si="12"/>
        <v>1199.7</v>
      </c>
      <c r="M48" s="26"/>
      <c r="N48" s="76"/>
      <c r="O48" s="31"/>
      <c r="P48" s="76">
        <f t="shared" si="14"/>
        <v>430</v>
      </c>
      <c r="Q48" s="26"/>
      <c r="R48" s="82">
        <f t="shared" si="13"/>
        <v>3.4013446295652905</v>
      </c>
      <c r="S48" s="75"/>
      <c r="T48" s="83">
        <f t="shared" si="15"/>
        <v>1462.5781907130749</v>
      </c>
      <c r="U48" s="75"/>
      <c r="V48" s="75"/>
      <c r="W48" s="203"/>
      <c r="X48" s="45"/>
      <c r="Y48" s="46"/>
      <c r="Z48" s="46"/>
      <c r="AA48" s="46"/>
      <c r="AB48" s="46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174"/>
      <c r="AS48" s="48"/>
      <c r="AT48" s="174"/>
      <c r="AU48" s="19"/>
      <c r="AV48" s="174"/>
    </row>
    <row r="49" spans="1:48">
      <c r="A49" s="78" t="s">
        <v>23</v>
      </c>
      <c r="B49" s="79"/>
      <c r="C49" s="80"/>
      <c r="D49" s="79"/>
      <c r="E49" s="74"/>
      <c r="F49" s="26">
        <f>+'[18]5-8" W Ind E14'!Z41</f>
        <v>91</v>
      </c>
      <c r="G49" s="26"/>
      <c r="H49" s="84">
        <f>+'[18]5-8" W Ind E14'!S8</f>
        <v>2.5499999999999998</v>
      </c>
      <c r="I49" s="75"/>
      <c r="J49" s="76">
        <f>H49*F49</f>
        <v>232.04999999999998</v>
      </c>
      <c r="K49" s="26"/>
      <c r="L49" s="29">
        <f t="shared" si="12"/>
        <v>232.04999999999998</v>
      </c>
      <c r="M49" s="26"/>
      <c r="N49" s="76"/>
      <c r="O49" s="31"/>
      <c r="P49" s="76">
        <f t="shared" si="14"/>
        <v>91</v>
      </c>
      <c r="Q49" s="26"/>
      <c r="R49" s="82">
        <f t="shared" si="13"/>
        <v>3.1087558442263403</v>
      </c>
      <c r="S49" s="75"/>
      <c r="T49" s="83">
        <f t="shared" si="15"/>
        <v>282.89678182459699</v>
      </c>
      <c r="U49" s="75"/>
      <c r="V49" s="75"/>
      <c r="W49" s="203"/>
      <c r="X49" s="45"/>
      <c r="Y49" s="46"/>
      <c r="Z49" s="46"/>
      <c r="AA49" s="46"/>
      <c r="AB49" s="46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174"/>
      <c r="AS49" s="48"/>
      <c r="AT49" s="174"/>
      <c r="AU49" s="19"/>
      <c r="AV49" s="174"/>
    </row>
    <row r="50" spans="1:48" s="97" customFormat="1" ht="12.75" thickBot="1">
      <c r="A50" s="88" t="s">
        <v>34</v>
      </c>
      <c r="B50" s="103">
        <f>SUM(B43:B49)</f>
        <v>1414</v>
      </c>
      <c r="C50" s="90"/>
      <c r="D50" s="103">
        <f>SUM(D43:D49)</f>
        <v>93.000000000000057</v>
      </c>
      <c r="E50" s="90"/>
      <c r="F50" s="103">
        <f>SUM(F43:F49)</f>
        <v>1333</v>
      </c>
      <c r="G50" s="62"/>
      <c r="H50" s="64"/>
      <c r="I50" s="63"/>
      <c r="J50" s="91">
        <f>SUM(J43:J49)</f>
        <v>4986.9500000000007</v>
      </c>
      <c r="K50" s="62"/>
      <c r="L50" s="91">
        <f>SUM(L43:L49)</f>
        <v>4986.9500000000007</v>
      </c>
      <c r="M50" s="62"/>
      <c r="N50" s="108">
        <f>SUM(N44:N49)</f>
        <v>93.000000000000057</v>
      </c>
      <c r="O50" s="67"/>
      <c r="P50" s="108">
        <f>SUM(P45:P49)</f>
        <v>1333</v>
      </c>
      <c r="Q50" s="62"/>
      <c r="R50" s="32"/>
      <c r="S50" s="90"/>
      <c r="T50" s="91">
        <f>SUM(T43:T49)</f>
        <v>6079.6901793586485</v>
      </c>
      <c r="U50" s="90"/>
      <c r="V50" s="90"/>
      <c r="W50" s="206"/>
      <c r="X50" s="93"/>
      <c r="Y50" s="94"/>
      <c r="Z50" s="94"/>
      <c r="AA50" s="94"/>
      <c r="AB50" s="94"/>
      <c r="AC50" s="94"/>
      <c r="AD50" s="94" t="s">
        <v>25</v>
      </c>
      <c r="AE50" s="70"/>
      <c r="AF50" s="63"/>
      <c r="AG50" s="90"/>
      <c r="AH50" s="90"/>
      <c r="AI50" s="90"/>
      <c r="AJ50" s="63"/>
      <c r="AK50" s="208"/>
      <c r="AL50" s="63"/>
      <c r="AM50" s="208"/>
      <c r="AN50" s="63"/>
      <c r="AO50" s="208"/>
      <c r="AP50" s="63"/>
      <c r="AQ50" s="208"/>
      <c r="AR50" s="96"/>
      <c r="AS50" s="96"/>
      <c r="AT50" s="96"/>
      <c r="AU50" s="96"/>
      <c r="AV50" s="96"/>
    </row>
    <row r="51" spans="1:48" ht="12.75" thickTop="1">
      <c r="A51" s="88"/>
      <c r="B51" s="79"/>
      <c r="C51" s="80"/>
      <c r="D51" s="79"/>
      <c r="E51" s="74"/>
      <c r="F51" s="26"/>
      <c r="G51" s="26"/>
      <c r="H51" s="28"/>
      <c r="I51" s="75"/>
      <c r="J51" s="29"/>
      <c r="K51" s="26"/>
      <c r="L51" s="29"/>
      <c r="M51" s="26"/>
      <c r="N51" s="76"/>
      <c r="O51" s="31"/>
      <c r="P51" s="76"/>
      <c r="Q51" s="26"/>
      <c r="R51" s="32"/>
      <c r="S51" s="75"/>
      <c r="T51" s="33"/>
      <c r="U51" s="75"/>
      <c r="V51" s="75"/>
      <c r="W51" s="201"/>
      <c r="X51" s="45"/>
      <c r="Y51" s="46"/>
      <c r="Z51" s="46"/>
      <c r="AA51" s="46"/>
      <c r="AB51" s="46"/>
      <c r="AC51" s="46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174"/>
      <c r="AS51" s="174"/>
      <c r="AT51" s="174"/>
      <c r="AU51" s="19"/>
      <c r="AV51" s="174"/>
    </row>
    <row r="52" spans="1:48" ht="12.75" thickBot="1">
      <c r="A52" s="98" t="s">
        <v>35</v>
      </c>
      <c r="B52" s="79"/>
      <c r="C52" s="80"/>
      <c r="D52" s="79"/>
      <c r="E52" s="74"/>
      <c r="F52" s="26"/>
      <c r="G52" s="26"/>
      <c r="H52" s="28"/>
      <c r="I52" s="75"/>
      <c r="J52" s="29"/>
      <c r="K52" s="26"/>
      <c r="L52" s="99">
        <f>L50/+$D50</f>
        <v>53.623118279569866</v>
      </c>
      <c r="M52" s="26"/>
      <c r="N52" s="76"/>
      <c r="O52" s="31"/>
      <c r="P52" s="76"/>
      <c r="Q52" s="26"/>
      <c r="R52" s="32"/>
      <c r="S52" s="75"/>
      <c r="T52" s="99">
        <f>T50/+$D50</f>
        <v>65.373012681275753</v>
      </c>
      <c r="U52" s="75"/>
      <c r="V52" s="75"/>
      <c r="W52" s="201"/>
      <c r="X52" s="45"/>
      <c r="Y52" s="46"/>
      <c r="Z52" s="46"/>
      <c r="AA52" s="46"/>
      <c r="AB52" s="46"/>
      <c r="AC52" s="46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174"/>
      <c r="AS52" s="174"/>
      <c r="AT52" s="174"/>
      <c r="AU52" s="19"/>
      <c r="AV52" s="174"/>
    </row>
    <row r="53" spans="1:48" ht="12.75" thickTop="1">
      <c r="A53" s="73" t="s">
        <v>36</v>
      </c>
      <c r="B53" s="101">
        <f>+'[18]3-4" W C E14'!I12/1000</f>
        <v>0.14399999999999999</v>
      </c>
      <c r="C53" s="74"/>
      <c r="D53" s="26"/>
      <c r="E53" s="74"/>
      <c r="F53" s="26"/>
      <c r="G53" s="26"/>
      <c r="H53" s="28"/>
      <c r="I53" s="75"/>
      <c r="J53" s="29"/>
      <c r="K53" s="26"/>
      <c r="L53" s="29"/>
      <c r="M53" s="26"/>
      <c r="N53" s="76"/>
      <c r="O53" s="31"/>
      <c r="P53" s="76"/>
      <c r="Q53" s="26"/>
      <c r="R53" s="32"/>
      <c r="S53" s="74"/>
      <c r="T53" s="77"/>
      <c r="U53" s="74"/>
      <c r="V53" s="74"/>
      <c r="W53" s="203"/>
      <c r="X53" s="45"/>
      <c r="Y53" s="46"/>
      <c r="Z53" s="46"/>
      <c r="AA53" s="46"/>
      <c r="AB53" s="46"/>
      <c r="AC53" s="46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8"/>
      <c r="AS53" s="48"/>
      <c r="AT53" s="48"/>
      <c r="AU53" s="48"/>
      <c r="AV53" s="48"/>
    </row>
    <row r="54" spans="1:48">
      <c r="A54" s="78" t="s">
        <v>18</v>
      </c>
      <c r="B54" s="79"/>
      <c r="C54" s="80"/>
      <c r="D54" s="79">
        <f>+'[18]3-4" W C E14'!S14</f>
        <v>12</v>
      </c>
      <c r="E54" s="74"/>
      <c r="F54" s="26"/>
      <c r="G54" s="26"/>
      <c r="H54" s="81">
        <f>+'[18]3-4" W C E14'!S2</f>
        <v>8.9600000000000009</v>
      </c>
      <c r="I54" s="75"/>
      <c r="J54" s="29">
        <f>H54*D54</f>
        <v>107.52000000000001</v>
      </c>
      <c r="K54" s="26"/>
      <c r="L54" s="29">
        <f t="shared" ref="L54:L59" si="16">+J54</f>
        <v>107.52000000000001</v>
      </c>
      <c r="M54" s="26"/>
      <c r="N54" s="76">
        <f>D54</f>
        <v>12</v>
      </c>
      <c r="O54" s="31"/>
      <c r="P54" s="76"/>
      <c r="Q54" s="26"/>
      <c r="R54" s="82">
        <f t="shared" ref="R54:R59" si="17">H54*(1+$W$5)</f>
        <v>10.923314652654124</v>
      </c>
      <c r="S54" s="75"/>
      <c r="T54" s="83">
        <f>R54*+D54</f>
        <v>131.07977583184947</v>
      </c>
      <c r="U54" s="75"/>
      <c r="V54" s="75"/>
      <c r="W54" s="201"/>
      <c r="X54" s="45"/>
      <c r="Y54" s="46"/>
      <c r="Z54" s="46"/>
      <c r="AA54" s="46"/>
      <c r="AB54" s="46"/>
      <c r="AC54" s="46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174"/>
      <c r="AS54" s="174"/>
      <c r="AT54" s="174"/>
      <c r="AU54" s="19"/>
      <c r="AV54" s="174"/>
    </row>
    <row r="55" spans="1:48">
      <c r="A55" s="78" t="s">
        <v>19</v>
      </c>
      <c r="B55" s="79"/>
      <c r="C55" s="80"/>
      <c r="D55" s="79"/>
      <c r="E55" s="74"/>
      <c r="F55" s="26">
        <f>+'[18]3-4" W C E14'!V14</f>
        <v>0</v>
      </c>
      <c r="G55" s="26"/>
      <c r="H55" s="84">
        <f>+'[18]3-4" W C E14'!S4</f>
        <v>3.61</v>
      </c>
      <c r="I55" s="75"/>
      <c r="J55" s="76">
        <f>H55*F55</f>
        <v>0</v>
      </c>
      <c r="K55" s="26"/>
      <c r="L55" s="29">
        <f t="shared" si="16"/>
        <v>0</v>
      </c>
      <c r="M55" s="26"/>
      <c r="N55" s="76"/>
      <c r="O55" s="31"/>
      <c r="P55" s="76">
        <f t="shared" ref="P55:P59" si="18">SUM(F55)</f>
        <v>0</v>
      </c>
      <c r="Q55" s="26"/>
      <c r="R55" s="82">
        <f t="shared" si="17"/>
        <v>4.4010229794733684</v>
      </c>
      <c r="S55" s="75"/>
      <c r="T55" s="83">
        <f>R55*F55</f>
        <v>0</v>
      </c>
      <c r="U55" s="75"/>
      <c r="V55" s="75"/>
      <c r="W55" s="201"/>
      <c r="X55" s="45"/>
      <c r="Y55" s="46"/>
      <c r="Z55" s="46"/>
      <c r="AA55" s="46"/>
      <c r="AB55" s="46"/>
      <c r="AC55" s="46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174"/>
      <c r="AS55" s="174"/>
      <c r="AT55" s="174"/>
      <c r="AU55" s="19"/>
      <c r="AV55" s="174"/>
    </row>
    <row r="56" spans="1:48">
      <c r="A56" s="78" t="s">
        <v>20</v>
      </c>
      <c r="B56" s="79"/>
      <c r="C56" s="80"/>
      <c r="D56" s="79"/>
      <c r="E56" s="74"/>
      <c r="F56" s="26">
        <f>+'[18]3-4" W C E14'!W14</f>
        <v>0</v>
      </c>
      <c r="G56" s="26"/>
      <c r="H56" s="84">
        <f>+'[18]3-4" W C E14'!S5</f>
        <v>3.29</v>
      </c>
      <c r="I56" s="75"/>
      <c r="J56" s="76">
        <f>H56*F56</f>
        <v>0</v>
      </c>
      <c r="K56" s="26"/>
      <c r="L56" s="29">
        <f t="shared" si="16"/>
        <v>0</v>
      </c>
      <c r="M56" s="26"/>
      <c r="N56" s="76"/>
      <c r="O56" s="31"/>
      <c r="P56" s="76">
        <f t="shared" si="18"/>
        <v>0</v>
      </c>
      <c r="Q56" s="26"/>
      <c r="R56" s="82">
        <f t="shared" si="17"/>
        <v>4.0109045990214351</v>
      </c>
      <c r="S56" s="75"/>
      <c r="T56" s="83">
        <f t="shared" ref="T56:T59" si="19">R56*F56</f>
        <v>0</v>
      </c>
      <c r="U56" s="75"/>
      <c r="V56" s="75"/>
      <c r="W56" s="203"/>
      <c r="X56" s="45"/>
      <c r="Y56" s="46"/>
      <c r="Z56" s="46"/>
      <c r="AA56" s="46"/>
      <c r="AB56" s="46"/>
      <c r="AC56" s="46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174"/>
      <c r="AS56" s="174"/>
      <c r="AT56" s="174"/>
      <c r="AU56" s="19"/>
      <c r="AV56" s="174"/>
    </row>
    <row r="57" spans="1:48">
      <c r="A57" s="78" t="s">
        <v>21</v>
      </c>
      <c r="B57" s="79"/>
      <c r="C57" s="80"/>
      <c r="D57" s="79"/>
      <c r="E57" s="74"/>
      <c r="F57" s="26">
        <f>+'[18]3-4" W C E14'!X14</f>
        <v>0</v>
      </c>
      <c r="G57" s="26"/>
      <c r="H57" s="84">
        <f>+'[18]3-4" W C E14'!S6</f>
        <v>3.12</v>
      </c>
      <c r="I57" s="75"/>
      <c r="J57" s="76">
        <f>H57*F57</f>
        <v>0</v>
      </c>
      <c r="K57" s="26"/>
      <c r="L57" s="29">
        <f t="shared" si="16"/>
        <v>0</v>
      </c>
      <c r="M57" s="26"/>
      <c r="N57" s="76"/>
      <c r="O57" s="31"/>
      <c r="P57" s="76">
        <f t="shared" si="18"/>
        <v>0</v>
      </c>
      <c r="Q57" s="26"/>
      <c r="R57" s="82">
        <f t="shared" si="17"/>
        <v>3.8036542094063464</v>
      </c>
      <c r="S57" s="75"/>
      <c r="T57" s="83">
        <f t="shared" si="19"/>
        <v>0</v>
      </c>
      <c r="U57" s="75"/>
      <c r="V57" s="75"/>
      <c r="W57" s="203"/>
      <c r="X57" s="45"/>
      <c r="Y57" s="46"/>
      <c r="Z57" s="46"/>
      <c r="AA57" s="46"/>
      <c r="AB57" s="46"/>
      <c r="AC57" s="46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174"/>
      <c r="AS57" s="48"/>
      <c r="AT57" s="174"/>
      <c r="AU57" s="19"/>
      <c r="AV57" s="174"/>
    </row>
    <row r="58" spans="1:48">
      <c r="A58" s="78" t="s">
        <v>22</v>
      </c>
      <c r="B58" s="79"/>
      <c r="C58" s="80"/>
      <c r="D58" s="79"/>
      <c r="E58" s="74"/>
      <c r="F58" s="26">
        <f>+'[18]3-4" W C E14'!Y14</f>
        <v>0</v>
      </c>
      <c r="G58" s="26"/>
      <c r="H58" s="84">
        <f>+'[18]3-4" W C E14'!S7</f>
        <v>2.79</v>
      </c>
      <c r="I58" s="75"/>
      <c r="J58" s="76">
        <f>H58*F58</f>
        <v>0</v>
      </c>
      <c r="K58" s="26"/>
      <c r="L58" s="29">
        <f t="shared" si="16"/>
        <v>0</v>
      </c>
      <c r="M58" s="26"/>
      <c r="N58" s="76"/>
      <c r="O58" s="31"/>
      <c r="P58" s="76">
        <f t="shared" si="18"/>
        <v>0</v>
      </c>
      <c r="Q58" s="26"/>
      <c r="R58" s="82">
        <f t="shared" si="17"/>
        <v>3.4013446295652905</v>
      </c>
      <c r="S58" s="75"/>
      <c r="T58" s="83">
        <f t="shared" si="19"/>
        <v>0</v>
      </c>
      <c r="U58" s="75"/>
      <c r="V58" s="75"/>
      <c r="W58" s="203"/>
      <c r="X58" s="45"/>
      <c r="Y58" s="46"/>
      <c r="Z58" s="46"/>
      <c r="AA58" s="46"/>
      <c r="AB58" s="46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174"/>
      <c r="AS58" s="48"/>
      <c r="AT58" s="174"/>
      <c r="AU58" s="19"/>
      <c r="AV58" s="174"/>
    </row>
    <row r="59" spans="1:48">
      <c r="A59" s="78" t="s">
        <v>23</v>
      </c>
      <c r="B59" s="79"/>
      <c r="C59" s="80"/>
      <c r="D59" s="79"/>
      <c r="E59" s="74"/>
      <c r="F59" s="26">
        <f>+'[18]3-4" W C E14'!Z14</f>
        <v>0</v>
      </c>
      <c r="G59" s="26"/>
      <c r="H59" s="84">
        <f>+'[18]3-4" W C E14'!S8</f>
        <v>2.5499999999999998</v>
      </c>
      <c r="I59" s="75"/>
      <c r="J59" s="76">
        <f>H59*F59</f>
        <v>0</v>
      </c>
      <c r="K59" s="26"/>
      <c r="L59" s="29">
        <f t="shared" si="16"/>
        <v>0</v>
      </c>
      <c r="M59" s="26"/>
      <c r="N59" s="76"/>
      <c r="O59" s="31"/>
      <c r="P59" s="76">
        <f t="shared" si="18"/>
        <v>0</v>
      </c>
      <c r="Q59" s="26"/>
      <c r="R59" s="82">
        <f t="shared" si="17"/>
        <v>3.1087558442263403</v>
      </c>
      <c r="S59" s="75"/>
      <c r="T59" s="83">
        <f t="shared" si="19"/>
        <v>0</v>
      </c>
      <c r="U59" s="75"/>
      <c r="V59" s="75"/>
      <c r="W59" s="203"/>
      <c r="X59" s="45"/>
      <c r="Y59" s="46"/>
      <c r="Z59" s="46"/>
      <c r="AA59" s="46"/>
      <c r="AB59" s="46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174"/>
      <c r="AS59" s="48"/>
      <c r="AT59" s="174"/>
      <c r="AU59" s="19"/>
      <c r="AV59" s="174"/>
    </row>
    <row r="60" spans="1:48" s="97" customFormat="1" ht="12.75" thickBot="1">
      <c r="A60" s="88" t="s">
        <v>37</v>
      </c>
      <c r="B60" s="103">
        <f>SUM(B53:B59)</f>
        <v>0.14399999999999999</v>
      </c>
      <c r="C60" s="90"/>
      <c r="D60" s="103">
        <f>SUM(D53:D59)</f>
        <v>12</v>
      </c>
      <c r="E60" s="90"/>
      <c r="F60" s="103">
        <f>SUM(F53:F59)</f>
        <v>0</v>
      </c>
      <c r="G60" s="62"/>
      <c r="H60" s="64"/>
      <c r="I60" s="63"/>
      <c r="J60" s="91">
        <f>SUM(J53:J59)</f>
        <v>107.52000000000001</v>
      </c>
      <c r="K60" s="62"/>
      <c r="L60" s="91">
        <f>SUM(L53:L59)</f>
        <v>107.52000000000001</v>
      </c>
      <c r="M60" s="62"/>
      <c r="N60" s="108">
        <f>SUM(N54:N59)</f>
        <v>12</v>
      </c>
      <c r="O60" s="67"/>
      <c r="P60" s="108">
        <f>SUM(P55:P59)</f>
        <v>0</v>
      </c>
      <c r="Q60" s="62"/>
      <c r="R60" s="32"/>
      <c r="S60" s="90"/>
      <c r="T60" s="91">
        <f>SUM(T53:T59)</f>
        <v>131.07977583184947</v>
      </c>
      <c r="U60" s="90"/>
      <c r="V60" s="90"/>
      <c r="W60" s="206"/>
      <c r="X60" s="93"/>
      <c r="Y60" s="94"/>
      <c r="Z60" s="94"/>
      <c r="AA60" s="94"/>
      <c r="AB60" s="94"/>
      <c r="AC60" s="94"/>
      <c r="AD60" s="94" t="s">
        <v>25</v>
      </c>
      <c r="AE60" s="70"/>
      <c r="AF60" s="63"/>
      <c r="AG60" s="90"/>
      <c r="AH60" s="90"/>
      <c r="AI60" s="90"/>
      <c r="AJ60" s="63"/>
      <c r="AK60" s="208"/>
      <c r="AL60" s="63"/>
      <c r="AM60" s="208"/>
      <c r="AN60" s="63"/>
      <c r="AO60" s="208"/>
      <c r="AP60" s="63"/>
      <c r="AQ60" s="208"/>
      <c r="AR60" s="96"/>
      <c r="AS60" s="96"/>
      <c r="AT60" s="96"/>
      <c r="AU60" s="96"/>
      <c r="AV60" s="96"/>
    </row>
    <row r="61" spans="1:48" ht="12.75" thickTop="1">
      <c r="A61" s="88"/>
      <c r="B61" s="79"/>
      <c r="C61" s="80"/>
      <c r="D61" s="79"/>
      <c r="E61" s="74"/>
      <c r="F61" s="26"/>
      <c r="G61" s="26"/>
      <c r="H61" s="28"/>
      <c r="I61" s="75"/>
      <c r="J61" s="29"/>
      <c r="K61" s="26"/>
      <c r="L61" s="29"/>
      <c r="M61" s="26"/>
      <c r="N61" s="76"/>
      <c r="O61" s="31"/>
      <c r="P61" s="76"/>
      <c r="Q61" s="26"/>
      <c r="R61" s="32"/>
      <c r="S61" s="75"/>
      <c r="T61" s="33"/>
      <c r="U61" s="75"/>
      <c r="V61" s="75"/>
      <c r="W61" s="201"/>
      <c r="X61" s="45"/>
      <c r="Y61" s="46"/>
      <c r="Z61" s="46"/>
      <c r="AA61" s="46"/>
      <c r="AB61" s="46"/>
      <c r="AC61" s="46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174"/>
      <c r="AS61" s="174"/>
      <c r="AT61" s="174"/>
      <c r="AU61" s="19"/>
      <c r="AV61" s="174"/>
    </row>
    <row r="62" spans="1:48" ht="12.75" thickBot="1">
      <c r="A62" s="98" t="s">
        <v>38</v>
      </c>
      <c r="B62" s="79"/>
      <c r="C62" s="80"/>
      <c r="D62" s="79"/>
      <c r="E62" s="74"/>
      <c r="F62" s="26"/>
      <c r="G62" s="26"/>
      <c r="H62" s="28"/>
      <c r="I62" s="75"/>
      <c r="J62" s="29"/>
      <c r="K62" s="26"/>
      <c r="L62" s="99">
        <f>L60/+$D60</f>
        <v>8.9600000000000009</v>
      </c>
      <c r="M62" s="26"/>
      <c r="N62" s="76"/>
      <c r="O62" s="31"/>
      <c r="P62" s="76"/>
      <c r="Q62" s="26"/>
      <c r="R62" s="32"/>
      <c r="S62" s="75"/>
      <c r="T62" s="99">
        <f>T60/+$D60</f>
        <v>10.923314652654122</v>
      </c>
      <c r="U62" s="75"/>
      <c r="V62" s="75"/>
      <c r="W62" s="201"/>
      <c r="X62" s="45"/>
      <c r="Y62" s="46"/>
      <c r="Z62" s="46"/>
      <c r="AA62" s="46"/>
      <c r="AB62" s="46"/>
      <c r="AC62" s="46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174"/>
      <c r="AS62" s="174"/>
      <c r="AT62" s="174"/>
      <c r="AU62" s="19"/>
      <c r="AV62" s="174"/>
    </row>
    <row r="63" spans="1:48" ht="12.75" thickTop="1">
      <c r="A63" s="73" t="s">
        <v>39</v>
      </c>
      <c r="B63" s="26">
        <f>(+'[18]1" W ResCom E14'!I21+'[18]1" W C E14'!I83)/1000</f>
        <v>12954</v>
      </c>
      <c r="C63" s="74"/>
      <c r="D63" s="26"/>
      <c r="E63" s="74"/>
      <c r="F63" s="26"/>
      <c r="G63" s="26"/>
      <c r="H63" s="28"/>
      <c r="I63" s="75"/>
      <c r="J63" s="29"/>
      <c r="K63" s="26"/>
      <c r="L63" s="29"/>
      <c r="M63" s="26"/>
      <c r="N63" s="76"/>
      <c r="O63" s="31"/>
      <c r="P63" s="76"/>
      <c r="Q63" s="26"/>
      <c r="R63" s="32"/>
      <c r="S63" s="74"/>
      <c r="T63" s="77"/>
      <c r="U63" s="74"/>
      <c r="V63" s="74"/>
      <c r="W63" s="203"/>
      <c r="X63" s="45"/>
      <c r="Y63" s="46"/>
      <c r="Z63" s="46"/>
      <c r="AA63" s="46"/>
      <c r="AB63" s="46"/>
      <c r="AC63" s="46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8"/>
      <c r="AS63" s="48"/>
      <c r="AT63" s="48"/>
      <c r="AU63" s="48"/>
      <c r="AV63" s="48"/>
    </row>
    <row r="64" spans="1:48">
      <c r="A64" s="78" t="s">
        <v>40</v>
      </c>
      <c r="B64" s="79"/>
      <c r="C64" s="80"/>
      <c r="D64" s="79">
        <f>+'[18]1" W ResCom E14'!S25+'[18]1" W C E14'!S87</f>
        <v>814.00000000000034</v>
      </c>
      <c r="E64" s="74"/>
      <c r="F64" s="26"/>
      <c r="G64" s="26"/>
      <c r="H64" s="81">
        <f>+'[18]1" W ResCom E14'!S2</f>
        <v>26.97</v>
      </c>
      <c r="I64" s="75"/>
      <c r="J64" s="29">
        <f>H64*D64</f>
        <v>21953.580000000009</v>
      </c>
      <c r="K64" s="26"/>
      <c r="L64" s="29">
        <f t="shared" ref="L64:L69" si="20">+J64</f>
        <v>21953.580000000009</v>
      </c>
      <c r="M64" s="26"/>
      <c r="N64" s="76">
        <f>D64</f>
        <v>814.00000000000034</v>
      </c>
      <c r="O64" s="31"/>
      <c r="P64" s="76"/>
      <c r="Q64" s="26"/>
      <c r="R64" s="82">
        <f t="shared" ref="R64:R69" si="21">H64*(1+$W$5)</f>
        <v>32.879664752464471</v>
      </c>
      <c r="S64" s="75"/>
      <c r="T64" s="83">
        <f>R64*+D64</f>
        <v>26764.047108506089</v>
      </c>
      <c r="U64" s="75"/>
      <c r="V64" s="75"/>
      <c r="W64" s="201"/>
      <c r="X64" s="45"/>
      <c r="Y64" s="46"/>
      <c r="Z64" s="46"/>
      <c r="AA64" s="46"/>
      <c r="AB64" s="46"/>
      <c r="AC64" s="46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174"/>
      <c r="AS64" s="174"/>
      <c r="AT64" s="174"/>
      <c r="AU64" s="19"/>
      <c r="AV64" s="174"/>
    </row>
    <row r="65" spans="1:48">
      <c r="A65" s="78" t="s">
        <v>41</v>
      </c>
      <c r="B65" s="79"/>
      <c r="C65" s="80"/>
      <c r="D65" s="79"/>
      <c r="E65" s="74"/>
      <c r="F65" s="26">
        <f>+'[18]1" W ResCom E14'!V25+'[18]1" W C E14'!V87</f>
        <v>1735.9999999999984</v>
      </c>
      <c r="G65" s="26"/>
      <c r="H65" s="84">
        <f>+'[18]1" W ResCom E14'!S4</f>
        <v>3.61</v>
      </c>
      <c r="I65" s="75"/>
      <c r="J65" s="76">
        <f>H65*F65</f>
        <v>6266.9599999999937</v>
      </c>
      <c r="K65" s="26"/>
      <c r="L65" s="29">
        <f t="shared" si="20"/>
        <v>6266.9599999999937</v>
      </c>
      <c r="M65" s="26"/>
      <c r="N65" s="76"/>
      <c r="O65" s="31"/>
      <c r="P65" s="76">
        <f t="shared" ref="P65:P69" si="22">SUM(F65)</f>
        <v>1735.9999999999984</v>
      </c>
      <c r="Q65" s="26"/>
      <c r="R65" s="82">
        <f t="shared" si="21"/>
        <v>4.4010229794733684</v>
      </c>
      <c r="S65" s="75"/>
      <c r="T65" s="83">
        <f>R65*F65</f>
        <v>7640.1758923657608</v>
      </c>
      <c r="U65" s="75"/>
      <c r="V65" s="75"/>
      <c r="W65" s="201"/>
      <c r="X65" s="45"/>
      <c r="Y65" s="46"/>
      <c r="Z65" s="46"/>
      <c r="AA65" s="46"/>
      <c r="AB65" s="46"/>
      <c r="AC65" s="46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174"/>
      <c r="AS65" s="174"/>
      <c r="AT65" s="174"/>
      <c r="AU65" s="19"/>
      <c r="AV65" s="174"/>
    </row>
    <row r="66" spans="1:48">
      <c r="A66" s="78" t="s">
        <v>20</v>
      </c>
      <c r="B66" s="79"/>
      <c r="C66" s="80"/>
      <c r="D66" s="79"/>
      <c r="E66" s="74"/>
      <c r="F66" s="26">
        <f>+'[18]1" W ResCom E14'!W25+'[18]1" W C E14'!W87</f>
        <v>3900.0000000000014</v>
      </c>
      <c r="G66" s="26"/>
      <c r="H66" s="84">
        <f>+'[18]1" W ResCom E14'!S5</f>
        <v>3.29</v>
      </c>
      <c r="I66" s="75"/>
      <c r="J66" s="76">
        <f>H66*F66</f>
        <v>12831.000000000005</v>
      </c>
      <c r="K66" s="26"/>
      <c r="L66" s="29">
        <f t="shared" si="20"/>
        <v>12831.000000000005</v>
      </c>
      <c r="M66" s="26"/>
      <c r="N66" s="76"/>
      <c r="O66" s="31"/>
      <c r="P66" s="76">
        <f t="shared" si="22"/>
        <v>3900.0000000000014</v>
      </c>
      <c r="Q66" s="26"/>
      <c r="R66" s="82">
        <f t="shared" si="21"/>
        <v>4.0109045990214351</v>
      </c>
      <c r="S66" s="75"/>
      <c r="T66" s="83">
        <f t="shared" ref="T66:T69" si="23">R66*F66</f>
        <v>15642.527936183602</v>
      </c>
      <c r="U66" s="75"/>
      <c r="V66" s="75"/>
      <c r="W66" s="203"/>
      <c r="X66" s="45"/>
      <c r="Y66" s="46"/>
      <c r="Z66" s="46"/>
      <c r="AA66" s="46"/>
      <c r="AB66" s="46"/>
      <c r="AC66" s="46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174"/>
      <c r="AS66" s="174"/>
      <c r="AT66" s="174"/>
      <c r="AU66" s="19"/>
      <c r="AV66" s="174"/>
    </row>
    <row r="67" spans="1:48">
      <c r="A67" s="78" t="s">
        <v>21</v>
      </c>
      <c r="B67" s="79"/>
      <c r="C67" s="80"/>
      <c r="D67" s="79"/>
      <c r="E67" s="74"/>
      <c r="F67" s="26">
        <f>+'[18]1" W ResCom E14'!X25+'[18]1" W C E14'!X87</f>
        <v>2481.2692307692309</v>
      </c>
      <c r="G67" s="26"/>
      <c r="H67" s="84">
        <f>+'[18]1" W ResCom E14'!S6</f>
        <v>3.12</v>
      </c>
      <c r="I67" s="75"/>
      <c r="J67" s="76">
        <f>H67*F67</f>
        <v>7741.56</v>
      </c>
      <c r="K67" s="26"/>
      <c r="L67" s="29">
        <f t="shared" si="20"/>
        <v>7741.56</v>
      </c>
      <c r="M67" s="26"/>
      <c r="N67" s="76"/>
      <c r="O67" s="31"/>
      <c r="P67" s="76">
        <f t="shared" si="22"/>
        <v>2481.2692307692309</v>
      </c>
      <c r="Q67" s="26"/>
      <c r="R67" s="82">
        <f t="shared" si="21"/>
        <v>3.8036542094063464</v>
      </c>
      <c r="S67" s="75"/>
      <c r="T67" s="83">
        <f t="shared" si="23"/>
        <v>9437.890154285833</v>
      </c>
      <c r="U67" s="75"/>
      <c r="V67" s="75"/>
      <c r="W67" s="203"/>
      <c r="X67" s="45"/>
      <c r="Y67" s="46"/>
      <c r="Z67" s="46"/>
      <c r="AA67" s="46"/>
      <c r="AB67" s="46"/>
      <c r="AC67" s="46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174"/>
      <c r="AS67" s="48"/>
      <c r="AT67" s="174"/>
      <c r="AU67" s="19"/>
      <c r="AV67" s="174"/>
    </row>
    <row r="68" spans="1:48">
      <c r="A68" s="78" t="s">
        <v>22</v>
      </c>
      <c r="B68" s="79"/>
      <c r="C68" s="80"/>
      <c r="D68" s="79"/>
      <c r="E68" s="74"/>
      <c r="F68" s="26">
        <f>+'[18]1" W ResCom E14'!Y25+'[18]1" W C E14'!Y87</f>
        <v>915</v>
      </c>
      <c r="G68" s="26"/>
      <c r="H68" s="84">
        <f>+'[18]1" W ResCom E14'!S7</f>
        <v>2.79</v>
      </c>
      <c r="I68" s="75"/>
      <c r="J68" s="76">
        <f>H68*F68</f>
        <v>2552.85</v>
      </c>
      <c r="K68" s="26"/>
      <c r="L68" s="29">
        <f t="shared" si="20"/>
        <v>2552.85</v>
      </c>
      <c r="M68" s="26"/>
      <c r="N68" s="76"/>
      <c r="O68" s="31"/>
      <c r="P68" s="76">
        <f t="shared" si="22"/>
        <v>915</v>
      </c>
      <c r="Q68" s="26"/>
      <c r="R68" s="82">
        <f t="shared" si="21"/>
        <v>3.4013446295652905</v>
      </c>
      <c r="S68" s="75"/>
      <c r="T68" s="83">
        <f t="shared" si="23"/>
        <v>3112.230336052241</v>
      </c>
      <c r="U68" s="75"/>
      <c r="V68" s="75"/>
      <c r="W68" s="203"/>
      <c r="X68" s="45"/>
      <c r="Y68" s="46"/>
      <c r="Z68" s="46"/>
      <c r="AA68" s="46"/>
      <c r="AB68" s="46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174"/>
      <c r="AS68" s="48"/>
      <c r="AT68" s="174"/>
      <c r="AU68" s="19"/>
      <c r="AV68" s="174"/>
    </row>
    <row r="69" spans="1:48">
      <c r="A69" s="78" t="s">
        <v>23</v>
      </c>
      <c r="B69" s="79"/>
      <c r="C69" s="80"/>
      <c r="D69" s="79"/>
      <c r="E69" s="74"/>
      <c r="F69" s="26">
        <f>+'[18]1" W ResCom E14'!Z25+'[18]1" W C E14'!Z87</f>
        <v>23</v>
      </c>
      <c r="G69" s="26"/>
      <c r="H69" s="84">
        <f>+'[18]1" W ResCom E14'!S8</f>
        <v>2.5499999999999998</v>
      </c>
      <c r="I69" s="75"/>
      <c r="J69" s="76">
        <f>H69*F69</f>
        <v>58.65</v>
      </c>
      <c r="K69" s="26"/>
      <c r="L69" s="29">
        <f t="shared" si="20"/>
        <v>58.65</v>
      </c>
      <c r="M69" s="26"/>
      <c r="N69" s="76"/>
      <c r="O69" s="31"/>
      <c r="P69" s="76">
        <f t="shared" si="22"/>
        <v>23</v>
      </c>
      <c r="Q69" s="26"/>
      <c r="R69" s="82">
        <f t="shared" si="21"/>
        <v>3.1087558442263403</v>
      </c>
      <c r="S69" s="75"/>
      <c r="T69" s="83">
        <f t="shared" si="23"/>
        <v>71.501384417205827</v>
      </c>
      <c r="U69" s="75"/>
      <c r="V69" s="75"/>
      <c r="W69" s="203"/>
      <c r="X69" s="45"/>
      <c r="Y69" s="46"/>
      <c r="Z69" s="46"/>
      <c r="AA69" s="46"/>
      <c r="AB69" s="46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174"/>
      <c r="AS69" s="48"/>
      <c r="AT69" s="174"/>
      <c r="AU69" s="19"/>
      <c r="AV69" s="174"/>
    </row>
    <row r="70" spans="1:48" s="97" customFormat="1" ht="12.75" thickBot="1">
      <c r="A70" s="88" t="s">
        <v>42</v>
      </c>
      <c r="B70" s="103">
        <f>SUM(B63:B69)</f>
        <v>12954</v>
      </c>
      <c r="C70" s="90"/>
      <c r="D70" s="103">
        <f>SUM(D63:D69)</f>
        <v>814.00000000000034</v>
      </c>
      <c r="E70" s="90"/>
      <c r="F70" s="103">
        <f>SUM(F63:F69)</f>
        <v>9055.2692307692305</v>
      </c>
      <c r="G70" s="62"/>
      <c r="H70" s="64"/>
      <c r="I70" s="63"/>
      <c r="J70" s="91">
        <f>SUM(J63:J69)</f>
        <v>51404.600000000006</v>
      </c>
      <c r="K70" s="62"/>
      <c r="L70" s="91">
        <f>SUM(L63:L69)</f>
        <v>51404.600000000006</v>
      </c>
      <c r="M70" s="62"/>
      <c r="N70" s="108">
        <f>SUM(N64:N69)</f>
        <v>814.00000000000034</v>
      </c>
      <c r="O70" s="67"/>
      <c r="P70" s="108">
        <f>SUM(P65:P69)</f>
        <v>9055.2692307692305</v>
      </c>
      <c r="Q70" s="62"/>
      <c r="R70" s="32"/>
      <c r="S70" s="90"/>
      <c r="T70" s="91">
        <f>SUM(T63:T69)</f>
        <v>62668.372811810732</v>
      </c>
      <c r="U70" s="90"/>
      <c r="V70" s="90"/>
      <c r="W70" s="206"/>
      <c r="X70" s="93"/>
      <c r="Y70" s="94"/>
      <c r="Z70" s="94"/>
      <c r="AA70" s="94"/>
      <c r="AB70" s="94"/>
      <c r="AC70" s="94"/>
      <c r="AD70" s="94" t="s">
        <v>25</v>
      </c>
      <c r="AE70" s="70"/>
      <c r="AF70" s="63"/>
      <c r="AG70" s="90"/>
      <c r="AH70" s="90"/>
      <c r="AI70" s="90"/>
      <c r="AJ70" s="63"/>
      <c r="AK70" s="208"/>
      <c r="AL70" s="63"/>
      <c r="AM70" s="208"/>
      <c r="AN70" s="63"/>
      <c r="AO70" s="208"/>
      <c r="AP70" s="63"/>
      <c r="AQ70" s="208"/>
      <c r="AR70" s="96"/>
      <c r="AS70" s="96"/>
      <c r="AT70" s="96"/>
      <c r="AU70" s="96"/>
      <c r="AV70" s="96"/>
    </row>
    <row r="71" spans="1:48" ht="12.75" thickTop="1">
      <c r="A71" s="88"/>
      <c r="B71" s="79"/>
      <c r="C71" s="80"/>
      <c r="D71" s="79"/>
      <c r="E71" s="74"/>
      <c r="F71" s="26"/>
      <c r="G71" s="26"/>
      <c r="H71" s="28"/>
      <c r="I71" s="75"/>
      <c r="J71" s="29"/>
      <c r="K71" s="26"/>
      <c r="L71" s="29"/>
      <c r="M71" s="26"/>
      <c r="N71" s="76"/>
      <c r="O71" s="31"/>
      <c r="P71" s="76"/>
      <c r="Q71" s="26"/>
      <c r="R71" s="32"/>
      <c r="S71" s="75"/>
      <c r="T71" s="33"/>
      <c r="U71" s="75"/>
      <c r="V71" s="75"/>
      <c r="W71" s="201"/>
      <c r="X71" s="45"/>
      <c r="Y71" s="46"/>
      <c r="Z71" s="46"/>
      <c r="AA71" s="46"/>
      <c r="AB71" s="46"/>
      <c r="AC71" s="46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174"/>
      <c r="AS71" s="174"/>
      <c r="AT71" s="174"/>
      <c r="AU71" s="19"/>
      <c r="AV71" s="174"/>
    </row>
    <row r="72" spans="1:48" ht="12.75" thickBot="1">
      <c r="A72" s="98" t="s">
        <v>43</v>
      </c>
      <c r="B72" s="79"/>
      <c r="C72" s="80"/>
      <c r="D72" s="79"/>
      <c r="E72" s="74"/>
      <c r="F72" s="26"/>
      <c r="G72" s="26"/>
      <c r="H72" s="28"/>
      <c r="I72" s="75"/>
      <c r="J72" s="29"/>
      <c r="K72" s="26"/>
      <c r="L72" s="99">
        <f>L70/+$D70</f>
        <v>63.150614250614233</v>
      </c>
      <c r="M72" s="26"/>
      <c r="N72" s="76"/>
      <c r="O72" s="31"/>
      <c r="P72" s="76"/>
      <c r="Q72" s="26"/>
      <c r="R72" s="32"/>
      <c r="S72" s="75"/>
      <c r="T72" s="99">
        <f>T70/+$D70</f>
        <v>76.988172987482443</v>
      </c>
      <c r="U72" s="75"/>
      <c r="V72" s="75"/>
      <c r="W72" s="201"/>
      <c r="X72" s="45"/>
      <c r="Y72" s="46"/>
      <c r="Z72" s="46"/>
      <c r="AA72" s="46"/>
      <c r="AB72" s="46"/>
      <c r="AC72" s="46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174"/>
      <c r="AS72" s="174"/>
      <c r="AT72" s="174"/>
      <c r="AU72" s="19"/>
      <c r="AV72" s="174"/>
    </row>
    <row r="73" spans="1:48" ht="12.75" thickTop="1">
      <c r="A73" s="73" t="s">
        <v>44</v>
      </c>
      <c r="B73" s="26">
        <f>+'[18]1" W R E14'!I45/1000</f>
        <v>3118</v>
      </c>
      <c r="C73" s="74"/>
      <c r="D73" s="26"/>
      <c r="E73" s="74"/>
      <c r="F73" s="26"/>
      <c r="G73" s="26"/>
      <c r="H73" s="28"/>
      <c r="I73" s="75"/>
      <c r="J73" s="29"/>
      <c r="K73" s="26"/>
      <c r="L73" s="29"/>
      <c r="M73" s="26"/>
      <c r="N73" s="76"/>
      <c r="O73" s="31"/>
      <c r="P73" s="76"/>
      <c r="Q73" s="26"/>
      <c r="R73" s="32"/>
      <c r="S73" s="74"/>
      <c r="T73" s="77"/>
      <c r="U73" s="74"/>
      <c r="V73" s="74"/>
      <c r="W73" s="203"/>
      <c r="X73" s="45"/>
      <c r="Y73" s="46"/>
      <c r="Z73" s="46"/>
      <c r="AA73" s="46"/>
      <c r="AB73" s="46"/>
      <c r="AC73" s="46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8"/>
      <c r="AS73" s="48"/>
      <c r="AT73" s="48"/>
      <c r="AU73" s="48"/>
      <c r="AV73" s="48"/>
    </row>
    <row r="74" spans="1:48">
      <c r="A74" s="78" t="s">
        <v>40</v>
      </c>
      <c r="B74" s="79"/>
      <c r="C74" s="80"/>
      <c r="D74" s="79">
        <f>+'[18]1" W R E14'!S49</f>
        <v>276.00000000000006</v>
      </c>
      <c r="E74" s="74"/>
      <c r="F74" s="26"/>
      <c r="G74" s="26"/>
      <c r="H74" s="81">
        <f>+'[18]1" W R E14'!S2</f>
        <v>26.97</v>
      </c>
      <c r="I74" s="75"/>
      <c r="J74" s="29">
        <f>H74*D74</f>
        <v>7443.7200000000012</v>
      </c>
      <c r="K74" s="26"/>
      <c r="L74" s="29">
        <f t="shared" ref="L74:L79" si="24">+J74</f>
        <v>7443.7200000000012</v>
      </c>
      <c r="M74" s="26"/>
      <c r="N74" s="76">
        <f>D74</f>
        <v>276.00000000000006</v>
      </c>
      <c r="O74" s="31"/>
      <c r="P74" s="76"/>
      <c r="Q74" s="26"/>
      <c r="R74" s="82">
        <f t="shared" ref="R74:R79" si="25">H74*(1+$W$5)</f>
        <v>32.879664752464471</v>
      </c>
      <c r="S74" s="75"/>
      <c r="T74" s="83">
        <f>R74*+D74</f>
        <v>9074.7874716801962</v>
      </c>
      <c r="U74" s="75"/>
      <c r="V74" s="75"/>
      <c r="W74" s="201"/>
      <c r="X74" s="45"/>
      <c r="Y74" s="46"/>
      <c r="Z74" s="46"/>
      <c r="AA74" s="46"/>
      <c r="AB74" s="46"/>
      <c r="AC74" s="46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174"/>
      <c r="AS74" s="174"/>
      <c r="AT74" s="174"/>
      <c r="AU74" s="19"/>
      <c r="AV74" s="174"/>
    </row>
    <row r="75" spans="1:48">
      <c r="A75" s="78" t="s">
        <v>41</v>
      </c>
      <c r="B75" s="79"/>
      <c r="C75" s="80"/>
      <c r="D75" s="79"/>
      <c r="E75" s="74"/>
      <c r="F75" s="26">
        <f>+'[18]1" W R E14'!V49</f>
        <v>404.00000000000023</v>
      </c>
      <c r="G75" s="26"/>
      <c r="H75" s="84">
        <f>+'[18]1" W R E14'!S4</f>
        <v>3.61</v>
      </c>
      <c r="I75" s="75"/>
      <c r="J75" s="76">
        <f>H75*F75</f>
        <v>1458.4400000000007</v>
      </c>
      <c r="K75" s="26"/>
      <c r="L75" s="29">
        <f t="shared" si="24"/>
        <v>1458.4400000000007</v>
      </c>
      <c r="M75" s="26"/>
      <c r="N75" s="76"/>
      <c r="O75" s="31"/>
      <c r="P75" s="76">
        <f t="shared" ref="P75:P79" si="26">SUM(F75)</f>
        <v>404.00000000000023</v>
      </c>
      <c r="Q75" s="26"/>
      <c r="R75" s="82">
        <f t="shared" si="25"/>
        <v>4.4010229794733684</v>
      </c>
      <c r="S75" s="75"/>
      <c r="T75" s="83">
        <f>R75*F75</f>
        <v>1778.0132837072417</v>
      </c>
      <c r="U75" s="75"/>
      <c r="V75" s="75"/>
      <c r="W75" s="201"/>
      <c r="X75" s="45"/>
      <c r="Y75" s="46"/>
      <c r="Z75" s="46"/>
      <c r="AA75" s="46"/>
      <c r="AB75" s="46"/>
      <c r="AC75" s="46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174"/>
      <c r="AS75" s="174"/>
      <c r="AT75" s="174"/>
      <c r="AU75" s="19"/>
      <c r="AV75" s="174"/>
    </row>
    <row r="76" spans="1:48">
      <c r="A76" s="78" t="s">
        <v>20</v>
      </c>
      <c r="B76" s="79"/>
      <c r="C76" s="80"/>
      <c r="D76" s="79"/>
      <c r="E76" s="74"/>
      <c r="F76" s="26">
        <f>+'[18]1" W R E14'!W49</f>
        <v>424.99999999999983</v>
      </c>
      <c r="G76" s="26"/>
      <c r="H76" s="84">
        <f>+'[18]1" W R E14'!S5</f>
        <v>3.29</v>
      </c>
      <c r="I76" s="75"/>
      <c r="J76" s="76">
        <f>H76*F76</f>
        <v>1398.2499999999995</v>
      </c>
      <c r="K76" s="26"/>
      <c r="L76" s="29">
        <f t="shared" si="24"/>
        <v>1398.2499999999995</v>
      </c>
      <c r="M76" s="26"/>
      <c r="N76" s="76"/>
      <c r="O76" s="31"/>
      <c r="P76" s="76">
        <f t="shared" si="26"/>
        <v>424.99999999999983</v>
      </c>
      <c r="Q76" s="26"/>
      <c r="R76" s="82">
        <f t="shared" si="25"/>
        <v>4.0109045990214351</v>
      </c>
      <c r="S76" s="75"/>
      <c r="T76" s="83">
        <f t="shared" ref="T76:T79" si="27">R76*F76</f>
        <v>1704.6344545841093</v>
      </c>
      <c r="U76" s="75"/>
      <c r="V76" s="75"/>
      <c r="W76" s="203"/>
      <c r="X76" s="45"/>
      <c r="Y76" s="46"/>
      <c r="Z76" s="46"/>
      <c r="AA76" s="46"/>
      <c r="AB76" s="46"/>
      <c r="AC76" s="46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174"/>
      <c r="AS76" s="174"/>
      <c r="AT76" s="174"/>
      <c r="AU76" s="19"/>
      <c r="AV76" s="174"/>
    </row>
    <row r="77" spans="1:48">
      <c r="A77" s="78" t="s">
        <v>21</v>
      </c>
      <c r="B77" s="79"/>
      <c r="C77" s="80"/>
      <c r="D77" s="79"/>
      <c r="E77" s="74"/>
      <c r="F77" s="26">
        <f>+'[18]1" W R E14'!X49</f>
        <v>209</v>
      </c>
      <c r="G77" s="26"/>
      <c r="H77" s="84">
        <f>+'[18]1" W R E14'!S6</f>
        <v>3.12</v>
      </c>
      <c r="I77" s="75"/>
      <c r="J77" s="76">
        <f>H77*F77</f>
        <v>652.08000000000004</v>
      </c>
      <c r="K77" s="26"/>
      <c r="L77" s="29">
        <f t="shared" si="24"/>
        <v>652.08000000000004</v>
      </c>
      <c r="M77" s="26"/>
      <c r="N77" s="76"/>
      <c r="O77" s="31"/>
      <c r="P77" s="76">
        <f t="shared" si="26"/>
        <v>209</v>
      </c>
      <c r="Q77" s="26"/>
      <c r="R77" s="82">
        <f t="shared" si="25"/>
        <v>3.8036542094063464</v>
      </c>
      <c r="S77" s="75"/>
      <c r="T77" s="83">
        <f t="shared" si="27"/>
        <v>794.96372976592636</v>
      </c>
      <c r="U77" s="75"/>
      <c r="V77" s="75"/>
      <c r="W77" s="203"/>
      <c r="X77" s="45"/>
      <c r="Y77" s="46"/>
      <c r="Z77" s="46"/>
      <c r="AA77" s="46"/>
      <c r="AB77" s="46"/>
      <c r="AC77" s="46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174"/>
      <c r="AS77" s="48"/>
      <c r="AT77" s="174"/>
      <c r="AU77" s="19"/>
      <c r="AV77" s="174"/>
    </row>
    <row r="78" spans="1:48">
      <c r="A78" s="78" t="s">
        <v>22</v>
      </c>
      <c r="B78" s="79"/>
      <c r="C78" s="80"/>
      <c r="D78" s="79"/>
      <c r="E78" s="74"/>
      <c r="F78" s="26">
        <f>+'[18]1" W R E14'!Y49</f>
        <v>232.99999999999997</v>
      </c>
      <c r="G78" s="26"/>
      <c r="H78" s="84">
        <f>+'[18]1" W R E14'!S7</f>
        <v>2.79</v>
      </c>
      <c r="I78" s="75"/>
      <c r="J78" s="76">
        <f>H78*F78</f>
        <v>650.06999999999994</v>
      </c>
      <c r="K78" s="26"/>
      <c r="L78" s="29">
        <f t="shared" si="24"/>
        <v>650.06999999999994</v>
      </c>
      <c r="M78" s="26"/>
      <c r="N78" s="76"/>
      <c r="O78" s="31"/>
      <c r="P78" s="76">
        <f t="shared" si="26"/>
        <v>232.99999999999997</v>
      </c>
      <c r="Q78" s="26"/>
      <c r="R78" s="82">
        <f t="shared" si="25"/>
        <v>3.4013446295652905</v>
      </c>
      <c r="S78" s="75"/>
      <c r="T78" s="83">
        <f t="shared" si="27"/>
        <v>792.51329868871255</v>
      </c>
      <c r="U78" s="75"/>
      <c r="V78" s="75"/>
      <c r="W78" s="203"/>
      <c r="X78" s="45"/>
      <c r="Y78" s="46"/>
      <c r="Z78" s="46"/>
      <c r="AA78" s="46"/>
      <c r="AB78" s="46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174"/>
      <c r="AS78" s="48"/>
      <c r="AT78" s="174"/>
      <c r="AU78" s="19"/>
      <c r="AV78" s="174"/>
    </row>
    <row r="79" spans="1:48">
      <c r="A79" s="78" t="s">
        <v>23</v>
      </c>
      <c r="B79" s="79"/>
      <c r="C79" s="80"/>
      <c r="D79" s="79"/>
      <c r="E79" s="74"/>
      <c r="F79" s="26">
        <f>+'[18]1" W R E14'!Z49</f>
        <v>643</v>
      </c>
      <c r="G79" s="26"/>
      <c r="H79" s="84">
        <f>+'[18]1" W R E14'!S8</f>
        <v>2.5499999999999998</v>
      </c>
      <c r="I79" s="75"/>
      <c r="J79" s="76">
        <f>H79*F79</f>
        <v>1639.6499999999999</v>
      </c>
      <c r="K79" s="26"/>
      <c r="L79" s="29">
        <f t="shared" si="24"/>
        <v>1639.6499999999999</v>
      </c>
      <c r="M79" s="26"/>
      <c r="N79" s="76"/>
      <c r="O79" s="31"/>
      <c r="P79" s="76">
        <f t="shared" si="26"/>
        <v>643</v>
      </c>
      <c r="Q79" s="26"/>
      <c r="R79" s="82">
        <f t="shared" si="25"/>
        <v>3.1087558442263403</v>
      </c>
      <c r="S79" s="75"/>
      <c r="T79" s="83">
        <f t="shared" si="27"/>
        <v>1998.9300078375368</v>
      </c>
      <c r="U79" s="75"/>
      <c r="V79" s="75"/>
      <c r="W79" s="203"/>
      <c r="X79" s="45"/>
      <c r="Y79" s="46"/>
      <c r="Z79" s="46"/>
      <c r="AA79" s="46"/>
      <c r="AB79" s="46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174"/>
      <c r="AS79" s="48"/>
      <c r="AT79" s="174"/>
      <c r="AU79" s="19"/>
      <c r="AV79" s="174"/>
    </row>
    <row r="80" spans="1:48" s="97" customFormat="1" ht="12.75" thickBot="1">
      <c r="A80" s="88" t="s">
        <v>45</v>
      </c>
      <c r="B80" s="103">
        <f>SUM(B73:B79)</f>
        <v>3118</v>
      </c>
      <c r="C80" s="90"/>
      <c r="D80" s="103">
        <f>SUM(D73:D79)</f>
        <v>276.00000000000006</v>
      </c>
      <c r="E80" s="90"/>
      <c r="F80" s="103">
        <f>SUM(F73:F79)</f>
        <v>1914</v>
      </c>
      <c r="G80" s="62"/>
      <c r="H80" s="64"/>
      <c r="I80" s="63"/>
      <c r="J80" s="91">
        <f>SUM(J73:J79)</f>
        <v>13242.210000000001</v>
      </c>
      <c r="K80" s="62"/>
      <c r="L80" s="91">
        <f>SUM(L73:L79)</f>
        <v>13242.210000000001</v>
      </c>
      <c r="M80" s="62"/>
      <c r="N80" s="108">
        <f>SUM(N74:N79)</f>
        <v>276.00000000000006</v>
      </c>
      <c r="O80" s="67"/>
      <c r="P80" s="108">
        <f>SUM(P75:P79)</f>
        <v>1914</v>
      </c>
      <c r="Q80" s="62"/>
      <c r="R80" s="32"/>
      <c r="S80" s="90"/>
      <c r="T80" s="91">
        <f>SUM(T73:T79)</f>
        <v>16143.842246263723</v>
      </c>
      <c r="U80" s="75"/>
      <c r="V80" s="75"/>
      <c r="W80" s="206"/>
      <c r="X80" s="93"/>
      <c r="Y80" s="94"/>
      <c r="Z80" s="94"/>
      <c r="AA80" s="94"/>
      <c r="AB80" s="94"/>
      <c r="AC80" s="94"/>
      <c r="AD80" s="94" t="s">
        <v>25</v>
      </c>
      <c r="AE80" s="70"/>
      <c r="AF80" s="63"/>
      <c r="AG80" s="90"/>
      <c r="AH80" s="90"/>
      <c r="AI80" s="90"/>
      <c r="AJ80" s="63"/>
      <c r="AK80" s="208"/>
      <c r="AL80" s="63"/>
      <c r="AM80" s="208"/>
      <c r="AN80" s="63"/>
      <c r="AO80" s="208"/>
      <c r="AP80" s="63"/>
      <c r="AQ80" s="208"/>
      <c r="AR80" s="96"/>
      <c r="AS80" s="96"/>
      <c r="AT80" s="96"/>
      <c r="AU80" s="96"/>
      <c r="AV80" s="96"/>
    </row>
    <row r="81" spans="1:48" ht="12.75" thickTop="1">
      <c r="A81" s="88"/>
      <c r="B81" s="79"/>
      <c r="C81" s="80"/>
      <c r="D81" s="79"/>
      <c r="E81" s="74"/>
      <c r="F81" s="26"/>
      <c r="G81" s="26"/>
      <c r="H81" s="28"/>
      <c r="I81" s="75"/>
      <c r="J81" s="29"/>
      <c r="K81" s="26"/>
      <c r="L81" s="29"/>
      <c r="M81" s="26"/>
      <c r="N81" s="76"/>
      <c r="O81" s="31"/>
      <c r="P81" s="76"/>
      <c r="Q81" s="26"/>
      <c r="R81" s="32"/>
      <c r="S81" s="75"/>
      <c r="T81" s="33"/>
      <c r="U81" s="75"/>
      <c r="V81" s="75"/>
      <c r="W81" s="201"/>
      <c r="X81" s="45"/>
      <c r="Y81" s="46"/>
      <c r="Z81" s="46"/>
      <c r="AA81" s="46"/>
      <c r="AB81" s="46"/>
      <c r="AC81" s="46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174"/>
      <c r="AS81" s="174"/>
      <c r="AT81" s="174"/>
      <c r="AU81" s="19"/>
      <c r="AV81" s="174"/>
    </row>
    <row r="82" spans="1:48" ht="12.75" thickBot="1">
      <c r="A82" s="98" t="s">
        <v>46</v>
      </c>
      <c r="B82" s="79"/>
      <c r="C82" s="80"/>
      <c r="D82" s="79"/>
      <c r="E82" s="74"/>
      <c r="F82" s="26"/>
      <c r="G82" s="26"/>
      <c r="H82" s="28"/>
      <c r="I82" s="75"/>
      <c r="J82" s="29"/>
      <c r="K82" s="26"/>
      <c r="L82" s="99">
        <f>L80/+$D80</f>
        <v>47.979021739130431</v>
      </c>
      <c r="M82" s="26"/>
      <c r="N82" s="76"/>
      <c r="O82" s="31"/>
      <c r="P82" s="76"/>
      <c r="Q82" s="26"/>
      <c r="R82" s="32"/>
      <c r="S82" s="75"/>
      <c r="T82" s="99">
        <f>T80/+$D80</f>
        <v>58.492182051680146</v>
      </c>
      <c r="U82" s="75"/>
      <c r="V82" s="75"/>
      <c r="W82" s="201"/>
      <c r="X82" s="45"/>
      <c r="Y82" s="46"/>
      <c r="Z82" s="46"/>
      <c r="AA82" s="46"/>
      <c r="AB82" s="46"/>
      <c r="AC82" s="46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174"/>
      <c r="AS82" s="174"/>
      <c r="AT82" s="174"/>
      <c r="AU82" s="19"/>
      <c r="AV82" s="174"/>
    </row>
    <row r="83" spans="1:48" ht="12.75" thickTop="1">
      <c r="A83" s="73" t="s">
        <v>47</v>
      </c>
      <c r="B83" s="26">
        <f>+'[18]1" W Gov E14'!I28/1000</f>
        <v>541</v>
      </c>
      <c r="C83" s="74"/>
      <c r="D83" s="26"/>
      <c r="E83" s="74"/>
      <c r="F83" s="26"/>
      <c r="G83" s="26"/>
      <c r="H83" s="28"/>
      <c r="I83" s="75"/>
      <c r="J83" s="29"/>
      <c r="K83" s="26"/>
      <c r="L83" s="29"/>
      <c r="M83" s="26"/>
      <c r="N83" s="76"/>
      <c r="O83" s="31"/>
      <c r="P83" s="76"/>
      <c r="Q83" s="26"/>
      <c r="R83" s="32"/>
      <c r="S83" s="74"/>
      <c r="T83" s="77"/>
      <c r="U83" s="74"/>
      <c r="V83" s="74"/>
      <c r="W83" s="203"/>
      <c r="X83" s="45"/>
      <c r="Y83" s="46"/>
      <c r="Z83" s="46"/>
      <c r="AA83" s="46"/>
      <c r="AB83" s="46"/>
      <c r="AC83" s="46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8"/>
      <c r="AS83" s="48"/>
      <c r="AT83" s="48"/>
      <c r="AU83" s="48"/>
      <c r="AV83" s="48"/>
    </row>
    <row r="84" spans="1:48">
      <c r="A84" s="78" t="s">
        <v>40</v>
      </c>
      <c r="B84" s="79"/>
      <c r="C84" s="80"/>
      <c r="D84" s="79">
        <f>+'[18]1" W Gov E14'!S32</f>
        <v>36.000000000000007</v>
      </c>
      <c r="E84" s="74"/>
      <c r="F84" s="26"/>
      <c r="G84" s="26"/>
      <c r="H84" s="81">
        <f>+'[18]1" W Gov E14'!S2</f>
        <v>26.97</v>
      </c>
      <c r="I84" s="75"/>
      <c r="J84" s="29">
        <f>H84*D84</f>
        <v>970.92000000000019</v>
      </c>
      <c r="K84" s="26"/>
      <c r="L84" s="29">
        <f t="shared" ref="L84:L89" si="28">+J84</f>
        <v>970.92000000000019</v>
      </c>
      <c r="M84" s="26"/>
      <c r="N84" s="76">
        <f>D84</f>
        <v>36.000000000000007</v>
      </c>
      <c r="O84" s="31"/>
      <c r="P84" s="76"/>
      <c r="Q84" s="26"/>
      <c r="R84" s="82">
        <f t="shared" ref="R84:R89" si="29">H84*(1+$W$5)</f>
        <v>32.879664752464471</v>
      </c>
      <c r="S84" s="75"/>
      <c r="T84" s="83">
        <f>R84*+D84</f>
        <v>1183.6679310887212</v>
      </c>
      <c r="U84" s="75"/>
      <c r="V84" s="75"/>
      <c r="W84" s="201"/>
      <c r="X84" s="45"/>
      <c r="Y84" s="46"/>
      <c r="Z84" s="46"/>
      <c r="AA84" s="46"/>
      <c r="AB84" s="46"/>
      <c r="AC84" s="46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174"/>
      <c r="AS84" s="174"/>
      <c r="AT84" s="174"/>
      <c r="AU84" s="19"/>
      <c r="AV84" s="174"/>
    </row>
    <row r="85" spans="1:48">
      <c r="A85" s="78" t="s">
        <v>41</v>
      </c>
      <c r="B85" s="79"/>
      <c r="C85" s="80"/>
      <c r="D85" s="79"/>
      <c r="E85" s="74"/>
      <c r="F85" s="26">
        <f>+'[18]1" W Gov E14'!V32</f>
        <v>92.999999999999986</v>
      </c>
      <c r="G85" s="26"/>
      <c r="H85" s="84">
        <f>+'[18]1" W Gov E14'!S4</f>
        <v>3.61</v>
      </c>
      <c r="I85" s="75"/>
      <c r="J85" s="76">
        <f>H85*F85</f>
        <v>335.72999999999996</v>
      </c>
      <c r="K85" s="26"/>
      <c r="L85" s="29">
        <f t="shared" si="28"/>
        <v>335.72999999999996</v>
      </c>
      <c r="M85" s="26"/>
      <c r="N85" s="76"/>
      <c r="O85" s="31"/>
      <c r="P85" s="76">
        <f t="shared" ref="P85:P89" si="30">SUM(F85)</f>
        <v>92.999999999999986</v>
      </c>
      <c r="Q85" s="26"/>
      <c r="R85" s="82">
        <f t="shared" si="29"/>
        <v>4.4010229794733684</v>
      </c>
      <c r="S85" s="75"/>
      <c r="T85" s="83">
        <f>R85*F85</f>
        <v>409.29513709102321</v>
      </c>
      <c r="U85" s="75"/>
      <c r="V85" s="75"/>
      <c r="W85" s="201"/>
      <c r="X85" s="45"/>
      <c r="Y85" s="46"/>
      <c r="Z85" s="46"/>
      <c r="AA85" s="46"/>
      <c r="AB85" s="46"/>
      <c r="AC85" s="46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174"/>
      <c r="AS85" s="174"/>
      <c r="AT85" s="174"/>
      <c r="AU85" s="19"/>
      <c r="AV85" s="174"/>
    </row>
    <row r="86" spans="1:48">
      <c r="A86" s="78" t="s">
        <v>20</v>
      </c>
      <c r="B86" s="79"/>
      <c r="C86" s="80"/>
      <c r="D86" s="79"/>
      <c r="E86" s="74"/>
      <c r="F86" s="26">
        <f>+'[18]1" W Gov E14'!W32</f>
        <v>217.00000000000006</v>
      </c>
      <c r="G86" s="26"/>
      <c r="H86" s="84">
        <f>+'[18]1" W Gov E14'!S5</f>
        <v>3.29</v>
      </c>
      <c r="I86" s="75"/>
      <c r="J86" s="76">
        <f>H86*F86</f>
        <v>713.93000000000018</v>
      </c>
      <c r="K86" s="26"/>
      <c r="L86" s="29">
        <f t="shared" si="28"/>
        <v>713.93000000000018</v>
      </c>
      <c r="M86" s="26"/>
      <c r="N86" s="76"/>
      <c r="O86" s="31"/>
      <c r="P86" s="76">
        <f t="shared" si="30"/>
        <v>217.00000000000006</v>
      </c>
      <c r="Q86" s="26"/>
      <c r="R86" s="82">
        <f t="shared" si="29"/>
        <v>4.0109045990214351</v>
      </c>
      <c r="S86" s="75"/>
      <c r="T86" s="83">
        <f t="shared" ref="T86:T89" si="31">R86*F86</f>
        <v>870.36629798765171</v>
      </c>
      <c r="U86" s="75"/>
      <c r="V86" s="75"/>
      <c r="W86" s="203"/>
      <c r="X86" s="45"/>
      <c r="Y86" s="46"/>
      <c r="Z86" s="46"/>
      <c r="AA86" s="46"/>
      <c r="AB86" s="46"/>
      <c r="AC86" s="46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174"/>
      <c r="AS86" s="174"/>
      <c r="AT86" s="174"/>
      <c r="AU86" s="19"/>
      <c r="AV86" s="174"/>
    </row>
    <row r="87" spans="1:48">
      <c r="A87" s="78" t="s">
        <v>21</v>
      </c>
      <c r="B87" s="79"/>
      <c r="C87" s="80"/>
      <c r="D87" s="79"/>
      <c r="E87" s="74"/>
      <c r="F87" s="26">
        <f>+'[18]1" W Gov E14'!X32</f>
        <v>50</v>
      </c>
      <c r="G87" s="26"/>
      <c r="H87" s="84">
        <f>+'[18]1" W Gov E14'!S6</f>
        <v>3.12</v>
      </c>
      <c r="I87" s="75"/>
      <c r="J87" s="76">
        <f>H87*F87</f>
        <v>156</v>
      </c>
      <c r="K87" s="26"/>
      <c r="L87" s="29">
        <f t="shared" si="28"/>
        <v>156</v>
      </c>
      <c r="M87" s="26"/>
      <c r="N87" s="76"/>
      <c r="O87" s="31"/>
      <c r="P87" s="76">
        <f t="shared" si="30"/>
        <v>50</v>
      </c>
      <c r="Q87" s="26"/>
      <c r="R87" s="82">
        <f t="shared" si="29"/>
        <v>3.8036542094063464</v>
      </c>
      <c r="S87" s="75"/>
      <c r="T87" s="83">
        <f t="shared" si="31"/>
        <v>190.18271047031732</v>
      </c>
      <c r="U87" s="75"/>
      <c r="V87" s="75"/>
      <c r="W87" s="203"/>
      <c r="X87" s="45"/>
      <c r="Y87" s="46"/>
      <c r="Z87" s="46"/>
      <c r="AA87" s="46"/>
      <c r="AB87" s="46"/>
      <c r="AC87" s="46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174"/>
      <c r="AS87" s="48"/>
      <c r="AT87" s="174"/>
      <c r="AU87" s="19"/>
      <c r="AV87" s="174"/>
    </row>
    <row r="88" spans="1:48">
      <c r="A88" s="78" t="s">
        <v>22</v>
      </c>
      <c r="B88" s="79"/>
      <c r="C88" s="80"/>
      <c r="D88" s="79"/>
      <c r="E88" s="74"/>
      <c r="F88" s="26">
        <f>+'[18]1" W Gov E14'!Y32</f>
        <v>0</v>
      </c>
      <c r="G88" s="26"/>
      <c r="H88" s="84">
        <f>+'[18]1" W Gov E14'!S7</f>
        <v>2.79</v>
      </c>
      <c r="I88" s="75"/>
      <c r="J88" s="76">
        <f>H88*F88</f>
        <v>0</v>
      </c>
      <c r="K88" s="26"/>
      <c r="L88" s="29">
        <f t="shared" si="28"/>
        <v>0</v>
      </c>
      <c r="M88" s="26"/>
      <c r="N88" s="76"/>
      <c r="O88" s="31"/>
      <c r="P88" s="76">
        <f t="shared" si="30"/>
        <v>0</v>
      </c>
      <c r="Q88" s="26"/>
      <c r="R88" s="82">
        <f t="shared" si="29"/>
        <v>3.4013446295652905</v>
      </c>
      <c r="S88" s="75"/>
      <c r="T88" s="83">
        <f t="shared" si="31"/>
        <v>0</v>
      </c>
      <c r="U88" s="75"/>
      <c r="V88" s="75"/>
      <c r="W88" s="203"/>
      <c r="X88" s="45"/>
      <c r="Y88" s="46"/>
      <c r="Z88" s="46"/>
      <c r="AA88" s="46"/>
      <c r="AB88" s="46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174"/>
      <c r="AS88" s="48"/>
      <c r="AT88" s="174"/>
      <c r="AU88" s="19"/>
      <c r="AV88" s="174"/>
    </row>
    <row r="89" spans="1:48">
      <c r="A89" s="78" t="s">
        <v>23</v>
      </c>
      <c r="B89" s="79"/>
      <c r="C89" s="80"/>
      <c r="D89" s="79"/>
      <c r="E89" s="74"/>
      <c r="F89" s="26">
        <f>+'[18]1" W Gov E14'!Z32</f>
        <v>0</v>
      </c>
      <c r="G89" s="26"/>
      <c r="H89" s="84">
        <f>+'[18]1" W Gov E14'!S8</f>
        <v>2.5499999999999998</v>
      </c>
      <c r="I89" s="75"/>
      <c r="J89" s="76">
        <f>H89*F89</f>
        <v>0</v>
      </c>
      <c r="K89" s="26"/>
      <c r="L89" s="29">
        <f t="shared" si="28"/>
        <v>0</v>
      </c>
      <c r="M89" s="26"/>
      <c r="N89" s="76"/>
      <c r="O89" s="31"/>
      <c r="P89" s="76">
        <f t="shared" si="30"/>
        <v>0</v>
      </c>
      <c r="Q89" s="26"/>
      <c r="R89" s="82">
        <f t="shared" si="29"/>
        <v>3.1087558442263403</v>
      </c>
      <c r="S89" s="75"/>
      <c r="T89" s="83">
        <f t="shared" si="31"/>
        <v>0</v>
      </c>
      <c r="U89" s="75"/>
      <c r="V89" s="75"/>
      <c r="W89" s="203"/>
      <c r="X89" s="45"/>
      <c r="Y89" s="46"/>
      <c r="Z89" s="46"/>
      <c r="AA89" s="46"/>
      <c r="AB89" s="46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74"/>
      <c r="AS89" s="48"/>
      <c r="AT89" s="174"/>
      <c r="AU89" s="19"/>
      <c r="AV89" s="174"/>
    </row>
    <row r="90" spans="1:48" s="97" customFormat="1" ht="12.75" thickBot="1">
      <c r="A90" s="88" t="s">
        <v>48</v>
      </c>
      <c r="B90" s="103">
        <f>SUM(B83:B89)</f>
        <v>541</v>
      </c>
      <c r="C90" s="90"/>
      <c r="D90" s="103">
        <f>SUM(D83:D89)</f>
        <v>36.000000000000007</v>
      </c>
      <c r="E90" s="90"/>
      <c r="F90" s="103">
        <f>SUM(F83:F89)</f>
        <v>360.00000000000006</v>
      </c>
      <c r="G90" s="62"/>
      <c r="H90" s="64"/>
      <c r="I90" s="63"/>
      <c r="J90" s="91">
        <f>SUM(J83:J89)</f>
        <v>2176.5800000000004</v>
      </c>
      <c r="K90" s="62"/>
      <c r="L90" s="91">
        <f>SUM(L83:L89)</f>
        <v>2176.5800000000004</v>
      </c>
      <c r="M90" s="62"/>
      <c r="N90" s="108">
        <f>SUM(N84:N89)</f>
        <v>36.000000000000007</v>
      </c>
      <c r="O90" s="67"/>
      <c r="P90" s="108">
        <f>SUM(P85:P89)</f>
        <v>360.00000000000006</v>
      </c>
      <c r="Q90" s="62"/>
      <c r="R90" s="32"/>
      <c r="S90" s="90"/>
      <c r="T90" s="91">
        <f>SUM(T83:T89)</f>
        <v>2653.5120766377136</v>
      </c>
      <c r="U90" s="75"/>
      <c r="V90" s="75"/>
      <c r="W90" s="206"/>
      <c r="X90" s="93"/>
      <c r="Y90" s="94"/>
      <c r="Z90" s="94"/>
      <c r="AA90" s="94"/>
      <c r="AB90" s="94"/>
      <c r="AC90" s="94"/>
      <c r="AD90" s="94" t="s">
        <v>25</v>
      </c>
      <c r="AE90" s="70"/>
      <c r="AF90" s="63"/>
      <c r="AG90" s="90"/>
      <c r="AH90" s="90"/>
      <c r="AI90" s="90"/>
      <c r="AJ90" s="63"/>
      <c r="AK90" s="208"/>
      <c r="AL90" s="63"/>
      <c r="AM90" s="208"/>
      <c r="AN90" s="63"/>
      <c r="AO90" s="208"/>
      <c r="AP90" s="63"/>
      <c r="AQ90" s="208"/>
      <c r="AR90" s="96"/>
      <c r="AS90" s="96"/>
      <c r="AT90" s="96"/>
      <c r="AU90" s="96"/>
      <c r="AV90" s="96"/>
    </row>
    <row r="91" spans="1:48" ht="12.75" thickTop="1">
      <c r="A91" s="88"/>
      <c r="B91" s="79"/>
      <c r="C91" s="80"/>
      <c r="D91" s="79"/>
      <c r="E91" s="74"/>
      <c r="F91" s="26"/>
      <c r="G91" s="26"/>
      <c r="H91" s="28"/>
      <c r="I91" s="75"/>
      <c r="J91" s="29"/>
      <c r="K91" s="26"/>
      <c r="L91" s="29"/>
      <c r="M91" s="26"/>
      <c r="N91" s="76"/>
      <c r="O91" s="31"/>
      <c r="P91" s="76"/>
      <c r="Q91" s="26"/>
      <c r="R91" s="32"/>
      <c r="S91" s="75"/>
      <c r="T91" s="33"/>
      <c r="U91" s="75"/>
      <c r="V91" s="75"/>
      <c r="W91" s="201"/>
      <c r="X91" s="45"/>
      <c r="Y91" s="46"/>
      <c r="Z91" s="46"/>
      <c r="AA91" s="46"/>
      <c r="AB91" s="46"/>
      <c r="AC91" s="46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174"/>
      <c r="AS91" s="174"/>
      <c r="AT91" s="174"/>
      <c r="AU91" s="19"/>
      <c r="AV91" s="174"/>
    </row>
    <row r="92" spans="1:48" ht="12.75" thickBot="1">
      <c r="A92" s="98" t="s">
        <v>49</v>
      </c>
      <c r="B92" s="79"/>
      <c r="C92" s="80"/>
      <c r="D92" s="79"/>
      <c r="E92" s="74"/>
      <c r="F92" s="26"/>
      <c r="G92" s="26"/>
      <c r="H92" s="28"/>
      <c r="I92" s="75"/>
      <c r="J92" s="29"/>
      <c r="K92" s="26"/>
      <c r="L92" s="99">
        <f>L90/+$D90</f>
        <v>60.460555555555551</v>
      </c>
      <c r="M92" s="26"/>
      <c r="N92" s="76"/>
      <c r="O92" s="31"/>
      <c r="P92" s="76"/>
      <c r="Q92" s="26"/>
      <c r="R92" s="32"/>
      <c r="S92" s="75"/>
      <c r="T92" s="99">
        <f>T90/+$D90</f>
        <v>73.708668795492031</v>
      </c>
      <c r="U92" s="75"/>
      <c r="V92" s="75"/>
      <c r="W92" s="201"/>
      <c r="X92" s="45"/>
      <c r="Y92" s="46"/>
      <c r="Z92" s="46"/>
      <c r="AA92" s="46"/>
      <c r="AB92" s="46"/>
      <c r="AC92" s="46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174"/>
      <c r="AS92" s="174"/>
      <c r="AT92" s="174"/>
      <c r="AU92" s="19"/>
      <c r="AV92" s="174"/>
    </row>
    <row r="93" spans="1:48" ht="12.75" thickTop="1">
      <c r="A93" s="73" t="s">
        <v>50</v>
      </c>
      <c r="B93" s="26">
        <f>+'[18]1" W Ind E14'!I17/1000</f>
        <v>161</v>
      </c>
      <c r="C93" s="74"/>
      <c r="D93" s="26"/>
      <c r="E93" s="74"/>
      <c r="F93" s="26"/>
      <c r="G93" s="26"/>
      <c r="H93" s="28"/>
      <c r="I93" s="75"/>
      <c r="J93" s="29"/>
      <c r="K93" s="26"/>
      <c r="L93" s="29"/>
      <c r="M93" s="26"/>
      <c r="N93" s="76"/>
      <c r="O93" s="31"/>
      <c r="P93" s="76"/>
      <c r="Q93" s="26"/>
      <c r="R93" s="32"/>
      <c r="S93" s="74"/>
      <c r="T93" s="77"/>
      <c r="U93" s="74"/>
      <c r="V93" s="74"/>
      <c r="W93" s="203"/>
      <c r="X93" s="45"/>
      <c r="Y93" s="46"/>
      <c r="Z93" s="46"/>
      <c r="AA93" s="46"/>
      <c r="AB93" s="46"/>
      <c r="AC93" s="46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8"/>
      <c r="AS93" s="48"/>
      <c r="AT93" s="48"/>
      <c r="AU93" s="48"/>
      <c r="AV93" s="48"/>
    </row>
    <row r="94" spans="1:48">
      <c r="A94" s="78" t="s">
        <v>40</v>
      </c>
      <c r="B94" s="79"/>
      <c r="C94" s="80"/>
      <c r="D94" s="79">
        <f>+'[18]1" W Ind E14'!S21</f>
        <v>12</v>
      </c>
      <c r="E94" s="74"/>
      <c r="F94" s="26"/>
      <c r="G94" s="26"/>
      <c r="H94" s="81">
        <f>+'[18]1" W Ind E14'!S2</f>
        <v>26.97</v>
      </c>
      <c r="I94" s="75"/>
      <c r="J94" s="29">
        <f>H94*D94</f>
        <v>323.64</v>
      </c>
      <c r="K94" s="26"/>
      <c r="L94" s="29">
        <f t="shared" ref="L94:L99" si="32">+J94</f>
        <v>323.64</v>
      </c>
      <c r="M94" s="26"/>
      <c r="N94" s="76">
        <f>D94</f>
        <v>12</v>
      </c>
      <c r="O94" s="31"/>
      <c r="P94" s="76"/>
      <c r="Q94" s="26"/>
      <c r="R94" s="82">
        <f t="shared" ref="R94:R99" si="33">H94*(1+$W$5)</f>
        <v>32.879664752464471</v>
      </c>
      <c r="S94" s="75"/>
      <c r="T94" s="83">
        <f>R94*+D94</f>
        <v>394.55597702957368</v>
      </c>
      <c r="U94" s="75"/>
      <c r="V94" s="75"/>
      <c r="W94" s="201"/>
      <c r="X94" s="45"/>
      <c r="Y94" s="46"/>
      <c r="Z94" s="46"/>
      <c r="AA94" s="46"/>
      <c r="AB94" s="46"/>
      <c r="AC94" s="46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174"/>
      <c r="AS94" s="174"/>
      <c r="AT94" s="174"/>
      <c r="AU94" s="19"/>
      <c r="AV94" s="174"/>
    </row>
    <row r="95" spans="1:48">
      <c r="A95" s="78" t="s">
        <v>41</v>
      </c>
      <c r="B95" s="79"/>
      <c r="C95" s="80"/>
      <c r="D95" s="79"/>
      <c r="E95" s="74"/>
      <c r="F95" s="26">
        <f>+'[18]1" W Ind E14'!V21</f>
        <v>12</v>
      </c>
      <c r="G95" s="26"/>
      <c r="H95" s="84">
        <f>+'[18]1" W Ind E14'!S4</f>
        <v>3.61</v>
      </c>
      <c r="I95" s="75"/>
      <c r="J95" s="76">
        <f>H95*F95</f>
        <v>43.32</v>
      </c>
      <c r="K95" s="26"/>
      <c r="L95" s="29">
        <f t="shared" si="32"/>
        <v>43.32</v>
      </c>
      <c r="M95" s="26"/>
      <c r="N95" s="76"/>
      <c r="O95" s="31"/>
      <c r="P95" s="76">
        <f t="shared" ref="P95:P99" si="34">SUM(F95)</f>
        <v>12</v>
      </c>
      <c r="Q95" s="26"/>
      <c r="R95" s="82">
        <f t="shared" si="33"/>
        <v>4.4010229794733684</v>
      </c>
      <c r="S95" s="75"/>
      <c r="T95" s="83">
        <f>R95*F95</f>
        <v>52.812275753680424</v>
      </c>
      <c r="U95" s="75"/>
      <c r="V95" s="75"/>
      <c r="W95" s="201"/>
      <c r="X95" s="45"/>
      <c r="Y95" s="46"/>
      <c r="Z95" s="46"/>
      <c r="AA95" s="46"/>
      <c r="AB95" s="46"/>
      <c r="AC95" s="46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174"/>
      <c r="AS95" s="174"/>
      <c r="AT95" s="174"/>
      <c r="AU95" s="19"/>
      <c r="AV95" s="174"/>
    </row>
    <row r="96" spans="1:48">
      <c r="A96" s="78" t="s">
        <v>20</v>
      </c>
      <c r="B96" s="79"/>
      <c r="C96" s="80"/>
      <c r="D96" s="79"/>
      <c r="E96" s="74"/>
      <c r="F96" s="26">
        <f>+'[18]1" W Ind E14'!W21</f>
        <v>37</v>
      </c>
      <c r="G96" s="26"/>
      <c r="H96" s="84">
        <f>+'[18]1" W Ind E14'!S5</f>
        <v>3.29</v>
      </c>
      <c r="I96" s="75"/>
      <c r="J96" s="76">
        <f>H96*F96</f>
        <v>121.73</v>
      </c>
      <c r="K96" s="26"/>
      <c r="L96" s="29">
        <f t="shared" si="32"/>
        <v>121.73</v>
      </c>
      <c r="M96" s="26"/>
      <c r="N96" s="76"/>
      <c r="O96" s="31"/>
      <c r="P96" s="76">
        <f t="shared" si="34"/>
        <v>37</v>
      </c>
      <c r="Q96" s="26"/>
      <c r="R96" s="82">
        <f t="shared" si="33"/>
        <v>4.0109045990214351</v>
      </c>
      <c r="S96" s="75"/>
      <c r="T96" s="83">
        <f t="shared" ref="T96:T99" si="35">R96*F96</f>
        <v>148.40347016379309</v>
      </c>
      <c r="U96" s="75"/>
      <c r="V96" s="75"/>
      <c r="W96" s="203"/>
      <c r="X96" s="45"/>
      <c r="Y96" s="46"/>
      <c r="Z96" s="46"/>
      <c r="AA96" s="46"/>
      <c r="AB96" s="46"/>
      <c r="AC96" s="46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174"/>
      <c r="AS96" s="174"/>
      <c r="AT96" s="174"/>
      <c r="AU96" s="19"/>
      <c r="AV96" s="174"/>
    </row>
    <row r="97" spans="1:48">
      <c r="A97" s="78" t="s">
        <v>21</v>
      </c>
      <c r="B97" s="79"/>
      <c r="C97" s="80"/>
      <c r="D97" s="79"/>
      <c r="E97" s="74"/>
      <c r="F97" s="26">
        <f>+'[18]1" W Ind E14'!X21</f>
        <v>40</v>
      </c>
      <c r="G97" s="26"/>
      <c r="H97" s="84">
        <f>+'[18]1" W Ind E14'!S6</f>
        <v>3.12</v>
      </c>
      <c r="I97" s="75"/>
      <c r="J97" s="76">
        <f>H97*F97</f>
        <v>124.80000000000001</v>
      </c>
      <c r="K97" s="26"/>
      <c r="L97" s="29">
        <f t="shared" si="32"/>
        <v>124.80000000000001</v>
      </c>
      <c r="M97" s="26"/>
      <c r="N97" s="76"/>
      <c r="O97" s="31"/>
      <c r="P97" s="76">
        <f t="shared" si="34"/>
        <v>40</v>
      </c>
      <c r="Q97" s="26"/>
      <c r="R97" s="82">
        <f t="shared" si="33"/>
        <v>3.8036542094063464</v>
      </c>
      <c r="S97" s="75"/>
      <c r="T97" s="83">
        <f t="shared" si="35"/>
        <v>152.14616837625385</v>
      </c>
      <c r="U97" s="75"/>
      <c r="V97" s="75"/>
      <c r="W97" s="203"/>
      <c r="X97" s="45"/>
      <c r="Y97" s="46"/>
      <c r="Z97" s="46"/>
      <c r="AA97" s="46"/>
      <c r="AB97" s="46"/>
      <c r="AC97" s="46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174"/>
      <c r="AS97" s="48"/>
      <c r="AT97" s="174"/>
      <c r="AU97" s="19"/>
      <c r="AV97" s="174"/>
    </row>
    <row r="98" spans="1:48">
      <c r="A98" s="78" t="s">
        <v>22</v>
      </c>
      <c r="B98" s="79"/>
      <c r="C98" s="80"/>
      <c r="D98" s="79"/>
      <c r="E98" s="74"/>
      <c r="F98" s="26">
        <f>+'[18]1" W Ind E14'!Y21</f>
        <v>19</v>
      </c>
      <c r="G98" s="26"/>
      <c r="H98" s="84">
        <f>+'[18]1" W Ind E14'!S7</f>
        <v>2.79</v>
      </c>
      <c r="I98" s="75"/>
      <c r="J98" s="76">
        <f>H98*F98</f>
        <v>53.01</v>
      </c>
      <c r="K98" s="26"/>
      <c r="L98" s="29">
        <f t="shared" si="32"/>
        <v>53.01</v>
      </c>
      <c r="M98" s="26"/>
      <c r="N98" s="76"/>
      <c r="O98" s="31"/>
      <c r="P98" s="76">
        <f t="shared" si="34"/>
        <v>19</v>
      </c>
      <c r="Q98" s="26"/>
      <c r="R98" s="82">
        <f t="shared" si="33"/>
        <v>3.4013446295652905</v>
      </c>
      <c r="S98" s="75"/>
      <c r="T98" s="83">
        <f t="shared" si="35"/>
        <v>64.625547961740523</v>
      </c>
      <c r="U98" s="75"/>
      <c r="V98" s="75"/>
      <c r="W98" s="203"/>
      <c r="X98" s="45"/>
      <c r="Y98" s="46"/>
      <c r="Z98" s="46"/>
      <c r="AA98" s="46"/>
      <c r="AB98" s="46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174"/>
      <c r="AS98" s="48"/>
      <c r="AT98" s="174"/>
      <c r="AU98" s="19"/>
      <c r="AV98" s="174"/>
    </row>
    <row r="99" spans="1:48">
      <c r="A99" s="78" t="s">
        <v>23</v>
      </c>
      <c r="B99" s="79"/>
      <c r="C99" s="80"/>
      <c r="D99" s="79"/>
      <c r="E99" s="74"/>
      <c r="F99" s="26">
        <f>+'[18]1" W Ind E14'!Z21</f>
        <v>0</v>
      </c>
      <c r="G99" s="26"/>
      <c r="H99" s="84">
        <f>+'[18]1" W Ind E14'!S8</f>
        <v>2.5499999999999998</v>
      </c>
      <c r="I99" s="75"/>
      <c r="J99" s="76">
        <f>H99*F99</f>
        <v>0</v>
      </c>
      <c r="K99" s="26"/>
      <c r="L99" s="29">
        <f t="shared" si="32"/>
        <v>0</v>
      </c>
      <c r="M99" s="26"/>
      <c r="N99" s="76"/>
      <c r="O99" s="31"/>
      <c r="P99" s="76">
        <f t="shared" si="34"/>
        <v>0</v>
      </c>
      <c r="Q99" s="26"/>
      <c r="R99" s="82">
        <f t="shared" si="33"/>
        <v>3.1087558442263403</v>
      </c>
      <c r="S99" s="75"/>
      <c r="T99" s="83">
        <f t="shared" si="35"/>
        <v>0</v>
      </c>
      <c r="U99" s="75"/>
      <c r="V99" s="75"/>
      <c r="W99" s="203"/>
      <c r="X99" s="45"/>
      <c r="Y99" s="46"/>
      <c r="Z99" s="46"/>
      <c r="AA99" s="46"/>
      <c r="AB99" s="46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174"/>
      <c r="AS99" s="48"/>
      <c r="AT99" s="174"/>
      <c r="AU99" s="19"/>
      <c r="AV99" s="174"/>
    </row>
    <row r="100" spans="1:48" s="97" customFormat="1" ht="12.75" thickBot="1">
      <c r="A100" s="88" t="s">
        <v>51</v>
      </c>
      <c r="B100" s="103">
        <f>SUM(B93:B99)</f>
        <v>161</v>
      </c>
      <c r="C100" s="90"/>
      <c r="D100" s="103">
        <f>SUM(D93:D99)</f>
        <v>12</v>
      </c>
      <c r="E100" s="90"/>
      <c r="F100" s="103">
        <f>SUM(F93:F99)</f>
        <v>108</v>
      </c>
      <c r="G100" s="62"/>
      <c r="H100" s="64"/>
      <c r="I100" s="63"/>
      <c r="J100" s="91">
        <f>SUM(J93:J99)</f>
        <v>666.5</v>
      </c>
      <c r="K100" s="62"/>
      <c r="L100" s="91">
        <f>SUM(L93:L99)</f>
        <v>666.5</v>
      </c>
      <c r="M100" s="62"/>
      <c r="N100" s="108">
        <f>SUM(N94:N99)</f>
        <v>12</v>
      </c>
      <c r="O100" s="67"/>
      <c r="P100" s="108">
        <f>SUM(P95:P99)</f>
        <v>108</v>
      </c>
      <c r="Q100" s="62"/>
      <c r="R100" s="32"/>
      <c r="S100" s="90"/>
      <c r="T100" s="91">
        <f>SUM(T93:T99)</f>
        <v>812.54343928504159</v>
      </c>
      <c r="U100" s="90"/>
      <c r="V100" s="90"/>
      <c r="W100" s="206"/>
      <c r="X100" s="93"/>
      <c r="Y100" s="94"/>
      <c r="Z100" s="94"/>
      <c r="AA100" s="94"/>
      <c r="AB100" s="94"/>
      <c r="AC100" s="94"/>
      <c r="AD100" s="94" t="s">
        <v>25</v>
      </c>
      <c r="AE100" s="70"/>
      <c r="AF100" s="63"/>
      <c r="AG100" s="90"/>
      <c r="AH100" s="90"/>
      <c r="AI100" s="90"/>
      <c r="AJ100" s="63"/>
      <c r="AK100" s="208"/>
      <c r="AL100" s="63"/>
      <c r="AM100" s="208"/>
      <c r="AN100" s="63"/>
      <c r="AO100" s="208"/>
      <c r="AP100" s="63"/>
      <c r="AQ100" s="208"/>
      <c r="AR100" s="96"/>
      <c r="AS100" s="96"/>
      <c r="AT100" s="96"/>
      <c r="AU100" s="96"/>
      <c r="AV100" s="96"/>
    </row>
    <row r="101" spans="1:48" ht="12.75" thickTop="1">
      <c r="A101" s="88"/>
      <c r="B101" s="79"/>
      <c r="C101" s="80"/>
      <c r="D101" s="79"/>
      <c r="E101" s="74"/>
      <c r="F101" s="26"/>
      <c r="G101" s="26"/>
      <c r="H101" s="28"/>
      <c r="I101" s="75"/>
      <c r="J101" s="29"/>
      <c r="K101" s="26"/>
      <c r="L101" s="29"/>
      <c r="M101" s="26"/>
      <c r="N101" s="76"/>
      <c r="O101" s="31"/>
      <c r="P101" s="76"/>
      <c r="Q101" s="26"/>
      <c r="R101" s="32"/>
      <c r="S101" s="75"/>
      <c r="T101" s="33"/>
      <c r="U101" s="75"/>
      <c r="V101" s="75"/>
      <c r="W101" s="201"/>
      <c r="X101" s="45"/>
      <c r="Y101" s="46"/>
      <c r="Z101" s="46"/>
      <c r="AA101" s="46"/>
      <c r="AB101" s="46"/>
      <c r="AC101" s="46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174"/>
      <c r="AS101" s="174"/>
      <c r="AT101" s="174"/>
      <c r="AU101" s="19"/>
      <c r="AV101" s="174"/>
    </row>
    <row r="102" spans="1:48" ht="12.75" thickBot="1">
      <c r="A102" s="98" t="s">
        <v>52</v>
      </c>
      <c r="B102" s="79"/>
      <c r="C102" s="80"/>
      <c r="D102" s="79"/>
      <c r="E102" s="74"/>
      <c r="F102" s="26"/>
      <c r="G102" s="26"/>
      <c r="H102" s="28"/>
      <c r="I102" s="75"/>
      <c r="J102" s="29"/>
      <c r="K102" s="26"/>
      <c r="L102" s="99">
        <f>L100/+$D100</f>
        <v>55.541666666666664</v>
      </c>
      <c r="M102" s="26"/>
      <c r="N102" s="76"/>
      <c r="O102" s="31"/>
      <c r="P102" s="76"/>
      <c r="Q102" s="26"/>
      <c r="R102" s="32"/>
      <c r="S102" s="75"/>
      <c r="T102" s="99">
        <f>T100/+$D100</f>
        <v>67.711953273753466</v>
      </c>
      <c r="U102" s="75"/>
      <c r="V102" s="75"/>
      <c r="W102" s="201"/>
      <c r="X102" s="45"/>
      <c r="Y102" s="46"/>
      <c r="Z102" s="46"/>
      <c r="AA102" s="46"/>
      <c r="AB102" s="46"/>
      <c r="AC102" s="46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174"/>
      <c r="AS102" s="174"/>
      <c r="AT102" s="174"/>
      <c r="AU102" s="19"/>
      <c r="AV102" s="174"/>
    </row>
    <row r="103" spans="1:48" ht="12.75" thickTop="1">
      <c r="A103" s="98"/>
      <c r="B103" s="79"/>
      <c r="C103" s="80"/>
      <c r="D103" s="79"/>
      <c r="E103" s="74"/>
      <c r="F103" s="26"/>
      <c r="G103" s="26"/>
      <c r="H103" s="28"/>
      <c r="I103" s="75"/>
      <c r="J103" s="29"/>
      <c r="K103" s="26"/>
      <c r="L103" s="29"/>
      <c r="M103" s="26"/>
      <c r="N103" s="76"/>
      <c r="O103" s="31"/>
      <c r="P103" s="76"/>
      <c r="Q103" s="26"/>
      <c r="R103" s="32"/>
      <c r="S103" s="75"/>
      <c r="T103" s="33"/>
      <c r="U103" s="75"/>
      <c r="V103" s="75"/>
      <c r="W103" s="201"/>
      <c r="X103" s="45"/>
      <c r="Y103" s="46"/>
      <c r="Z103" s="46"/>
      <c r="AA103" s="46"/>
      <c r="AB103" s="46"/>
      <c r="AC103" s="46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174"/>
      <c r="AS103" s="174"/>
      <c r="AT103" s="174"/>
      <c r="AU103" s="19"/>
      <c r="AV103" s="174"/>
    </row>
    <row r="104" spans="1:48">
      <c r="A104" s="73" t="s">
        <v>53</v>
      </c>
      <c r="B104" s="26">
        <f>+'[18]1.5" W C E14'!I100/1000</f>
        <v>8956</v>
      </c>
      <c r="C104" s="74"/>
      <c r="D104" s="26"/>
      <c r="E104" s="74"/>
      <c r="F104" s="26"/>
      <c r="G104" s="26"/>
      <c r="H104" s="28"/>
      <c r="I104" s="75"/>
      <c r="J104" s="29"/>
      <c r="K104" s="26"/>
      <c r="L104" s="29"/>
      <c r="M104" s="26"/>
      <c r="N104" s="76"/>
      <c r="O104" s="31"/>
      <c r="P104" s="76"/>
      <c r="Q104" s="26"/>
      <c r="R104" s="32"/>
      <c r="S104" s="74"/>
      <c r="T104" s="77"/>
      <c r="U104" s="74"/>
      <c r="V104" s="74"/>
      <c r="W104" s="203"/>
      <c r="X104" s="45"/>
      <c r="Y104" s="46"/>
      <c r="Z104" s="46"/>
      <c r="AA104" s="46"/>
      <c r="AB104" s="46"/>
      <c r="AC104" s="46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8"/>
      <c r="AS104" s="48"/>
      <c r="AT104" s="48"/>
      <c r="AU104" s="48"/>
      <c r="AV104" s="48"/>
    </row>
    <row r="105" spans="1:48">
      <c r="A105" s="78" t="s">
        <v>54</v>
      </c>
      <c r="B105" s="79"/>
      <c r="C105" s="80"/>
      <c r="D105" s="79">
        <f>+'[18]1.5" W C E14'!S104</f>
        <v>210.99999999999972</v>
      </c>
      <c r="E105" s="74"/>
      <c r="F105" s="26"/>
      <c r="G105" s="26"/>
      <c r="H105" s="81">
        <f>+'[18]1.5" W C E14'!S2</f>
        <v>51.22</v>
      </c>
      <c r="I105" s="75"/>
      <c r="J105" s="29">
        <f>H105*D105</f>
        <v>10807.419999999986</v>
      </c>
      <c r="K105" s="26"/>
      <c r="L105" s="29">
        <f t="shared" ref="L105:L109" si="36">+J105</f>
        <v>10807.419999999986</v>
      </c>
      <c r="M105" s="26"/>
      <c r="N105" s="76">
        <f>D105</f>
        <v>210.99999999999972</v>
      </c>
      <c r="O105" s="31"/>
      <c r="P105" s="76"/>
      <c r="Q105" s="26"/>
      <c r="R105" s="82">
        <f t="shared" ref="R105:R110" si="37">H105*(1+$W$5)</f>
        <v>62.443323271087515</v>
      </c>
      <c r="S105" s="75"/>
      <c r="T105" s="83">
        <f>R105*+D105</f>
        <v>13175.541210199448</v>
      </c>
      <c r="U105" s="75"/>
      <c r="V105" s="75"/>
      <c r="W105" s="201"/>
      <c r="X105" s="45"/>
      <c r="Y105" s="46"/>
      <c r="Z105" s="46"/>
      <c r="AA105" s="46"/>
      <c r="AB105" s="46"/>
      <c r="AC105" s="46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174"/>
      <c r="AS105" s="174"/>
      <c r="AT105" s="174"/>
      <c r="AU105" s="19"/>
      <c r="AV105" s="174"/>
    </row>
    <row r="106" spans="1:48">
      <c r="A106" s="78" t="s">
        <v>55</v>
      </c>
      <c r="B106" s="79"/>
      <c r="C106" s="80"/>
      <c r="D106" s="79"/>
      <c r="E106" s="74"/>
      <c r="F106" s="26">
        <f>+'[18]1.5" W C E14'!V104</f>
        <v>1431.9999999999986</v>
      </c>
      <c r="G106" s="26"/>
      <c r="H106" s="84">
        <f>+'[18]1.5" W C E14'!S4</f>
        <v>3.29</v>
      </c>
      <c r="I106" s="75"/>
      <c r="J106" s="76">
        <f>H106*F106</f>
        <v>4711.2799999999952</v>
      </c>
      <c r="K106" s="26"/>
      <c r="L106" s="29">
        <f t="shared" si="36"/>
        <v>4711.2799999999952</v>
      </c>
      <c r="M106" s="26"/>
      <c r="N106" s="76"/>
      <c r="O106" s="31"/>
      <c r="P106" s="76">
        <f t="shared" ref="P106:P109" si="38">SUM(F106)</f>
        <v>1431.9999999999986</v>
      </c>
      <c r="Q106" s="26"/>
      <c r="R106" s="82">
        <f t="shared" si="37"/>
        <v>4.0109045990214351</v>
      </c>
      <c r="S106" s="75"/>
      <c r="T106" s="83">
        <f>R106*F106</f>
        <v>5743.6153857986892</v>
      </c>
      <c r="U106" s="75"/>
      <c r="V106" s="75"/>
      <c r="W106" s="201"/>
      <c r="X106" s="45"/>
      <c r="Y106" s="46"/>
      <c r="Z106" s="46"/>
      <c r="AA106" s="46"/>
      <c r="AB106" s="46"/>
      <c r="AC106" s="46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174"/>
      <c r="AS106" s="174"/>
      <c r="AT106" s="174"/>
      <c r="AU106" s="19"/>
      <c r="AV106" s="174"/>
    </row>
    <row r="107" spans="1:48">
      <c r="A107" s="78" t="s">
        <v>21</v>
      </c>
      <c r="B107" s="79"/>
      <c r="C107" s="80"/>
      <c r="D107" s="79"/>
      <c r="E107" s="74"/>
      <c r="F107" s="26">
        <f>+'[18]1.5" W C E14'!W104</f>
        <v>2460</v>
      </c>
      <c r="G107" s="26"/>
      <c r="H107" s="84">
        <f>+'[18]1.5" W C E14'!S5</f>
        <v>3.12</v>
      </c>
      <c r="I107" s="75"/>
      <c r="J107" s="76">
        <f>H107*F107</f>
        <v>7675.2</v>
      </c>
      <c r="K107" s="26"/>
      <c r="L107" s="29">
        <f t="shared" si="36"/>
        <v>7675.2</v>
      </c>
      <c r="M107" s="26"/>
      <c r="N107" s="76"/>
      <c r="O107" s="31"/>
      <c r="P107" s="76">
        <f t="shared" si="38"/>
        <v>2460</v>
      </c>
      <c r="Q107" s="26"/>
      <c r="R107" s="82">
        <f t="shared" si="37"/>
        <v>3.8036542094063464</v>
      </c>
      <c r="S107" s="75"/>
      <c r="T107" s="83">
        <f t="shared" ref="T107:T109" si="39">R107*F107</f>
        <v>9356.9893551396126</v>
      </c>
      <c r="U107" s="75"/>
      <c r="V107" s="75"/>
      <c r="W107" s="203"/>
      <c r="X107" s="45"/>
      <c r="Y107" s="46"/>
      <c r="Z107" s="46"/>
      <c r="AA107" s="46"/>
      <c r="AB107" s="46"/>
      <c r="AC107" s="46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174"/>
      <c r="AS107" s="174"/>
      <c r="AT107" s="174"/>
      <c r="AU107" s="19"/>
      <c r="AV107" s="174"/>
    </row>
    <row r="108" spans="1:48">
      <c r="A108" s="78" t="s">
        <v>22</v>
      </c>
      <c r="B108" s="79"/>
      <c r="C108" s="80"/>
      <c r="D108" s="79"/>
      <c r="E108" s="74"/>
      <c r="F108" s="26">
        <f>+'[18]1.5" W C E14'!X104</f>
        <v>1986.0000000000002</v>
      </c>
      <c r="G108" s="26"/>
      <c r="H108" s="84">
        <f>+'[18]1.5" W C E14'!S6</f>
        <v>2.79</v>
      </c>
      <c r="I108" s="75"/>
      <c r="J108" s="76">
        <f>H108*F108</f>
        <v>5540.9400000000005</v>
      </c>
      <c r="K108" s="26"/>
      <c r="L108" s="29">
        <f t="shared" si="36"/>
        <v>5540.9400000000005</v>
      </c>
      <c r="M108" s="26"/>
      <c r="N108" s="76"/>
      <c r="O108" s="31"/>
      <c r="P108" s="76">
        <f t="shared" si="38"/>
        <v>1986.0000000000002</v>
      </c>
      <c r="Q108" s="26"/>
      <c r="R108" s="82">
        <f t="shared" si="37"/>
        <v>3.4013446295652905</v>
      </c>
      <c r="S108" s="75"/>
      <c r="T108" s="83">
        <f t="shared" si="39"/>
        <v>6755.0704343166681</v>
      </c>
      <c r="U108" s="75"/>
      <c r="V108" s="75"/>
      <c r="W108" s="203"/>
      <c r="X108" s="45"/>
      <c r="Y108" s="46"/>
      <c r="Z108" s="46"/>
      <c r="AA108" s="46"/>
      <c r="AB108" s="46"/>
      <c r="AC108" s="46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174"/>
      <c r="AS108" s="48"/>
      <c r="AT108" s="174"/>
      <c r="AU108" s="19"/>
      <c r="AV108" s="174"/>
    </row>
    <row r="109" spans="1:48">
      <c r="A109" s="78" t="s">
        <v>23</v>
      </c>
      <c r="B109" s="79"/>
      <c r="C109" s="80"/>
      <c r="D109" s="79"/>
      <c r="E109" s="74"/>
      <c r="F109" s="26">
        <f>+'[18]1.5" W C E14'!Y104</f>
        <v>1088</v>
      </c>
      <c r="G109" s="26"/>
      <c r="H109" s="84">
        <f>+'[18]1.5" W C E14'!S7</f>
        <v>2.5499999999999998</v>
      </c>
      <c r="I109" s="75"/>
      <c r="J109" s="76">
        <f>H109*F109</f>
        <v>2774.3999999999996</v>
      </c>
      <c r="K109" s="26"/>
      <c r="L109" s="29">
        <f t="shared" si="36"/>
        <v>2774.3999999999996</v>
      </c>
      <c r="M109" s="26"/>
      <c r="N109" s="76"/>
      <c r="O109" s="31"/>
      <c r="P109" s="76">
        <f t="shared" si="38"/>
        <v>1088</v>
      </c>
      <c r="Q109" s="26"/>
      <c r="R109" s="82">
        <f t="shared" si="37"/>
        <v>3.1087558442263403</v>
      </c>
      <c r="S109" s="75"/>
      <c r="T109" s="83">
        <f t="shared" si="39"/>
        <v>3382.3263585182581</v>
      </c>
      <c r="U109" s="75"/>
      <c r="V109" s="75"/>
      <c r="W109" s="203"/>
      <c r="X109" s="45"/>
      <c r="Y109" s="46"/>
      <c r="Z109" s="46"/>
      <c r="AA109" s="46"/>
      <c r="AB109" s="46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174"/>
      <c r="AS109" s="48"/>
      <c r="AT109" s="174"/>
      <c r="AU109" s="19"/>
      <c r="AV109" s="174"/>
    </row>
    <row r="110" spans="1:48" s="97" customFormat="1" ht="12.75" thickBot="1">
      <c r="A110" s="88" t="s">
        <v>56</v>
      </c>
      <c r="B110" s="103">
        <f>SUM(B104:B109)</f>
        <v>8956</v>
      </c>
      <c r="C110" s="90"/>
      <c r="D110" s="103">
        <f>SUM(D104:D109)</f>
        <v>210.99999999999972</v>
      </c>
      <c r="E110" s="90"/>
      <c r="F110" s="103">
        <f>SUM(F104:F109)</f>
        <v>6965.9999999999991</v>
      </c>
      <c r="G110" s="62"/>
      <c r="H110" s="64"/>
      <c r="I110" s="63"/>
      <c r="J110" s="91">
        <f>SUM(J104:J109)</f>
        <v>31509.239999999983</v>
      </c>
      <c r="K110" s="62"/>
      <c r="L110" s="91">
        <f>SUM(L104:L109)</f>
        <v>31509.239999999983</v>
      </c>
      <c r="M110" s="62"/>
      <c r="N110" s="108">
        <f>SUM(N105:N109)</f>
        <v>210.99999999999972</v>
      </c>
      <c r="O110" s="67"/>
      <c r="P110" s="108">
        <f>SUM(P106:P109)</f>
        <v>6965.9999999999991</v>
      </c>
      <c r="Q110" s="62"/>
      <c r="R110" s="82">
        <f t="shared" si="37"/>
        <v>0</v>
      </c>
      <c r="S110" s="90"/>
      <c r="T110" s="91">
        <f>SUM(T104:T109)</f>
        <v>38413.542743972677</v>
      </c>
      <c r="U110" s="90"/>
      <c r="V110" s="90"/>
      <c r="W110" s="206"/>
      <c r="X110" s="93"/>
      <c r="Y110" s="94"/>
      <c r="Z110" s="94"/>
      <c r="AA110" s="94"/>
      <c r="AB110" s="94"/>
      <c r="AC110" s="94"/>
      <c r="AD110" s="94" t="s">
        <v>25</v>
      </c>
      <c r="AE110" s="70"/>
      <c r="AF110" s="63"/>
      <c r="AG110" s="90"/>
      <c r="AH110" s="90"/>
      <c r="AI110" s="90"/>
      <c r="AJ110" s="63"/>
      <c r="AK110" s="208"/>
      <c r="AL110" s="63"/>
      <c r="AM110" s="208"/>
      <c r="AN110" s="63"/>
      <c r="AO110" s="208"/>
      <c r="AP110" s="63"/>
      <c r="AQ110" s="208"/>
      <c r="AR110" s="96"/>
      <c r="AS110" s="96"/>
      <c r="AT110" s="96"/>
      <c r="AU110" s="96"/>
      <c r="AV110" s="96"/>
    </row>
    <row r="111" spans="1:48" ht="12.75" thickTop="1">
      <c r="A111" s="88"/>
      <c r="B111" s="79"/>
      <c r="C111" s="80"/>
      <c r="D111" s="79"/>
      <c r="E111" s="74"/>
      <c r="F111" s="26"/>
      <c r="G111" s="26"/>
      <c r="H111" s="28"/>
      <c r="I111" s="75"/>
      <c r="J111" s="29"/>
      <c r="K111" s="26"/>
      <c r="L111" s="29"/>
      <c r="M111" s="26"/>
      <c r="N111" s="76"/>
      <c r="O111" s="31"/>
      <c r="P111" s="76"/>
      <c r="Q111" s="26"/>
      <c r="R111" s="32"/>
      <c r="S111" s="75"/>
      <c r="T111" s="33"/>
      <c r="U111" s="75"/>
      <c r="V111" s="75"/>
      <c r="W111" s="201"/>
      <c r="X111" s="45"/>
      <c r="Y111" s="46"/>
      <c r="Z111" s="46"/>
      <c r="AA111" s="46"/>
      <c r="AB111" s="46"/>
      <c r="AC111" s="46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74"/>
      <c r="AS111" s="174"/>
      <c r="AT111" s="174"/>
      <c r="AU111" s="19"/>
      <c r="AV111" s="174"/>
    </row>
    <row r="112" spans="1:48" ht="12.75" thickBot="1">
      <c r="A112" s="98" t="s">
        <v>57</v>
      </c>
      <c r="B112" s="79"/>
      <c r="C112" s="80"/>
      <c r="D112" s="79"/>
      <c r="E112" s="74"/>
      <c r="F112" s="26"/>
      <c r="G112" s="26"/>
      <c r="H112" s="28"/>
      <c r="I112" s="75"/>
      <c r="J112" s="29"/>
      <c r="K112" s="26"/>
      <c r="L112" s="99">
        <f>L110/+$D110</f>
        <v>149.33289099526078</v>
      </c>
      <c r="M112" s="26"/>
      <c r="N112" s="76"/>
      <c r="O112" s="31"/>
      <c r="P112" s="76"/>
      <c r="Q112" s="26"/>
      <c r="R112" s="32"/>
      <c r="S112" s="75"/>
      <c r="T112" s="99">
        <f>T110/+$D110</f>
        <v>182.05470494773806</v>
      </c>
      <c r="U112" s="75"/>
      <c r="V112" s="75"/>
      <c r="W112" s="201"/>
      <c r="X112" s="45"/>
      <c r="Y112" s="46"/>
      <c r="Z112" s="46"/>
      <c r="AA112" s="46"/>
      <c r="AB112" s="46"/>
      <c r="AC112" s="46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74"/>
      <c r="AS112" s="174"/>
      <c r="AT112" s="174"/>
      <c r="AU112" s="19"/>
      <c r="AV112" s="174"/>
    </row>
    <row r="113" spans="1:48" ht="12.75" thickTop="1">
      <c r="A113" s="73" t="s">
        <v>58</v>
      </c>
      <c r="B113" s="26">
        <f>+'[18]1.5" W Gov E14'!I50/1000</f>
        <v>2887</v>
      </c>
      <c r="C113" s="74"/>
      <c r="D113" s="26"/>
      <c r="E113" s="74"/>
      <c r="F113" s="26"/>
      <c r="G113" s="26"/>
      <c r="H113" s="28"/>
      <c r="I113" s="75"/>
      <c r="J113" s="29"/>
      <c r="K113" s="26"/>
      <c r="L113" s="29"/>
      <c r="M113" s="26"/>
      <c r="N113" s="76"/>
      <c r="O113" s="31"/>
      <c r="P113" s="76"/>
      <c r="Q113" s="26"/>
      <c r="R113" s="32"/>
      <c r="S113" s="74"/>
      <c r="T113" s="77"/>
      <c r="U113" s="74"/>
      <c r="V113" s="74"/>
      <c r="W113" s="203"/>
      <c r="X113" s="45"/>
      <c r="Y113" s="46"/>
      <c r="Z113" s="46"/>
      <c r="AA113" s="46"/>
      <c r="AB113" s="46"/>
      <c r="AC113" s="46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48"/>
      <c r="AS113" s="48"/>
      <c r="AT113" s="48"/>
      <c r="AU113" s="48"/>
      <c r="AV113" s="48"/>
    </row>
    <row r="114" spans="1:48">
      <c r="A114" s="78" t="s">
        <v>54</v>
      </c>
      <c r="B114" s="79"/>
      <c r="C114" s="80"/>
      <c r="D114" s="79">
        <f>+'[18]1.5" W Gov E14'!S54</f>
        <v>59.999999999999936</v>
      </c>
      <c r="E114" s="74"/>
      <c r="F114" s="26"/>
      <c r="G114" s="26"/>
      <c r="H114" s="81">
        <f>+'[18]1.5" W Gov E14'!S2</f>
        <v>51.22</v>
      </c>
      <c r="I114" s="75"/>
      <c r="J114" s="29">
        <f>H114*D114</f>
        <v>3073.1999999999966</v>
      </c>
      <c r="K114" s="26"/>
      <c r="L114" s="29">
        <f t="shared" ref="L114:L118" si="40">+J114</f>
        <v>3073.1999999999966</v>
      </c>
      <c r="M114" s="26"/>
      <c r="N114" s="76">
        <f>D114</f>
        <v>59.999999999999936</v>
      </c>
      <c r="O114" s="31"/>
      <c r="P114" s="76"/>
      <c r="Q114" s="26"/>
      <c r="R114" s="82">
        <f t="shared" ref="R114:R119" si="41">H114*(1+$W$5)</f>
        <v>62.443323271087515</v>
      </c>
      <c r="S114" s="75"/>
      <c r="T114" s="83">
        <f>R114*+D114</f>
        <v>3746.5993962652469</v>
      </c>
      <c r="U114" s="75"/>
      <c r="V114" s="75"/>
      <c r="W114" s="201"/>
      <c r="X114" s="45"/>
      <c r="Y114" s="46"/>
      <c r="Z114" s="46"/>
      <c r="AA114" s="46"/>
      <c r="AB114" s="46"/>
      <c r="AC114" s="46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174"/>
      <c r="AS114" s="174"/>
      <c r="AT114" s="174"/>
      <c r="AU114" s="19"/>
      <c r="AV114" s="174"/>
    </row>
    <row r="115" spans="1:48">
      <c r="A115" s="78" t="s">
        <v>55</v>
      </c>
      <c r="B115" s="79"/>
      <c r="C115" s="80"/>
      <c r="D115" s="79"/>
      <c r="E115" s="74"/>
      <c r="F115" s="26">
        <f>+'[18]1.5" W Gov E14'!V54</f>
        <v>344.00000000000011</v>
      </c>
      <c r="G115" s="26"/>
      <c r="H115" s="84">
        <f>+'[18]1.5" W Gov E14'!S4</f>
        <v>3.29</v>
      </c>
      <c r="I115" s="75"/>
      <c r="J115" s="76">
        <f>H115*F115</f>
        <v>1131.7600000000004</v>
      </c>
      <c r="K115" s="26"/>
      <c r="L115" s="29">
        <f t="shared" si="40"/>
        <v>1131.7600000000004</v>
      </c>
      <c r="M115" s="26"/>
      <c r="N115" s="76"/>
      <c r="O115" s="31"/>
      <c r="P115" s="76">
        <f t="shared" ref="P115:P118" si="42">SUM(F115)</f>
        <v>344.00000000000011</v>
      </c>
      <c r="Q115" s="26"/>
      <c r="R115" s="82">
        <f t="shared" si="41"/>
        <v>4.0109045990214351</v>
      </c>
      <c r="S115" s="75"/>
      <c r="T115" s="83">
        <f>R115*F115</f>
        <v>1379.7511820633742</v>
      </c>
      <c r="U115" s="75"/>
      <c r="V115" s="75"/>
      <c r="W115" s="201"/>
      <c r="X115" s="45"/>
      <c r="Y115" s="46"/>
      <c r="Z115" s="46"/>
      <c r="AA115" s="46"/>
      <c r="AB115" s="46"/>
      <c r="AC115" s="46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174"/>
      <c r="AS115" s="174"/>
      <c r="AT115" s="174"/>
      <c r="AU115" s="19"/>
      <c r="AV115" s="174"/>
    </row>
    <row r="116" spans="1:48">
      <c r="A116" s="78" t="s">
        <v>21</v>
      </c>
      <c r="B116" s="79"/>
      <c r="C116" s="80"/>
      <c r="D116" s="79"/>
      <c r="E116" s="74"/>
      <c r="F116" s="26">
        <f>+'[18]1.5" W Gov E14'!W54</f>
        <v>602</v>
      </c>
      <c r="G116" s="26"/>
      <c r="H116" s="84">
        <f>+'[18]1.5" W Gov E14'!S5</f>
        <v>3.12</v>
      </c>
      <c r="I116" s="75"/>
      <c r="J116" s="76">
        <f>H116*F116</f>
        <v>1878.24</v>
      </c>
      <c r="K116" s="26"/>
      <c r="L116" s="29">
        <f t="shared" si="40"/>
        <v>1878.24</v>
      </c>
      <c r="M116" s="26"/>
      <c r="N116" s="76"/>
      <c r="O116" s="31"/>
      <c r="P116" s="76">
        <f t="shared" si="42"/>
        <v>602</v>
      </c>
      <c r="Q116" s="26"/>
      <c r="R116" s="82">
        <f t="shared" si="41"/>
        <v>3.8036542094063464</v>
      </c>
      <c r="S116" s="75"/>
      <c r="T116" s="83">
        <f t="shared" ref="T116:T118" si="43">R116*F116</f>
        <v>2289.7998340626204</v>
      </c>
      <c r="U116" s="75"/>
      <c r="V116" s="75"/>
      <c r="W116" s="203"/>
      <c r="X116" s="45"/>
      <c r="Y116" s="46"/>
      <c r="Z116" s="46"/>
      <c r="AA116" s="46"/>
      <c r="AB116" s="46"/>
      <c r="AC116" s="46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174"/>
      <c r="AS116" s="174"/>
      <c r="AT116" s="174"/>
      <c r="AU116" s="19"/>
      <c r="AV116" s="174"/>
    </row>
    <row r="117" spans="1:48">
      <c r="A117" s="78" t="s">
        <v>22</v>
      </c>
      <c r="B117" s="79"/>
      <c r="C117" s="80"/>
      <c r="D117" s="79"/>
      <c r="E117" s="74"/>
      <c r="F117" s="26">
        <f>+'[18]1.5" W Gov E14'!X54</f>
        <v>553</v>
      </c>
      <c r="G117" s="26"/>
      <c r="H117" s="84">
        <f>+'[18]1.5" W Gov E14'!S6</f>
        <v>2.79</v>
      </c>
      <c r="I117" s="75"/>
      <c r="J117" s="76">
        <f>H117*F117</f>
        <v>1542.8700000000001</v>
      </c>
      <c r="K117" s="26"/>
      <c r="L117" s="29">
        <f t="shared" si="40"/>
        <v>1542.8700000000001</v>
      </c>
      <c r="M117" s="26"/>
      <c r="N117" s="76"/>
      <c r="O117" s="31"/>
      <c r="P117" s="76">
        <f t="shared" si="42"/>
        <v>553</v>
      </c>
      <c r="Q117" s="26"/>
      <c r="R117" s="82">
        <f t="shared" si="41"/>
        <v>3.4013446295652905</v>
      </c>
      <c r="S117" s="75"/>
      <c r="T117" s="83">
        <f t="shared" si="43"/>
        <v>1880.9435801496056</v>
      </c>
      <c r="U117" s="75"/>
      <c r="V117" s="75"/>
      <c r="W117" s="203"/>
      <c r="X117" s="45"/>
      <c r="Y117" s="46"/>
      <c r="Z117" s="46"/>
      <c r="AA117" s="46"/>
      <c r="AB117" s="46"/>
      <c r="AC117" s="46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174"/>
      <c r="AS117" s="48"/>
      <c r="AT117" s="174"/>
      <c r="AU117" s="19"/>
      <c r="AV117" s="174"/>
    </row>
    <row r="118" spans="1:48">
      <c r="A118" s="78" t="s">
        <v>23</v>
      </c>
      <c r="B118" s="79"/>
      <c r="C118" s="80"/>
      <c r="D118" s="79"/>
      <c r="E118" s="74"/>
      <c r="F118" s="26">
        <f>+'[18]1.5" W Gov E14'!Y54</f>
        <v>911</v>
      </c>
      <c r="G118" s="26"/>
      <c r="H118" s="84">
        <f>+'[18]1.5" W Gov E14'!S7</f>
        <v>2.5499999999999998</v>
      </c>
      <c r="I118" s="75"/>
      <c r="J118" s="76">
        <f>H118*F118</f>
        <v>2323.0499999999997</v>
      </c>
      <c r="K118" s="26"/>
      <c r="L118" s="29">
        <f t="shared" si="40"/>
        <v>2323.0499999999997</v>
      </c>
      <c r="M118" s="26"/>
      <c r="N118" s="76"/>
      <c r="O118" s="31"/>
      <c r="P118" s="76">
        <f t="shared" si="42"/>
        <v>911</v>
      </c>
      <c r="Q118" s="26"/>
      <c r="R118" s="82">
        <f t="shared" si="41"/>
        <v>3.1087558442263403</v>
      </c>
      <c r="S118" s="75"/>
      <c r="T118" s="83">
        <f t="shared" si="43"/>
        <v>2832.0765740901961</v>
      </c>
      <c r="U118" s="75"/>
      <c r="V118" s="75"/>
      <c r="W118" s="203"/>
      <c r="X118" s="45"/>
      <c r="Y118" s="46"/>
      <c r="Z118" s="46"/>
      <c r="AA118" s="46"/>
      <c r="AB118" s="46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174"/>
      <c r="AS118" s="48"/>
      <c r="AT118" s="174"/>
      <c r="AU118" s="19"/>
      <c r="AV118" s="174"/>
    </row>
    <row r="119" spans="1:48" s="97" customFormat="1" ht="12.75" thickBot="1">
      <c r="A119" s="88" t="s">
        <v>59</v>
      </c>
      <c r="B119" s="103">
        <f>SUM(B113:B118)</f>
        <v>2887</v>
      </c>
      <c r="C119" s="90"/>
      <c r="D119" s="103">
        <f>SUM(D113:D118)</f>
        <v>59.999999999999936</v>
      </c>
      <c r="E119" s="90"/>
      <c r="F119" s="103">
        <f>SUM(F113:F118)</f>
        <v>2410</v>
      </c>
      <c r="G119" s="62"/>
      <c r="H119" s="64"/>
      <c r="I119" s="63"/>
      <c r="J119" s="91">
        <f>SUM(J113:J118)</f>
        <v>9949.1199999999972</v>
      </c>
      <c r="K119" s="62"/>
      <c r="L119" s="91">
        <f>SUM(L113:L118)</f>
        <v>9949.1199999999972</v>
      </c>
      <c r="M119" s="62"/>
      <c r="N119" s="108">
        <f>SUM(N114:N118)</f>
        <v>59.999999999999936</v>
      </c>
      <c r="O119" s="67"/>
      <c r="P119" s="108">
        <f>SUM(P115:P118)</f>
        <v>2410</v>
      </c>
      <c r="Q119" s="62"/>
      <c r="R119" s="82">
        <f t="shared" si="41"/>
        <v>0</v>
      </c>
      <c r="S119" s="90"/>
      <c r="T119" s="91">
        <f>SUM(T113:T118)</f>
        <v>12129.170566631044</v>
      </c>
      <c r="U119" s="75"/>
      <c r="V119" s="90"/>
      <c r="W119" s="206"/>
      <c r="X119" s="93"/>
      <c r="Y119" s="94"/>
      <c r="Z119" s="94"/>
      <c r="AA119" s="94"/>
      <c r="AB119" s="94"/>
      <c r="AC119" s="94"/>
      <c r="AD119" s="94" t="s">
        <v>25</v>
      </c>
      <c r="AE119" s="70"/>
      <c r="AF119" s="63"/>
      <c r="AG119" s="90"/>
      <c r="AH119" s="90"/>
      <c r="AI119" s="90"/>
      <c r="AJ119" s="63"/>
      <c r="AK119" s="208"/>
      <c r="AL119" s="63"/>
      <c r="AM119" s="208"/>
      <c r="AN119" s="63"/>
      <c r="AO119" s="208"/>
      <c r="AP119" s="63"/>
      <c r="AQ119" s="208"/>
      <c r="AR119" s="96"/>
      <c r="AS119" s="96"/>
      <c r="AT119" s="96"/>
      <c r="AU119" s="96"/>
      <c r="AV119" s="96"/>
    </row>
    <row r="120" spans="1:48" ht="12.75" thickTop="1">
      <c r="A120" s="88"/>
      <c r="B120" s="79"/>
      <c r="C120" s="80"/>
      <c r="D120" s="79"/>
      <c r="E120" s="74"/>
      <c r="F120" s="26"/>
      <c r="G120" s="26"/>
      <c r="H120" s="28"/>
      <c r="I120" s="75"/>
      <c r="J120" s="29"/>
      <c r="K120" s="26"/>
      <c r="L120" s="29"/>
      <c r="M120" s="26"/>
      <c r="N120" s="76"/>
      <c r="O120" s="31"/>
      <c r="P120" s="76"/>
      <c r="Q120" s="26"/>
      <c r="R120" s="32"/>
      <c r="S120" s="75"/>
      <c r="T120" s="33"/>
      <c r="U120" s="75"/>
      <c r="V120" s="75"/>
      <c r="W120" s="201"/>
      <c r="X120" s="45"/>
      <c r="Y120" s="46"/>
      <c r="Z120" s="46"/>
      <c r="AA120" s="46"/>
      <c r="AB120" s="46"/>
      <c r="AC120" s="46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174"/>
      <c r="AS120" s="174"/>
      <c r="AT120" s="174"/>
      <c r="AU120" s="19"/>
      <c r="AV120" s="174"/>
    </row>
    <row r="121" spans="1:48" ht="12.75" thickBot="1">
      <c r="A121" s="98" t="s">
        <v>60</v>
      </c>
      <c r="B121" s="79"/>
      <c r="C121" s="80"/>
      <c r="D121" s="79"/>
      <c r="E121" s="74"/>
      <c r="F121" s="26"/>
      <c r="G121" s="26"/>
      <c r="H121" s="28"/>
      <c r="I121" s="75"/>
      <c r="J121" s="29"/>
      <c r="K121" s="26"/>
      <c r="L121" s="99">
        <f>L119/+$D119</f>
        <v>165.81866666666679</v>
      </c>
      <c r="M121" s="26"/>
      <c r="N121" s="76"/>
      <c r="O121" s="31"/>
      <c r="P121" s="76"/>
      <c r="Q121" s="26"/>
      <c r="R121" s="32"/>
      <c r="S121" s="75"/>
      <c r="T121" s="99">
        <f>T119/+$D119</f>
        <v>202.1528427771843</v>
      </c>
      <c r="U121" s="75"/>
      <c r="V121" s="75"/>
      <c r="W121" s="201"/>
      <c r="X121" s="45"/>
      <c r="Y121" s="46"/>
      <c r="Z121" s="46"/>
      <c r="AA121" s="46"/>
      <c r="AB121" s="46"/>
      <c r="AC121" s="46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174"/>
      <c r="AS121" s="174"/>
      <c r="AT121" s="174"/>
      <c r="AU121" s="19"/>
      <c r="AV121" s="174"/>
    </row>
    <row r="122" spans="1:48" ht="12.75" thickTop="1">
      <c r="A122" s="73" t="s">
        <v>61</v>
      </c>
      <c r="B122" s="26">
        <f>+'[18]1.5" W Ind E14'!I30/1000</f>
        <v>1187</v>
      </c>
      <c r="C122" s="74"/>
      <c r="D122" s="26"/>
      <c r="E122" s="74"/>
      <c r="F122" s="26"/>
      <c r="G122" s="26"/>
      <c r="H122" s="105"/>
      <c r="I122" s="75"/>
      <c r="J122" s="29"/>
      <c r="K122" s="26"/>
      <c r="L122" s="29"/>
      <c r="M122" s="26"/>
      <c r="N122" s="76"/>
      <c r="O122" s="31"/>
      <c r="P122" s="76"/>
      <c r="Q122" s="26"/>
      <c r="R122" s="32"/>
      <c r="S122" s="74"/>
      <c r="T122" s="77"/>
      <c r="U122" s="74"/>
      <c r="V122" s="74"/>
      <c r="W122" s="203"/>
      <c r="X122" s="45"/>
      <c r="Y122" s="46"/>
      <c r="Z122" s="46"/>
      <c r="AA122" s="46"/>
      <c r="AB122" s="46"/>
      <c r="AC122" s="46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48"/>
      <c r="AS122" s="48"/>
      <c r="AT122" s="48"/>
      <c r="AU122" s="48"/>
      <c r="AV122" s="48"/>
    </row>
    <row r="123" spans="1:48">
      <c r="A123" s="78" t="s">
        <v>54</v>
      </c>
      <c r="B123" s="79"/>
      <c r="C123" s="80"/>
      <c r="D123" s="79">
        <f>+'[18]1.5" W Ind E14'!S34</f>
        <v>24.000000000000007</v>
      </c>
      <c r="E123" s="74"/>
      <c r="F123" s="26"/>
      <c r="G123" s="26"/>
      <c r="H123" s="81">
        <f>+'[18]1.5" W Ind E14'!S2</f>
        <v>51.22</v>
      </c>
      <c r="I123" s="75"/>
      <c r="J123" s="29">
        <f>H123*D123</f>
        <v>1229.2800000000004</v>
      </c>
      <c r="K123" s="26"/>
      <c r="L123" s="29">
        <f t="shared" ref="L123:L127" si="44">+J123</f>
        <v>1229.2800000000004</v>
      </c>
      <c r="M123" s="26"/>
      <c r="N123" s="76">
        <f>D123</f>
        <v>24.000000000000007</v>
      </c>
      <c r="O123" s="31"/>
      <c r="P123" s="76"/>
      <c r="Q123" s="26"/>
      <c r="R123" s="82">
        <f t="shared" ref="R123:R128" si="45">H123*(1+$W$5)</f>
        <v>62.443323271087515</v>
      </c>
      <c r="S123" s="75"/>
      <c r="T123" s="83">
        <f>R123*+D123</f>
        <v>1498.6397585061009</v>
      </c>
      <c r="U123" s="75"/>
      <c r="V123" s="75"/>
      <c r="W123" s="201"/>
      <c r="X123" s="45"/>
      <c r="Y123" s="46"/>
      <c r="Z123" s="46"/>
      <c r="AA123" s="46"/>
      <c r="AB123" s="46"/>
      <c r="AC123" s="46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174"/>
      <c r="AS123" s="174"/>
      <c r="AT123" s="174"/>
      <c r="AU123" s="19"/>
      <c r="AV123" s="174"/>
    </row>
    <row r="124" spans="1:48">
      <c r="A124" s="78" t="s">
        <v>55</v>
      </c>
      <c r="B124" s="79"/>
      <c r="C124" s="80"/>
      <c r="D124" s="79"/>
      <c r="E124" s="74"/>
      <c r="F124" s="26">
        <f>+'[18]1.5" W Ind E14'!V34</f>
        <v>267.00000000000011</v>
      </c>
      <c r="G124" s="26"/>
      <c r="H124" s="84">
        <f>+'[18]1.5" W Ind E14'!S4</f>
        <v>3.29</v>
      </c>
      <c r="I124" s="75"/>
      <c r="J124" s="76">
        <f>H124*F124</f>
        <v>878.4300000000004</v>
      </c>
      <c r="K124" s="26"/>
      <c r="L124" s="29">
        <f t="shared" si="44"/>
        <v>878.4300000000004</v>
      </c>
      <c r="M124" s="26"/>
      <c r="N124" s="76"/>
      <c r="O124" s="31"/>
      <c r="P124" s="76">
        <f t="shared" ref="P124:P127" si="46">SUM(F124)</f>
        <v>267.00000000000011</v>
      </c>
      <c r="Q124" s="26"/>
      <c r="R124" s="82">
        <f t="shared" si="45"/>
        <v>4.0109045990214351</v>
      </c>
      <c r="S124" s="75"/>
      <c r="T124" s="83">
        <f>R124*F124</f>
        <v>1070.9115279387236</v>
      </c>
      <c r="U124" s="75"/>
      <c r="V124" s="75"/>
      <c r="W124" s="201"/>
      <c r="X124" s="45"/>
      <c r="Y124" s="46"/>
      <c r="Z124" s="46"/>
      <c r="AA124" s="46"/>
      <c r="AB124" s="46"/>
      <c r="AC124" s="46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174"/>
      <c r="AS124" s="174"/>
      <c r="AT124" s="174"/>
      <c r="AU124" s="19"/>
      <c r="AV124" s="174"/>
    </row>
    <row r="125" spans="1:48">
      <c r="A125" s="78" t="s">
        <v>21</v>
      </c>
      <c r="B125" s="79"/>
      <c r="C125" s="80"/>
      <c r="D125" s="79"/>
      <c r="E125" s="74"/>
      <c r="F125" s="26">
        <f>+'[18]1.5" W Ind E14'!W34</f>
        <v>385</v>
      </c>
      <c r="G125" s="26"/>
      <c r="H125" s="84">
        <f>+'[18]1.5" W Ind E14'!S5</f>
        <v>3.12</v>
      </c>
      <c r="I125" s="75"/>
      <c r="J125" s="76">
        <f>H125*F125</f>
        <v>1201.2</v>
      </c>
      <c r="K125" s="26"/>
      <c r="L125" s="29">
        <f t="shared" si="44"/>
        <v>1201.2</v>
      </c>
      <c r="M125" s="26"/>
      <c r="N125" s="76"/>
      <c r="O125" s="31"/>
      <c r="P125" s="76">
        <f t="shared" si="46"/>
        <v>385</v>
      </c>
      <c r="Q125" s="26"/>
      <c r="R125" s="82">
        <f t="shared" si="45"/>
        <v>3.8036542094063464</v>
      </c>
      <c r="S125" s="75"/>
      <c r="T125" s="83">
        <f t="shared" ref="T125:T127" si="47">R125*F125</f>
        <v>1464.4068706214434</v>
      </c>
      <c r="U125" s="75"/>
      <c r="V125" s="75"/>
      <c r="W125" s="203"/>
      <c r="X125" s="45"/>
      <c r="Y125" s="46"/>
      <c r="Z125" s="46"/>
      <c r="AA125" s="46"/>
      <c r="AB125" s="46"/>
      <c r="AC125" s="46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174"/>
      <c r="AS125" s="174"/>
      <c r="AT125" s="174"/>
      <c r="AU125" s="19"/>
      <c r="AV125" s="174"/>
    </row>
    <row r="126" spans="1:48">
      <c r="A126" s="78" t="s">
        <v>22</v>
      </c>
      <c r="B126" s="79"/>
      <c r="C126" s="80"/>
      <c r="D126" s="79"/>
      <c r="E126" s="74"/>
      <c r="F126" s="26">
        <f>+'[18]1.5" W Ind E14'!X34</f>
        <v>170</v>
      </c>
      <c r="G126" s="26"/>
      <c r="H126" s="84">
        <f>+'[18]1.5" W Ind E14'!S6</f>
        <v>2.79</v>
      </c>
      <c r="I126" s="75"/>
      <c r="J126" s="76">
        <f>H126*F126</f>
        <v>474.3</v>
      </c>
      <c r="K126" s="26"/>
      <c r="L126" s="29">
        <f t="shared" si="44"/>
        <v>474.3</v>
      </c>
      <c r="M126" s="26"/>
      <c r="N126" s="76"/>
      <c r="O126" s="31"/>
      <c r="P126" s="76">
        <f t="shared" si="46"/>
        <v>170</v>
      </c>
      <c r="Q126" s="26"/>
      <c r="R126" s="82">
        <f t="shared" si="45"/>
        <v>3.4013446295652905</v>
      </c>
      <c r="S126" s="75"/>
      <c r="T126" s="83">
        <f t="shared" si="47"/>
        <v>578.22858702609938</v>
      </c>
      <c r="U126" s="75"/>
      <c r="V126" s="75"/>
      <c r="W126" s="203"/>
      <c r="X126" s="45"/>
      <c r="Y126" s="46"/>
      <c r="Z126" s="46"/>
      <c r="AA126" s="46"/>
      <c r="AB126" s="46"/>
      <c r="AC126" s="46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174"/>
      <c r="AS126" s="48"/>
      <c r="AT126" s="174"/>
      <c r="AU126" s="19"/>
      <c r="AV126" s="174"/>
    </row>
    <row r="127" spans="1:48">
      <c r="A127" s="78" t="s">
        <v>23</v>
      </c>
      <c r="B127" s="79"/>
      <c r="C127" s="80"/>
      <c r="D127" s="79"/>
      <c r="E127" s="74"/>
      <c r="F127" s="26">
        <f>+'[18]1.5" W Ind E14'!Y34</f>
        <v>56</v>
      </c>
      <c r="G127" s="26"/>
      <c r="H127" s="84">
        <f>+'[18]1.5" W Ind E14'!S7</f>
        <v>2.5499999999999998</v>
      </c>
      <c r="I127" s="75"/>
      <c r="J127" s="76">
        <f>H127*F127</f>
        <v>142.79999999999998</v>
      </c>
      <c r="K127" s="26"/>
      <c r="L127" s="29">
        <f t="shared" si="44"/>
        <v>142.79999999999998</v>
      </c>
      <c r="M127" s="26"/>
      <c r="N127" s="76"/>
      <c r="O127" s="31"/>
      <c r="P127" s="76">
        <f t="shared" si="46"/>
        <v>56</v>
      </c>
      <c r="Q127" s="26"/>
      <c r="R127" s="82">
        <f t="shared" si="45"/>
        <v>3.1087558442263403</v>
      </c>
      <c r="S127" s="75"/>
      <c r="T127" s="83">
        <f t="shared" si="47"/>
        <v>174.09032727667505</v>
      </c>
      <c r="U127" s="75"/>
      <c r="V127" s="75"/>
      <c r="W127" s="203"/>
      <c r="X127" s="45"/>
      <c r="Y127" s="46"/>
      <c r="Z127" s="46"/>
      <c r="AA127" s="46"/>
      <c r="AB127" s="46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174"/>
      <c r="AS127" s="48"/>
      <c r="AT127" s="174"/>
      <c r="AU127" s="19"/>
      <c r="AV127" s="174"/>
    </row>
    <row r="128" spans="1:48" s="97" customFormat="1" ht="12.75" thickBot="1">
      <c r="A128" s="88" t="s">
        <v>62</v>
      </c>
      <c r="B128" s="103">
        <f>SUM(B122:B127)</f>
        <v>1187</v>
      </c>
      <c r="C128" s="90"/>
      <c r="D128" s="103">
        <f>SUM(D122:D127)</f>
        <v>24.000000000000007</v>
      </c>
      <c r="E128" s="90"/>
      <c r="F128" s="103">
        <f>SUM(F122:F127)</f>
        <v>878.00000000000011</v>
      </c>
      <c r="G128" s="62"/>
      <c r="H128" s="64"/>
      <c r="I128" s="63"/>
      <c r="J128" s="91">
        <f>SUM(J122:J127)</f>
        <v>3926.0100000000011</v>
      </c>
      <c r="K128" s="62"/>
      <c r="L128" s="91">
        <f>SUM(L122:L127)</f>
        <v>3926.0100000000011</v>
      </c>
      <c r="M128" s="62"/>
      <c r="N128" s="108">
        <f>SUM(N123:N127)</f>
        <v>24.000000000000007</v>
      </c>
      <c r="O128" s="67"/>
      <c r="P128" s="108">
        <f>SUM(P124:P127)</f>
        <v>878.00000000000011</v>
      </c>
      <c r="Q128" s="62"/>
      <c r="R128" s="82">
        <f t="shared" si="45"/>
        <v>0</v>
      </c>
      <c r="S128" s="90"/>
      <c r="T128" s="91">
        <f>SUM(T122:T127)</f>
        <v>4786.2770713690425</v>
      </c>
      <c r="U128" s="90"/>
      <c r="V128" s="90"/>
      <c r="W128" s="206"/>
      <c r="X128" s="93"/>
      <c r="Y128" s="94"/>
      <c r="Z128" s="94"/>
      <c r="AA128" s="94"/>
      <c r="AB128" s="94"/>
      <c r="AC128" s="94"/>
      <c r="AD128" s="94" t="s">
        <v>25</v>
      </c>
      <c r="AE128" s="70"/>
      <c r="AF128" s="63"/>
      <c r="AG128" s="90"/>
      <c r="AH128" s="90"/>
      <c r="AI128" s="90"/>
      <c r="AJ128" s="63"/>
      <c r="AK128" s="208"/>
      <c r="AL128" s="63"/>
      <c r="AM128" s="208"/>
      <c r="AN128" s="63"/>
      <c r="AO128" s="208"/>
      <c r="AP128" s="63"/>
      <c r="AQ128" s="208"/>
      <c r="AR128" s="96"/>
      <c r="AS128" s="96"/>
      <c r="AT128" s="96"/>
      <c r="AU128" s="96"/>
      <c r="AV128" s="96"/>
    </row>
    <row r="129" spans="1:48" ht="12.75" thickTop="1">
      <c r="A129" s="88"/>
      <c r="B129" s="79"/>
      <c r="C129" s="80"/>
      <c r="D129" s="79"/>
      <c r="E129" s="74"/>
      <c r="F129" s="26"/>
      <c r="G129" s="26"/>
      <c r="H129" s="28"/>
      <c r="I129" s="75"/>
      <c r="J129" s="29"/>
      <c r="K129" s="26"/>
      <c r="L129" s="29"/>
      <c r="M129" s="26"/>
      <c r="N129" s="76"/>
      <c r="O129" s="31"/>
      <c r="P129" s="76"/>
      <c r="Q129" s="26"/>
      <c r="R129" s="32"/>
      <c r="S129" s="75"/>
      <c r="T129" s="33"/>
      <c r="U129" s="75"/>
      <c r="V129" s="75"/>
      <c r="W129" s="201"/>
      <c r="X129" s="45"/>
      <c r="Y129" s="46"/>
      <c r="Z129" s="46"/>
      <c r="AA129" s="46"/>
      <c r="AB129" s="46"/>
      <c r="AC129" s="46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174"/>
      <c r="AS129" s="174"/>
      <c r="AT129" s="174"/>
      <c r="AU129" s="19"/>
      <c r="AV129" s="174"/>
    </row>
    <row r="130" spans="1:48" ht="12.75" thickBot="1">
      <c r="A130" s="98" t="s">
        <v>63</v>
      </c>
      <c r="B130" s="79"/>
      <c r="C130" s="80"/>
      <c r="D130" s="79"/>
      <c r="E130" s="74"/>
      <c r="F130" s="26"/>
      <c r="G130" s="26"/>
      <c r="H130" s="28"/>
      <c r="I130" s="75"/>
      <c r="J130" s="29"/>
      <c r="K130" s="26"/>
      <c r="L130" s="99">
        <f>L128/+$D128</f>
        <v>163.58375000000001</v>
      </c>
      <c r="M130" s="26"/>
      <c r="N130" s="76"/>
      <c r="O130" s="31"/>
      <c r="P130" s="76"/>
      <c r="Q130" s="26"/>
      <c r="R130" s="32"/>
      <c r="S130" s="75"/>
      <c r="T130" s="99">
        <f>T128/+$D128</f>
        <v>199.42821130704337</v>
      </c>
      <c r="U130" s="75"/>
      <c r="V130" s="75"/>
      <c r="W130" s="201"/>
      <c r="X130" s="45"/>
      <c r="Y130" s="46"/>
      <c r="Z130" s="46"/>
      <c r="AA130" s="46"/>
      <c r="AB130" s="46"/>
      <c r="AC130" s="46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174"/>
      <c r="AS130" s="174"/>
      <c r="AT130" s="174"/>
      <c r="AU130" s="19"/>
      <c r="AV130" s="174"/>
    </row>
    <row r="131" spans="1:48" ht="12.75" thickTop="1">
      <c r="A131" s="73" t="s">
        <v>64</v>
      </c>
      <c r="B131" s="26">
        <f>+'[18]2" W C E14'!I152/1000</f>
        <v>26670</v>
      </c>
      <c r="C131" s="74"/>
      <c r="D131" s="26"/>
      <c r="E131" s="74"/>
      <c r="F131" s="26"/>
      <c r="G131" s="26"/>
      <c r="H131" s="105"/>
      <c r="I131" s="75"/>
      <c r="J131" s="29"/>
      <c r="K131" s="26"/>
      <c r="L131" s="29"/>
      <c r="M131" s="26"/>
      <c r="N131" s="76"/>
      <c r="O131" s="31"/>
      <c r="P131" s="76"/>
      <c r="Q131" s="26"/>
      <c r="R131" s="32"/>
      <c r="S131" s="74"/>
      <c r="T131" s="77"/>
      <c r="U131" s="74"/>
      <c r="V131" s="74"/>
      <c r="W131" s="203"/>
      <c r="X131" s="45"/>
      <c r="Y131" s="46"/>
      <c r="Z131" s="46"/>
      <c r="AA131" s="46"/>
      <c r="AB131" s="46"/>
      <c r="AC131" s="46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48"/>
      <c r="AS131" s="48"/>
      <c r="AT131" s="48"/>
      <c r="AU131" s="48"/>
      <c r="AV131" s="48"/>
    </row>
    <row r="132" spans="1:48">
      <c r="A132" s="78" t="s">
        <v>65</v>
      </c>
      <c r="B132" s="79"/>
      <c r="C132" s="80"/>
      <c r="D132" s="79">
        <f>+'[18]2" W C E14'!S156</f>
        <v>344.99999999999898</v>
      </c>
      <c r="E132" s="74"/>
      <c r="F132" s="26"/>
      <c r="G132" s="26"/>
      <c r="H132" s="81">
        <f>+'[18]2" W C E14'!S2</f>
        <v>78.8</v>
      </c>
      <c r="I132" s="75"/>
      <c r="J132" s="29">
        <f>H132*D132</f>
        <v>27185.99999999992</v>
      </c>
      <c r="K132" s="26"/>
      <c r="L132" s="29">
        <f t="shared" ref="L132:L136" si="48">+J132</f>
        <v>27185.99999999992</v>
      </c>
      <c r="M132" s="26"/>
      <c r="N132" s="76">
        <f>D132</f>
        <v>344.99999999999898</v>
      </c>
      <c r="O132" s="31"/>
      <c r="P132" s="76"/>
      <c r="Q132" s="26"/>
      <c r="R132" s="82">
        <f t="shared" ref="R132:R137" si="49">H132*(1+$W$5)</f>
        <v>96.066651186288482</v>
      </c>
      <c r="S132" s="75"/>
      <c r="T132" s="83">
        <f>R132*+D132</f>
        <v>33142.994659269425</v>
      </c>
      <c r="U132" s="75"/>
      <c r="V132" s="75"/>
      <c r="W132" s="201"/>
      <c r="X132" s="45"/>
      <c r="Y132" s="46"/>
      <c r="Z132" s="46"/>
      <c r="AA132" s="46"/>
      <c r="AB132" s="46"/>
      <c r="AC132" s="46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174"/>
      <c r="AS132" s="174"/>
      <c r="AT132" s="174"/>
      <c r="AU132" s="19"/>
      <c r="AV132" s="174"/>
    </row>
    <row r="133" spans="1:48">
      <c r="A133" s="78" t="s">
        <v>66</v>
      </c>
      <c r="B133" s="79"/>
      <c r="C133" s="80"/>
      <c r="D133" s="79"/>
      <c r="E133" s="74"/>
      <c r="F133" s="26">
        <f>+'[18]2" W C E14'!V156</f>
        <v>791.99999999999898</v>
      </c>
      <c r="G133" s="26"/>
      <c r="H133" s="84">
        <f>+'[18]2" W C E14'!S4</f>
        <v>3.29</v>
      </c>
      <c r="I133" s="75"/>
      <c r="J133" s="76">
        <f>H133*F133</f>
        <v>2605.6799999999967</v>
      </c>
      <c r="K133" s="26"/>
      <c r="L133" s="29">
        <f t="shared" si="48"/>
        <v>2605.6799999999967</v>
      </c>
      <c r="M133" s="26"/>
      <c r="N133" s="76"/>
      <c r="O133" s="31"/>
      <c r="P133" s="76">
        <f t="shared" ref="P133:P136" si="50">SUM(F133)</f>
        <v>791.99999999999898</v>
      </c>
      <c r="Q133" s="26"/>
      <c r="R133" s="82">
        <f t="shared" si="49"/>
        <v>4.0109045990214351</v>
      </c>
      <c r="S133" s="75"/>
      <c r="T133" s="83">
        <f>R133*F133</f>
        <v>3176.6364424249728</v>
      </c>
      <c r="U133" s="75"/>
      <c r="V133" s="75"/>
      <c r="W133" s="201"/>
      <c r="X133" s="45"/>
      <c r="Y133" s="46"/>
      <c r="Z133" s="46"/>
      <c r="AA133" s="46"/>
      <c r="AB133" s="46"/>
      <c r="AC133" s="46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174"/>
      <c r="AS133" s="174"/>
      <c r="AT133" s="174"/>
      <c r="AU133" s="19"/>
      <c r="AV133" s="174"/>
    </row>
    <row r="134" spans="1:48">
      <c r="A134" s="78" t="s">
        <v>21</v>
      </c>
      <c r="B134" s="79"/>
      <c r="C134" s="80"/>
      <c r="D134" s="79"/>
      <c r="E134" s="74"/>
      <c r="F134" s="26">
        <f>+'[18]2" W C E14'!W156</f>
        <v>3752</v>
      </c>
      <c r="G134" s="26"/>
      <c r="H134" s="84">
        <f>+'[18]2" W C E14'!S5</f>
        <v>3.12</v>
      </c>
      <c r="I134" s="75"/>
      <c r="J134" s="76">
        <f>H134*F134</f>
        <v>11706.24</v>
      </c>
      <c r="K134" s="26"/>
      <c r="L134" s="29">
        <f t="shared" si="48"/>
        <v>11706.24</v>
      </c>
      <c r="M134" s="26"/>
      <c r="N134" s="76"/>
      <c r="O134" s="31"/>
      <c r="P134" s="76">
        <f t="shared" si="50"/>
        <v>3752</v>
      </c>
      <c r="Q134" s="26"/>
      <c r="R134" s="82">
        <f t="shared" si="49"/>
        <v>3.8036542094063464</v>
      </c>
      <c r="S134" s="75"/>
      <c r="T134" s="83">
        <f t="shared" ref="T134:T136" si="51">R134*F134</f>
        <v>14271.310593692611</v>
      </c>
      <c r="U134" s="75"/>
      <c r="V134" s="75"/>
      <c r="W134" s="203"/>
      <c r="X134" s="45"/>
      <c r="Y134" s="46"/>
      <c r="Z134" s="46"/>
      <c r="AA134" s="46"/>
      <c r="AB134" s="46"/>
      <c r="AC134" s="46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174"/>
      <c r="AS134" s="174"/>
      <c r="AT134" s="174"/>
      <c r="AU134" s="19"/>
      <c r="AV134" s="174"/>
    </row>
    <row r="135" spans="1:48">
      <c r="A135" s="78" t="s">
        <v>22</v>
      </c>
      <c r="B135" s="79"/>
      <c r="C135" s="80"/>
      <c r="D135" s="79"/>
      <c r="E135" s="74"/>
      <c r="F135" s="26">
        <f>+'[18]2" W C E14'!X156</f>
        <v>5230</v>
      </c>
      <c r="G135" s="26"/>
      <c r="H135" s="84">
        <f>+'[18]2" W C E14'!S6</f>
        <v>2.79</v>
      </c>
      <c r="I135" s="75"/>
      <c r="J135" s="76">
        <f>H135*F135</f>
        <v>14591.7</v>
      </c>
      <c r="K135" s="26"/>
      <c r="L135" s="29">
        <f t="shared" si="48"/>
        <v>14591.7</v>
      </c>
      <c r="M135" s="26"/>
      <c r="N135" s="76"/>
      <c r="O135" s="31"/>
      <c r="P135" s="76">
        <f t="shared" si="50"/>
        <v>5230</v>
      </c>
      <c r="Q135" s="26"/>
      <c r="R135" s="82">
        <f t="shared" si="49"/>
        <v>3.4013446295652905</v>
      </c>
      <c r="S135" s="75"/>
      <c r="T135" s="83">
        <f t="shared" si="51"/>
        <v>17789.032412626468</v>
      </c>
      <c r="U135" s="75"/>
      <c r="V135" s="75"/>
      <c r="W135" s="203"/>
      <c r="X135" s="45"/>
      <c r="Y135" s="46"/>
      <c r="Z135" s="46"/>
      <c r="AA135" s="46"/>
      <c r="AB135" s="46"/>
      <c r="AC135" s="46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174"/>
      <c r="AS135" s="48"/>
      <c r="AT135" s="174"/>
      <c r="AU135" s="19"/>
      <c r="AV135" s="174"/>
    </row>
    <row r="136" spans="1:48">
      <c r="A136" s="78" t="s">
        <v>23</v>
      </c>
      <c r="B136" s="79"/>
      <c r="C136" s="80"/>
      <c r="D136" s="79"/>
      <c r="E136" s="74"/>
      <c r="F136" s="26">
        <f>+'[18]2" W C E14'!Y156</f>
        <v>11395.999999999998</v>
      </c>
      <c r="G136" s="26"/>
      <c r="H136" s="84">
        <f>+'[18]2" W C E14'!S7</f>
        <v>2.5499999999999998</v>
      </c>
      <c r="I136" s="75"/>
      <c r="J136" s="76">
        <f>H136*F136</f>
        <v>29059.799999999992</v>
      </c>
      <c r="K136" s="26"/>
      <c r="L136" s="29">
        <f t="shared" si="48"/>
        <v>29059.799999999992</v>
      </c>
      <c r="M136" s="26"/>
      <c r="N136" s="76"/>
      <c r="O136" s="31"/>
      <c r="P136" s="76">
        <f t="shared" si="50"/>
        <v>11395.999999999998</v>
      </c>
      <c r="Q136" s="26"/>
      <c r="R136" s="82">
        <f t="shared" si="49"/>
        <v>3.1087558442263403</v>
      </c>
      <c r="S136" s="75"/>
      <c r="T136" s="83">
        <f t="shared" si="51"/>
        <v>35427.381600803368</v>
      </c>
      <c r="U136" s="75"/>
      <c r="V136" s="75"/>
      <c r="W136" s="203"/>
      <c r="X136" s="45"/>
      <c r="Y136" s="46"/>
      <c r="Z136" s="46"/>
      <c r="AA136" s="46"/>
      <c r="AB136" s="46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174"/>
      <c r="AS136" s="48"/>
      <c r="AT136" s="174"/>
      <c r="AU136" s="19"/>
      <c r="AV136" s="174"/>
    </row>
    <row r="137" spans="1:48" s="97" customFormat="1" ht="12.75" thickBot="1">
      <c r="A137" s="88" t="s">
        <v>67</v>
      </c>
      <c r="B137" s="103">
        <f>SUM(B131:B136)</f>
        <v>26670</v>
      </c>
      <c r="C137" s="90"/>
      <c r="D137" s="103">
        <f>SUM(D131:D136)</f>
        <v>344.99999999999898</v>
      </c>
      <c r="E137" s="90"/>
      <c r="F137" s="103">
        <f>SUM(F131:F136)</f>
        <v>21170</v>
      </c>
      <c r="G137" s="62"/>
      <c r="H137" s="64"/>
      <c r="I137" s="63"/>
      <c r="J137" s="91">
        <f>SUM(J131:J136)</f>
        <v>85149.419999999911</v>
      </c>
      <c r="K137" s="62"/>
      <c r="L137" s="91">
        <f>SUM(L131:L136)</f>
        <v>85149.419999999911</v>
      </c>
      <c r="M137" s="62"/>
      <c r="N137" s="108">
        <f>SUM(N132:N136)</f>
        <v>344.99999999999898</v>
      </c>
      <c r="O137" s="67"/>
      <c r="P137" s="108">
        <f>SUM(P133:P136)</f>
        <v>21170</v>
      </c>
      <c r="Q137" s="62"/>
      <c r="R137" s="82">
        <f t="shared" si="49"/>
        <v>0</v>
      </c>
      <c r="S137" s="90"/>
      <c r="T137" s="91">
        <f>SUM(T131:T136)</f>
        <v>103807.35570881685</v>
      </c>
      <c r="U137" s="75"/>
      <c r="V137" s="90"/>
      <c r="W137" s="206"/>
      <c r="X137" s="93"/>
      <c r="Y137" s="94"/>
      <c r="Z137" s="94"/>
      <c r="AA137" s="94"/>
      <c r="AB137" s="94"/>
      <c r="AC137" s="94"/>
      <c r="AD137" s="94" t="s">
        <v>25</v>
      </c>
      <c r="AE137" s="70"/>
      <c r="AF137" s="63"/>
      <c r="AG137" s="90"/>
      <c r="AH137" s="90"/>
      <c r="AI137" s="90"/>
      <c r="AJ137" s="63"/>
      <c r="AK137" s="208"/>
      <c r="AL137" s="63"/>
      <c r="AM137" s="208"/>
      <c r="AN137" s="63"/>
      <c r="AO137" s="208"/>
      <c r="AP137" s="63"/>
      <c r="AQ137" s="208"/>
      <c r="AR137" s="96"/>
      <c r="AS137" s="96"/>
      <c r="AT137" s="96"/>
      <c r="AU137" s="96"/>
      <c r="AV137" s="96"/>
    </row>
    <row r="138" spans="1:48" ht="12.75" thickTop="1">
      <c r="A138" s="88"/>
      <c r="B138" s="79"/>
      <c r="C138" s="80"/>
      <c r="D138" s="79"/>
      <c r="E138" s="74"/>
      <c r="F138" s="26"/>
      <c r="G138" s="26"/>
      <c r="H138" s="28"/>
      <c r="I138" s="75"/>
      <c r="J138" s="29"/>
      <c r="K138" s="26"/>
      <c r="L138" s="29"/>
      <c r="M138" s="26"/>
      <c r="N138" s="76"/>
      <c r="O138" s="31"/>
      <c r="P138" s="76"/>
      <c r="Q138" s="26"/>
      <c r="R138" s="32"/>
      <c r="S138" s="75"/>
      <c r="T138" s="33"/>
      <c r="U138" s="75"/>
      <c r="V138" s="75"/>
      <c r="W138" s="201"/>
      <c r="X138" s="45"/>
      <c r="Y138" s="46"/>
      <c r="Z138" s="46"/>
      <c r="AA138" s="46"/>
      <c r="AB138" s="46"/>
      <c r="AC138" s="46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174"/>
      <c r="AS138" s="174"/>
      <c r="AT138" s="174"/>
      <c r="AU138" s="19"/>
      <c r="AV138" s="174"/>
    </row>
    <row r="139" spans="1:48" ht="12.75" thickBot="1">
      <c r="A139" s="98" t="s">
        <v>68</v>
      </c>
      <c r="B139" s="79"/>
      <c r="C139" s="80"/>
      <c r="D139" s="79"/>
      <c r="E139" s="74"/>
      <c r="F139" s="26"/>
      <c r="G139" s="26"/>
      <c r="H139" s="28"/>
      <c r="I139" s="75"/>
      <c r="J139" s="29"/>
      <c r="K139" s="26"/>
      <c r="L139" s="99">
        <f>L137/+$D137</f>
        <v>246.80991304347873</v>
      </c>
      <c r="M139" s="26"/>
      <c r="N139" s="76"/>
      <c r="O139" s="31"/>
      <c r="P139" s="76"/>
      <c r="Q139" s="26"/>
      <c r="R139" s="32"/>
      <c r="S139" s="75"/>
      <c r="T139" s="99">
        <f>T137/+$D137</f>
        <v>300.8908861125135</v>
      </c>
      <c r="U139" s="75"/>
      <c r="V139" s="75"/>
      <c r="W139" s="201"/>
      <c r="X139" s="45"/>
      <c r="Y139" s="46"/>
      <c r="Z139" s="46"/>
      <c r="AA139" s="46"/>
      <c r="AB139" s="46"/>
      <c r="AC139" s="46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174"/>
      <c r="AS139" s="174"/>
      <c r="AT139" s="174"/>
      <c r="AU139" s="19"/>
      <c r="AV139" s="174"/>
    </row>
    <row r="140" spans="1:48" ht="12.75" thickTop="1">
      <c r="A140" s="73" t="s">
        <v>69</v>
      </c>
      <c r="B140" s="26">
        <f>(+'[18]2" W Ind 2 E14'!I16+'[18]2" W Ind E14'!I28)/1000</f>
        <v>835</v>
      </c>
      <c r="C140" s="74"/>
      <c r="D140" s="26"/>
      <c r="E140" s="74"/>
      <c r="F140" s="26"/>
      <c r="G140" s="26"/>
      <c r="H140" s="105"/>
      <c r="I140" s="75"/>
      <c r="J140" s="29"/>
      <c r="K140" s="26"/>
      <c r="L140" s="29"/>
      <c r="M140" s="26"/>
      <c r="N140" s="76"/>
      <c r="O140" s="31"/>
      <c r="P140" s="76"/>
      <c r="Q140" s="26"/>
      <c r="R140" s="32"/>
      <c r="S140" s="74"/>
      <c r="T140" s="77"/>
      <c r="U140" s="74"/>
      <c r="V140" s="74"/>
      <c r="W140" s="203"/>
      <c r="X140" s="45"/>
      <c r="Y140" s="46"/>
      <c r="Z140" s="46"/>
      <c r="AA140" s="46"/>
      <c r="AB140" s="46"/>
      <c r="AC140" s="46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48"/>
      <c r="AS140" s="48"/>
      <c r="AT140" s="48"/>
      <c r="AU140" s="48"/>
      <c r="AV140" s="48"/>
    </row>
    <row r="141" spans="1:48">
      <c r="A141" s="78" t="s">
        <v>65</v>
      </c>
      <c r="B141" s="79"/>
      <c r="C141" s="80"/>
      <c r="D141" s="79">
        <f>+'[18]2" W Ind E14'!S32+'[18]2" W Ind 2 E14'!S20</f>
        <v>48.000000000000021</v>
      </c>
      <c r="E141" s="74"/>
      <c r="F141" s="26"/>
      <c r="G141" s="26"/>
      <c r="H141" s="81">
        <f>+'[18]2" W Ind E14'!S2</f>
        <v>78.8</v>
      </c>
      <c r="I141" s="75"/>
      <c r="J141" s="29">
        <f>H141*D141</f>
        <v>3782.4000000000015</v>
      </c>
      <c r="K141" s="26"/>
      <c r="L141" s="29">
        <f t="shared" ref="L141:L145" si="52">+J141</f>
        <v>3782.4000000000015</v>
      </c>
      <c r="M141" s="26"/>
      <c r="N141" s="76">
        <f>D141</f>
        <v>48.000000000000021</v>
      </c>
      <c r="O141" s="31"/>
      <c r="P141" s="76"/>
      <c r="Q141" s="26"/>
      <c r="R141" s="82">
        <f t="shared" ref="R141:R146" si="53">H141*(1+$W$5)</f>
        <v>96.066651186288482</v>
      </c>
      <c r="S141" s="75"/>
      <c r="T141" s="83">
        <f>R141*+D141</f>
        <v>4611.1992569418489</v>
      </c>
      <c r="U141" s="75"/>
      <c r="V141" s="75"/>
      <c r="W141" s="201"/>
      <c r="X141" s="45"/>
      <c r="Y141" s="46"/>
      <c r="Z141" s="46"/>
      <c r="AA141" s="46"/>
      <c r="AB141" s="46"/>
      <c r="AC141" s="46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174"/>
      <c r="AS141" s="174"/>
      <c r="AT141" s="174"/>
      <c r="AU141" s="19"/>
      <c r="AV141" s="174"/>
    </row>
    <row r="142" spans="1:48">
      <c r="A142" s="78" t="s">
        <v>66</v>
      </c>
      <c r="B142" s="79"/>
      <c r="C142" s="80"/>
      <c r="D142" s="79"/>
      <c r="E142" s="74"/>
      <c r="F142" s="26">
        <f>+'[18]2" W Ind E14'!V32+'[18]2" W Ind 2 E14'!V20</f>
        <v>42.999999999999993</v>
      </c>
      <c r="G142" s="26"/>
      <c r="H142" s="84">
        <f>+'[18]2" W Ind E14'!S4</f>
        <v>3.29</v>
      </c>
      <c r="I142" s="75"/>
      <c r="J142" s="76">
        <f>H142*F142</f>
        <v>141.46999999999997</v>
      </c>
      <c r="K142" s="26"/>
      <c r="L142" s="29">
        <f t="shared" si="52"/>
        <v>141.46999999999997</v>
      </c>
      <c r="M142" s="26"/>
      <c r="N142" s="76"/>
      <c r="O142" s="31"/>
      <c r="P142" s="76">
        <f t="shared" ref="P142:P145" si="54">SUM(F142)</f>
        <v>42.999999999999993</v>
      </c>
      <c r="Q142" s="26"/>
      <c r="R142" s="82">
        <f t="shared" si="53"/>
        <v>4.0109045990214351</v>
      </c>
      <c r="S142" s="75"/>
      <c r="T142" s="83">
        <f>R142*F142</f>
        <v>172.4688977579217</v>
      </c>
      <c r="U142" s="75"/>
      <c r="V142" s="75"/>
      <c r="W142" s="201"/>
      <c r="X142" s="45"/>
      <c r="Y142" s="46"/>
      <c r="Z142" s="46"/>
      <c r="AA142" s="46"/>
      <c r="AB142" s="46"/>
      <c r="AC142" s="46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174"/>
      <c r="AS142" s="174"/>
      <c r="AT142" s="174"/>
      <c r="AU142" s="19"/>
      <c r="AV142" s="174"/>
    </row>
    <row r="143" spans="1:48">
      <c r="A143" s="78" t="s">
        <v>21</v>
      </c>
      <c r="B143" s="79"/>
      <c r="C143" s="80"/>
      <c r="D143" s="79"/>
      <c r="E143" s="74"/>
      <c r="F143" s="26">
        <f>+'[18]2" W Ind E14'!W32+'[18]2" W Ind 2 E14'!W20</f>
        <v>212</v>
      </c>
      <c r="G143" s="26"/>
      <c r="H143" s="84">
        <f>+'[18]2" W Ind E14'!S5</f>
        <v>3.12</v>
      </c>
      <c r="I143" s="75"/>
      <c r="J143" s="76">
        <f>H143*F143</f>
        <v>661.44</v>
      </c>
      <c r="K143" s="26"/>
      <c r="L143" s="29">
        <f t="shared" si="52"/>
        <v>661.44</v>
      </c>
      <c r="M143" s="26"/>
      <c r="N143" s="76"/>
      <c r="O143" s="31"/>
      <c r="P143" s="76">
        <f t="shared" si="54"/>
        <v>212</v>
      </c>
      <c r="Q143" s="26"/>
      <c r="R143" s="82">
        <f t="shared" si="53"/>
        <v>3.8036542094063464</v>
      </c>
      <c r="S143" s="75"/>
      <c r="T143" s="83">
        <f t="shared" ref="T143:T145" si="55">R143*F143</f>
        <v>806.37469239414543</v>
      </c>
      <c r="U143" s="75"/>
      <c r="V143" s="75"/>
      <c r="W143" s="203"/>
      <c r="X143" s="45"/>
      <c r="Y143" s="46"/>
      <c r="Z143" s="46"/>
      <c r="AA143" s="46"/>
      <c r="AB143" s="46"/>
      <c r="AC143" s="46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174"/>
      <c r="AS143" s="174"/>
      <c r="AT143" s="174"/>
      <c r="AU143" s="19"/>
      <c r="AV143" s="174"/>
    </row>
    <row r="144" spans="1:48">
      <c r="A144" s="78" t="s">
        <v>22</v>
      </c>
      <c r="B144" s="79"/>
      <c r="C144" s="80"/>
      <c r="D144" s="79"/>
      <c r="E144" s="74"/>
      <c r="F144" s="26">
        <f>+'[18]2" W Ind E14'!X32+'[18]2" W Ind 2 E14'!X20</f>
        <v>238</v>
      </c>
      <c r="G144" s="26"/>
      <c r="H144" s="84">
        <f>+'[18]2" W Ind E14'!S6</f>
        <v>2.79</v>
      </c>
      <c r="I144" s="75"/>
      <c r="J144" s="76">
        <f>H144*F144</f>
        <v>664.02</v>
      </c>
      <c r="K144" s="26"/>
      <c r="L144" s="29">
        <f t="shared" si="52"/>
        <v>664.02</v>
      </c>
      <c r="M144" s="26"/>
      <c r="N144" s="76"/>
      <c r="O144" s="31"/>
      <c r="P144" s="76">
        <f t="shared" si="54"/>
        <v>238</v>
      </c>
      <c r="Q144" s="26"/>
      <c r="R144" s="82">
        <f t="shared" si="53"/>
        <v>3.4013446295652905</v>
      </c>
      <c r="S144" s="75"/>
      <c r="T144" s="83">
        <f t="shared" si="55"/>
        <v>809.52002183653917</v>
      </c>
      <c r="U144" s="75"/>
      <c r="V144" s="75"/>
      <c r="W144" s="203"/>
      <c r="X144" s="45"/>
      <c r="Y144" s="46"/>
      <c r="Z144" s="46"/>
      <c r="AA144" s="46"/>
      <c r="AB144" s="46"/>
      <c r="AC144" s="46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174"/>
      <c r="AS144" s="48"/>
      <c r="AT144" s="174"/>
      <c r="AU144" s="19"/>
      <c r="AV144" s="174"/>
    </row>
    <row r="145" spans="1:48">
      <c r="A145" s="78" t="s">
        <v>23</v>
      </c>
      <c r="B145" s="79"/>
      <c r="C145" s="80"/>
      <c r="D145" s="79"/>
      <c r="E145" s="74"/>
      <c r="F145" s="26">
        <f>+'[18]2" W Ind E14'!Y32+'[18]2" W Ind 2 E14'!Y20</f>
        <v>8</v>
      </c>
      <c r="G145" s="26"/>
      <c r="H145" s="84">
        <f>+'[18]2" W Ind E14'!S7</f>
        <v>2.5499999999999998</v>
      </c>
      <c r="I145" s="75"/>
      <c r="J145" s="76">
        <f>H145*F145</f>
        <v>20.399999999999999</v>
      </c>
      <c r="K145" s="26"/>
      <c r="L145" s="29">
        <f t="shared" si="52"/>
        <v>20.399999999999999</v>
      </c>
      <c r="M145" s="26"/>
      <c r="N145" s="76"/>
      <c r="O145" s="31"/>
      <c r="P145" s="76">
        <f t="shared" si="54"/>
        <v>8</v>
      </c>
      <c r="Q145" s="26"/>
      <c r="R145" s="82">
        <f t="shared" si="53"/>
        <v>3.1087558442263403</v>
      </c>
      <c r="S145" s="75"/>
      <c r="T145" s="83">
        <f t="shared" si="55"/>
        <v>24.870046753810723</v>
      </c>
      <c r="U145" s="75"/>
      <c r="V145" s="75"/>
      <c r="W145" s="203"/>
      <c r="X145" s="45"/>
      <c r="Y145" s="46"/>
      <c r="Z145" s="46"/>
      <c r="AA145" s="46"/>
      <c r="AB145" s="46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174"/>
      <c r="AS145" s="48"/>
      <c r="AT145" s="174"/>
      <c r="AU145" s="19"/>
      <c r="AV145" s="174"/>
    </row>
    <row r="146" spans="1:48" s="97" customFormat="1" ht="12.75" thickBot="1">
      <c r="A146" s="88" t="s">
        <v>70</v>
      </c>
      <c r="B146" s="103">
        <f>SUM(B140:B145)</f>
        <v>835</v>
      </c>
      <c r="C146" s="90"/>
      <c r="D146" s="103">
        <f>SUM(D140:D145)</f>
        <v>48.000000000000021</v>
      </c>
      <c r="E146" s="90"/>
      <c r="F146" s="103">
        <f>SUM(F140:F145)</f>
        <v>501</v>
      </c>
      <c r="G146" s="62"/>
      <c r="H146" s="64"/>
      <c r="I146" s="63"/>
      <c r="J146" s="91">
        <f>SUM(J140:J145)</f>
        <v>5269.7300000000014</v>
      </c>
      <c r="K146" s="62"/>
      <c r="L146" s="91">
        <f>SUM(L140:L145)</f>
        <v>5269.7300000000014</v>
      </c>
      <c r="M146" s="62"/>
      <c r="N146" s="108">
        <f>SUM(N141:N145)</f>
        <v>48.000000000000021</v>
      </c>
      <c r="O146" s="67"/>
      <c r="P146" s="108">
        <f>SUM(P142:P145)</f>
        <v>501</v>
      </c>
      <c r="Q146" s="62"/>
      <c r="R146" s="82">
        <f t="shared" si="53"/>
        <v>0</v>
      </c>
      <c r="S146" s="90"/>
      <c r="T146" s="91">
        <f>SUM(T140:T145)</f>
        <v>6424.4329156842659</v>
      </c>
      <c r="U146" s="90"/>
      <c r="V146" s="90"/>
      <c r="W146" s="206"/>
      <c r="X146" s="93"/>
      <c r="Y146" s="94"/>
      <c r="Z146" s="94"/>
      <c r="AA146" s="94"/>
      <c r="AB146" s="94"/>
      <c r="AC146" s="94"/>
      <c r="AD146" s="94" t="s">
        <v>25</v>
      </c>
      <c r="AE146" s="70"/>
      <c r="AF146" s="63"/>
      <c r="AG146" s="90"/>
      <c r="AH146" s="90"/>
      <c r="AI146" s="90"/>
      <c r="AJ146" s="63"/>
      <c r="AK146" s="208"/>
      <c r="AL146" s="63"/>
      <c r="AM146" s="208"/>
      <c r="AN146" s="63"/>
      <c r="AO146" s="208"/>
      <c r="AP146" s="63"/>
      <c r="AQ146" s="208"/>
      <c r="AR146" s="96"/>
      <c r="AS146" s="96"/>
      <c r="AT146" s="96"/>
      <c r="AU146" s="96"/>
      <c r="AV146" s="96"/>
    </row>
    <row r="147" spans="1:48" ht="12.75" thickTop="1">
      <c r="A147" s="88"/>
      <c r="B147" s="79"/>
      <c r="C147" s="80"/>
      <c r="D147" s="79"/>
      <c r="E147" s="74"/>
      <c r="F147" s="26"/>
      <c r="G147" s="26"/>
      <c r="H147" s="28"/>
      <c r="I147" s="75"/>
      <c r="J147" s="29"/>
      <c r="K147" s="26"/>
      <c r="L147" s="29"/>
      <c r="M147" s="26"/>
      <c r="N147" s="76"/>
      <c r="O147" s="31"/>
      <c r="P147" s="76"/>
      <c r="Q147" s="26"/>
      <c r="R147" s="32"/>
      <c r="S147" s="75"/>
      <c r="T147" s="33"/>
      <c r="U147" s="75"/>
      <c r="V147" s="75"/>
      <c r="W147" s="201"/>
      <c r="X147" s="45"/>
      <c r="Y147" s="46"/>
      <c r="Z147" s="46"/>
      <c r="AA147" s="46"/>
      <c r="AB147" s="46"/>
      <c r="AC147" s="46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174"/>
      <c r="AS147" s="174"/>
      <c r="AT147" s="174"/>
      <c r="AU147" s="19"/>
      <c r="AV147" s="174"/>
    </row>
    <row r="148" spans="1:48" ht="12.75" thickBot="1">
      <c r="A148" s="98" t="s">
        <v>71</v>
      </c>
      <c r="B148" s="79"/>
      <c r="C148" s="80"/>
      <c r="D148" s="79"/>
      <c r="E148" s="74"/>
      <c r="F148" s="26"/>
      <c r="G148" s="26"/>
      <c r="H148" s="28"/>
      <c r="I148" s="75"/>
      <c r="J148" s="29"/>
      <c r="K148" s="26"/>
      <c r="L148" s="99">
        <f>L146/+$D146</f>
        <v>109.78604166666665</v>
      </c>
      <c r="M148" s="26"/>
      <c r="N148" s="76"/>
      <c r="O148" s="31"/>
      <c r="P148" s="76"/>
      <c r="Q148" s="26"/>
      <c r="R148" s="32"/>
      <c r="S148" s="75"/>
      <c r="T148" s="99">
        <f>T146/+$D146</f>
        <v>133.84235241008881</v>
      </c>
      <c r="U148" s="75"/>
      <c r="V148" s="75"/>
      <c r="W148" s="201"/>
      <c r="X148" s="45"/>
      <c r="Y148" s="46"/>
      <c r="Z148" s="46"/>
      <c r="AA148" s="46"/>
      <c r="AB148" s="46"/>
      <c r="AC148" s="46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174"/>
      <c r="AS148" s="174"/>
      <c r="AT148" s="174"/>
      <c r="AU148" s="19"/>
      <c r="AV148" s="174"/>
    </row>
    <row r="149" spans="1:48" ht="12.75" thickTop="1">
      <c r="A149" s="73" t="s">
        <v>72</v>
      </c>
      <c r="B149" s="26">
        <f>+'[18]2" W Gov E14'!I83/1000</f>
        <v>6537</v>
      </c>
      <c r="C149" s="74"/>
      <c r="D149" s="26"/>
      <c r="E149" s="74"/>
      <c r="F149" s="26"/>
      <c r="G149" s="26"/>
      <c r="H149" s="105"/>
      <c r="I149" s="75"/>
      <c r="J149" s="29"/>
      <c r="K149" s="26"/>
      <c r="L149" s="29"/>
      <c r="M149" s="26"/>
      <c r="N149" s="76"/>
      <c r="O149" s="31"/>
      <c r="P149" s="76"/>
      <c r="Q149" s="26"/>
      <c r="R149" s="32"/>
      <c r="S149" s="74"/>
      <c r="T149" s="77"/>
      <c r="U149" s="74"/>
      <c r="V149" s="74"/>
      <c r="W149" s="203"/>
      <c r="X149" s="45"/>
      <c r="Y149" s="46"/>
      <c r="Z149" s="46"/>
      <c r="AA149" s="46"/>
      <c r="AB149" s="46"/>
      <c r="AC149" s="46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48"/>
      <c r="AS149" s="48"/>
      <c r="AT149" s="48"/>
      <c r="AU149" s="48"/>
      <c r="AV149" s="48"/>
    </row>
    <row r="150" spans="1:48">
      <c r="A150" s="78" t="s">
        <v>65</v>
      </c>
      <c r="B150" s="79"/>
      <c r="C150" s="80"/>
      <c r="D150" s="79">
        <f>+'[18]2" W Gov E14'!S87</f>
        <v>191.99999999999963</v>
      </c>
      <c r="E150" s="74"/>
      <c r="F150" s="26"/>
      <c r="G150" s="26"/>
      <c r="H150" s="81">
        <f>+'[18]2" W Gov E14'!S2</f>
        <v>78.8</v>
      </c>
      <c r="I150" s="75"/>
      <c r="J150" s="29">
        <f>H150*D150</f>
        <v>15129.599999999969</v>
      </c>
      <c r="K150" s="26"/>
      <c r="L150" s="29">
        <f t="shared" ref="L150:L154" si="56">+J150</f>
        <v>15129.599999999969</v>
      </c>
      <c r="M150" s="26"/>
      <c r="N150" s="76">
        <f>D150</f>
        <v>191.99999999999963</v>
      </c>
      <c r="O150" s="31"/>
      <c r="P150" s="76"/>
      <c r="Q150" s="26"/>
      <c r="R150" s="82">
        <f t="shared" ref="R150:R155" si="57">H150*(1+$W$5)</f>
        <v>96.066651186288482</v>
      </c>
      <c r="S150" s="75"/>
      <c r="T150" s="83">
        <f>R150*+D150</f>
        <v>18444.797027767352</v>
      </c>
      <c r="U150" s="75"/>
      <c r="V150" s="75"/>
      <c r="W150" s="201"/>
      <c r="X150" s="45"/>
      <c r="Y150" s="46"/>
      <c r="Z150" s="46"/>
      <c r="AA150" s="46"/>
      <c r="AB150" s="46"/>
      <c r="AC150" s="46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174"/>
      <c r="AS150" s="174"/>
      <c r="AT150" s="174"/>
      <c r="AU150" s="19"/>
      <c r="AV150" s="174"/>
    </row>
    <row r="151" spans="1:48">
      <c r="A151" s="78" t="s">
        <v>66</v>
      </c>
      <c r="B151" s="79"/>
      <c r="C151" s="80"/>
      <c r="D151" s="79"/>
      <c r="E151" s="74"/>
      <c r="F151" s="26">
        <f>+'[18]2" W Gov E14'!V87</f>
        <v>292.99999999999994</v>
      </c>
      <c r="G151" s="26"/>
      <c r="H151" s="84">
        <f>+'[18]2" W Gov E14'!S4</f>
        <v>3.29</v>
      </c>
      <c r="I151" s="75"/>
      <c r="J151" s="76">
        <f>H151*F151</f>
        <v>963.9699999999998</v>
      </c>
      <c r="K151" s="26"/>
      <c r="L151" s="29">
        <f t="shared" si="56"/>
        <v>963.9699999999998</v>
      </c>
      <c r="M151" s="26"/>
      <c r="N151" s="76"/>
      <c r="O151" s="31"/>
      <c r="P151" s="76">
        <f t="shared" ref="P151:P154" si="58">SUM(F151)</f>
        <v>292.99999999999994</v>
      </c>
      <c r="Q151" s="26"/>
      <c r="R151" s="82">
        <f t="shared" si="57"/>
        <v>4.0109045990214351</v>
      </c>
      <c r="S151" s="75"/>
      <c r="T151" s="83">
        <f>R151*F151</f>
        <v>1175.1950475132803</v>
      </c>
      <c r="U151" s="75"/>
      <c r="V151" s="75"/>
      <c r="W151" s="201"/>
      <c r="X151" s="45"/>
      <c r="Y151" s="46"/>
      <c r="Z151" s="46"/>
      <c r="AA151" s="46"/>
      <c r="AB151" s="46"/>
      <c r="AC151" s="46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174"/>
      <c r="AS151" s="174"/>
      <c r="AT151" s="174"/>
      <c r="AU151" s="19"/>
      <c r="AV151" s="174"/>
    </row>
    <row r="152" spans="1:48">
      <c r="A152" s="78" t="s">
        <v>21</v>
      </c>
      <c r="B152" s="79"/>
      <c r="C152" s="80"/>
      <c r="D152" s="79"/>
      <c r="E152" s="74"/>
      <c r="F152" s="26">
        <f>+'[18]2" W Gov E14'!W87</f>
        <v>1521</v>
      </c>
      <c r="G152" s="26"/>
      <c r="H152" s="84">
        <f>+'[18]2" W Gov E14'!S5</f>
        <v>3.12</v>
      </c>
      <c r="I152" s="75"/>
      <c r="J152" s="76">
        <f>H152*F152</f>
        <v>4745.5200000000004</v>
      </c>
      <c r="K152" s="26"/>
      <c r="L152" s="29">
        <f t="shared" si="56"/>
        <v>4745.5200000000004</v>
      </c>
      <c r="M152" s="26"/>
      <c r="N152" s="76"/>
      <c r="O152" s="31"/>
      <c r="P152" s="76">
        <f t="shared" si="58"/>
        <v>1521</v>
      </c>
      <c r="Q152" s="26"/>
      <c r="R152" s="82">
        <f t="shared" si="57"/>
        <v>3.8036542094063464</v>
      </c>
      <c r="S152" s="75"/>
      <c r="T152" s="83">
        <f t="shared" ref="T152:T154" si="59">R152*F152</f>
        <v>5785.3580525070529</v>
      </c>
      <c r="U152" s="75"/>
      <c r="V152" s="75"/>
      <c r="W152" s="203"/>
      <c r="X152" s="45"/>
      <c r="Y152" s="46"/>
      <c r="Z152" s="46"/>
      <c r="AA152" s="46"/>
      <c r="AB152" s="46"/>
      <c r="AC152" s="46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174"/>
      <c r="AS152" s="174"/>
      <c r="AT152" s="174"/>
      <c r="AU152" s="19"/>
      <c r="AV152" s="174"/>
    </row>
    <row r="153" spans="1:48">
      <c r="A153" s="78" t="s">
        <v>22</v>
      </c>
      <c r="B153" s="79"/>
      <c r="C153" s="80"/>
      <c r="D153" s="79"/>
      <c r="E153" s="74"/>
      <c r="F153" s="26">
        <f>+'[18]2" W Gov E14'!X87</f>
        <v>1595.0000000000005</v>
      </c>
      <c r="G153" s="26"/>
      <c r="H153" s="84">
        <f>+'[18]2" W Gov E14'!S6</f>
        <v>2.79</v>
      </c>
      <c r="I153" s="75"/>
      <c r="J153" s="76">
        <f>H153*F153</f>
        <v>4450.0500000000011</v>
      </c>
      <c r="K153" s="26"/>
      <c r="L153" s="29">
        <f t="shared" si="56"/>
        <v>4450.0500000000011</v>
      </c>
      <c r="M153" s="26"/>
      <c r="N153" s="76"/>
      <c r="O153" s="31"/>
      <c r="P153" s="76">
        <f t="shared" si="58"/>
        <v>1595.0000000000005</v>
      </c>
      <c r="Q153" s="26"/>
      <c r="R153" s="82">
        <f t="shared" si="57"/>
        <v>3.4013446295652905</v>
      </c>
      <c r="S153" s="75"/>
      <c r="T153" s="83">
        <f t="shared" si="59"/>
        <v>5425.1446841566403</v>
      </c>
      <c r="U153" s="75"/>
      <c r="V153" s="75"/>
      <c r="W153" s="203"/>
      <c r="X153" s="45"/>
      <c r="Y153" s="46"/>
      <c r="Z153" s="46"/>
      <c r="AA153" s="46"/>
      <c r="AB153" s="46"/>
      <c r="AC153" s="46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174"/>
      <c r="AS153" s="48"/>
      <c r="AT153" s="174"/>
      <c r="AU153" s="19"/>
      <c r="AV153" s="174"/>
    </row>
    <row r="154" spans="1:48">
      <c r="A154" s="78" t="s">
        <v>23</v>
      </c>
      <c r="B154" s="79"/>
      <c r="C154" s="80"/>
      <c r="D154" s="79"/>
      <c r="E154" s="74"/>
      <c r="F154" s="26">
        <f>+'[18]2" W Gov E14'!Y87</f>
        <v>1019</v>
      </c>
      <c r="G154" s="26"/>
      <c r="H154" s="84">
        <f>+'[18]2" W Gov E14'!S7</f>
        <v>2.5499999999999998</v>
      </c>
      <c r="I154" s="75"/>
      <c r="J154" s="76">
        <f>H154*F154</f>
        <v>2598.4499999999998</v>
      </c>
      <c r="K154" s="26"/>
      <c r="L154" s="29">
        <f t="shared" si="56"/>
        <v>2598.4499999999998</v>
      </c>
      <c r="M154" s="26"/>
      <c r="N154" s="76"/>
      <c r="O154" s="31"/>
      <c r="P154" s="76">
        <f t="shared" si="58"/>
        <v>1019</v>
      </c>
      <c r="Q154" s="26"/>
      <c r="R154" s="82">
        <f t="shared" si="57"/>
        <v>3.1087558442263403</v>
      </c>
      <c r="S154" s="75"/>
      <c r="T154" s="83">
        <f t="shared" si="59"/>
        <v>3167.8222052666406</v>
      </c>
      <c r="U154" s="75"/>
      <c r="V154" s="75"/>
      <c r="W154" s="203"/>
      <c r="X154" s="45"/>
      <c r="Y154" s="46"/>
      <c r="Z154" s="46"/>
      <c r="AA154" s="46"/>
      <c r="AB154" s="46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174"/>
      <c r="AS154" s="48"/>
      <c r="AT154" s="174"/>
      <c r="AU154" s="19"/>
      <c r="AV154" s="174"/>
    </row>
    <row r="155" spans="1:48" s="97" customFormat="1" ht="12.75" thickBot="1">
      <c r="A155" s="88" t="s">
        <v>73</v>
      </c>
      <c r="B155" s="103">
        <f>SUM(B149:B154)</f>
        <v>6537</v>
      </c>
      <c r="C155" s="90"/>
      <c r="D155" s="103">
        <f>SUM(D149:D154)</f>
        <v>191.99999999999963</v>
      </c>
      <c r="E155" s="90"/>
      <c r="F155" s="103">
        <f>SUM(F149:F154)</f>
        <v>4428</v>
      </c>
      <c r="G155" s="62"/>
      <c r="H155" s="64"/>
      <c r="I155" s="63"/>
      <c r="J155" s="91">
        <f>SUM(J149:J154)</f>
        <v>27887.589999999971</v>
      </c>
      <c r="K155" s="62"/>
      <c r="L155" s="91">
        <f>SUM(L149:L154)</f>
        <v>27887.589999999971</v>
      </c>
      <c r="M155" s="62"/>
      <c r="N155" s="108">
        <f>SUM(N150:N154)</f>
        <v>191.99999999999963</v>
      </c>
      <c r="O155" s="67"/>
      <c r="P155" s="108">
        <f>SUM(P151:P154)</f>
        <v>4428</v>
      </c>
      <c r="Q155" s="62"/>
      <c r="R155" s="82">
        <f t="shared" si="57"/>
        <v>0</v>
      </c>
      <c r="S155" s="90"/>
      <c r="T155" s="91">
        <f>SUM(T149:T154)</f>
        <v>33998.317017210968</v>
      </c>
      <c r="U155" s="90"/>
      <c r="V155" s="90"/>
      <c r="W155" s="206"/>
      <c r="X155" s="93"/>
      <c r="Y155" s="94"/>
      <c r="Z155" s="94"/>
      <c r="AA155" s="94"/>
      <c r="AB155" s="94"/>
      <c r="AC155" s="94"/>
      <c r="AD155" s="94" t="s">
        <v>25</v>
      </c>
      <c r="AE155" s="70"/>
      <c r="AF155" s="63"/>
      <c r="AG155" s="90"/>
      <c r="AH155" s="90"/>
      <c r="AI155" s="90"/>
      <c r="AJ155" s="63"/>
      <c r="AK155" s="208"/>
      <c r="AL155" s="63"/>
      <c r="AM155" s="208"/>
      <c r="AN155" s="63"/>
      <c r="AO155" s="208"/>
      <c r="AP155" s="63"/>
      <c r="AQ155" s="208"/>
      <c r="AR155" s="96"/>
      <c r="AS155" s="96"/>
      <c r="AT155" s="96"/>
      <c r="AU155" s="96"/>
      <c r="AV155" s="96"/>
    </row>
    <row r="156" spans="1:48" ht="12.75" thickTop="1">
      <c r="A156" s="88"/>
      <c r="B156" s="79"/>
      <c r="C156" s="80"/>
      <c r="D156" s="79"/>
      <c r="E156" s="74"/>
      <c r="F156" s="26"/>
      <c r="G156" s="26"/>
      <c r="H156" s="28"/>
      <c r="I156" s="75"/>
      <c r="J156" s="29"/>
      <c r="K156" s="26"/>
      <c r="L156" s="29"/>
      <c r="M156" s="26"/>
      <c r="N156" s="76"/>
      <c r="O156" s="31"/>
      <c r="P156" s="76"/>
      <c r="Q156" s="26"/>
      <c r="R156" s="32"/>
      <c r="S156" s="75"/>
      <c r="T156" s="33"/>
      <c r="U156" s="75"/>
      <c r="V156" s="75"/>
      <c r="W156" s="201"/>
      <c r="X156" s="45"/>
      <c r="Y156" s="46"/>
      <c r="Z156" s="46"/>
      <c r="AA156" s="46"/>
      <c r="AB156" s="46"/>
      <c r="AC156" s="46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174"/>
      <c r="AS156" s="174"/>
      <c r="AT156" s="174"/>
      <c r="AU156" s="19"/>
      <c r="AV156" s="174"/>
    </row>
    <row r="157" spans="1:48" ht="12.75" thickBot="1">
      <c r="A157" s="98" t="s">
        <v>74</v>
      </c>
      <c r="B157" s="79"/>
      <c r="C157" s="80"/>
      <c r="D157" s="79"/>
      <c r="E157" s="74"/>
      <c r="F157" s="26"/>
      <c r="G157" s="26"/>
      <c r="H157" s="28"/>
      <c r="I157" s="75"/>
      <c r="J157" s="29"/>
      <c r="K157" s="26"/>
      <c r="L157" s="99">
        <f>L155/+$D155</f>
        <v>145.24786458333347</v>
      </c>
      <c r="M157" s="26"/>
      <c r="N157" s="76"/>
      <c r="O157" s="31"/>
      <c r="P157" s="76"/>
      <c r="Q157" s="26"/>
      <c r="R157" s="32"/>
      <c r="S157" s="75"/>
      <c r="T157" s="99">
        <f>T155/+$D155</f>
        <v>177.07456779797414</v>
      </c>
      <c r="U157" s="75"/>
      <c r="V157" s="75"/>
      <c r="W157" s="201"/>
      <c r="X157" s="45"/>
      <c r="Y157" s="46"/>
      <c r="Z157" s="46"/>
      <c r="AA157" s="46"/>
      <c r="AB157" s="46"/>
      <c r="AC157" s="46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174"/>
      <c r="AS157" s="174"/>
      <c r="AT157" s="174"/>
      <c r="AU157" s="19"/>
      <c r="AV157" s="174"/>
    </row>
    <row r="158" spans="1:48" ht="12.75" thickTop="1">
      <c r="A158" s="98"/>
      <c r="B158" s="79"/>
      <c r="C158" s="80"/>
      <c r="D158" s="79"/>
      <c r="E158" s="74"/>
      <c r="F158" s="26"/>
      <c r="G158" s="26"/>
      <c r="H158" s="28"/>
      <c r="I158" s="75"/>
      <c r="J158" s="29"/>
      <c r="K158" s="26"/>
      <c r="L158" s="29"/>
      <c r="M158" s="26"/>
      <c r="N158" s="76"/>
      <c r="O158" s="31"/>
      <c r="P158" s="76"/>
      <c r="Q158" s="26"/>
      <c r="R158" s="32"/>
      <c r="S158" s="75"/>
      <c r="T158" s="106"/>
      <c r="U158" s="75"/>
      <c r="V158" s="75"/>
      <c r="W158" s="201"/>
      <c r="X158" s="45"/>
      <c r="Y158" s="46"/>
      <c r="Z158" s="46"/>
      <c r="AA158" s="46"/>
      <c r="AB158" s="46"/>
      <c r="AC158" s="46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174"/>
      <c r="AS158" s="174"/>
      <c r="AT158" s="174"/>
      <c r="AU158" s="19"/>
      <c r="AV158" s="174"/>
    </row>
    <row r="159" spans="1:48">
      <c r="A159" s="73" t="s">
        <v>75</v>
      </c>
      <c r="B159" s="26">
        <f>+'[18]3" W C E14'!I39/1000</f>
        <v>4137</v>
      </c>
      <c r="C159" s="74"/>
      <c r="D159" s="26"/>
      <c r="E159" s="74"/>
      <c r="F159" s="26"/>
      <c r="G159" s="26"/>
      <c r="H159" s="105"/>
      <c r="I159" s="75"/>
      <c r="J159" s="29"/>
      <c r="K159" s="26"/>
      <c r="L159" s="29"/>
      <c r="M159" s="26"/>
      <c r="N159" s="76"/>
      <c r="O159" s="31"/>
      <c r="P159" s="76"/>
      <c r="Q159" s="26"/>
      <c r="R159" s="32"/>
      <c r="S159" s="74"/>
      <c r="T159" s="77"/>
      <c r="U159" s="74"/>
      <c r="V159" s="74"/>
      <c r="W159" s="203"/>
      <c r="X159" s="45"/>
      <c r="Y159" s="46"/>
      <c r="Z159" s="46"/>
      <c r="AA159" s="46"/>
      <c r="AB159" s="46"/>
      <c r="AC159" s="46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48"/>
      <c r="AS159" s="48"/>
      <c r="AT159" s="48"/>
      <c r="AU159" s="48"/>
      <c r="AV159" s="48"/>
    </row>
    <row r="160" spans="1:48">
      <c r="A160" s="78" t="s">
        <v>76</v>
      </c>
      <c r="B160" s="79"/>
      <c r="C160" s="80"/>
      <c r="D160" s="79">
        <f>+'[18]3" W C E14'!S43</f>
        <v>36.000000000000021</v>
      </c>
      <c r="E160" s="74"/>
      <c r="F160" s="26"/>
      <c r="G160" s="26"/>
      <c r="H160" s="81">
        <f>+'[18]3" W C E14'!S2</f>
        <v>220.05</v>
      </c>
      <c r="I160" s="75"/>
      <c r="J160" s="29">
        <f>H160*D160</f>
        <v>7921.8000000000047</v>
      </c>
      <c r="K160" s="26"/>
      <c r="L160" s="29">
        <f t="shared" ref="L160:L162" si="60">+J160</f>
        <v>7921.8000000000047</v>
      </c>
      <c r="M160" s="26"/>
      <c r="N160" s="76">
        <f>D160</f>
        <v>36.000000000000021</v>
      </c>
      <c r="O160" s="31"/>
      <c r="P160" s="76"/>
      <c r="Q160" s="26"/>
      <c r="R160" s="82">
        <f t="shared" ref="R160:R162" si="61">H160*(1+$W$5)</f>
        <v>268.2673425576495</v>
      </c>
      <c r="S160" s="75"/>
      <c r="T160" s="83">
        <f>R160*+D160</f>
        <v>9657.6243320753874</v>
      </c>
      <c r="U160" s="75"/>
      <c r="V160" s="75"/>
      <c r="W160" s="201"/>
      <c r="X160" s="45"/>
      <c r="Y160" s="46"/>
      <c r="Z160" s="46"/>
      <c r="AA160" s="46"/>
      <c r="AB160" s="46"/>
      <c r="AC160" s="46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174"/>
      <c r="AS160" s="174"/>
      <c r="AT160" s="174"/>
      <c r="AU160" s="19"/>
      <c r="AV160" s="174"/>
    </row>
    <row r="161" spans="1:48">
      <c r="A161" s="78" t="s">
        <v>77</v>
      </c>
      <c r="B161" s="79"/>
      <c r="C161" s="80"/>
      <c r="D161" s="79"/>
      <c r="E161" s="74"/>
      <c r="F161" s="26">
        <f>+'[18]3" W C E14'!V43</f>
        <v>768.00000000000011</v>
      </c>
      <c r="G161" s="26"/>
      <c r="H161" s="84">
        <f>+'[18]3" W C E14'!S4</f>
        <v>2.79</v>
      </c>
      <c r="I161" s="75"/>
      <c r="J161" s="76">
        <f>H161*F161</f>
        <v>2142.7200000000003</v>
      </c>
      <c r="K161" s="26"/>
      <c r="L161" s="29">
        <f t="shared" si="60"/>
        <v>2142.7200000000003</v>
      </c>
      <c r="M161" s="26"/>
      <c r="N161" s="76"/>
      <c r="O161" s="31"/>
      <c r="P161" s="76">
        <f t="shared" ref="P161:P162" si="62">SUM(F161)</f>
        <v>768.00000000000011</v>
      </c>
      <c r="Q161" s="26"/>
      <c r="R161" s="82">
        <f t="shared" si="61"/>
        <v>3.4013446295652905</v>
      </c>
      <c r="S161" s="75"/>
      <c r="T161" s="83">
        <f>R161*F161</f>
        <v>2612.2326755061436</v>
      </c>
      <c r="U161" s="75"/>
      <c r="V161" s="75"/>
      <c r="W161" s="201"/>
      <c r="X161" s="45"/>
      <c r="Y161" s="46"/>
      <c r="Z161" s="46"/>
      <c r="AA161" s="46"/>
      <c r="AB161" s="46"/>
      <c r="AC161" s="46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174"/>
      <c r="AS161" s="174"/>
      <c r="AT161" s="174"/>
      <c r="AU161" s="19"/>
      <c r="AV161" s="174"/>
    </row>
    <row r="162" spans="1:48">
      <c r="A162" s="78" t="s">
        <v>23</v>
      </c>
      <c r="B162" s="79"/>
      <c r="C162" s="80"/>
      <c r="D162" s="79"/>
      <c r="E162" s="74"/>
      <c r="F162" s="26">
        <f>+'[18]3" W C E14'!W43</f>
        <v>1480.9999999999998</v>
      </c>
      <c r="G162" s="26"/>
      <c r="H162" s="84">
        <f>+'[18]3" W C E14'!S5</f>
        <v>2.5499999999999998</v>
      </c>
      <c r="I162" s="75"/>
      <c r="J162" s="76">
        <f>H162*F162</f>
        <v>3776.5499999999993</v>
      </c>
      <c r="K162" s="26"/>
      <c r="L162" s="29">
        <f t="shared" si="60"/>
        <v>3776.5499999999993</v>
      </c>
      <c r="M162" s="26"/>
      <c r="N162" s="76"/>
      <c r="O162" s="31"/>
      <c r="P162" s="76">
        <f t="shared" si="62"/>
        <v>1480.9999999999998</v>
      </c>
      <c r="Q162" s="26"/>
      <c r="R162" s="82">
        <f t="shared" si="61"/>
        <v>3.1087558442263403</v>
      </c>
      <c r="S162" s="75"/>
      <c r="T162" s="83">
        <f t="shared" ref="T162" si="63">R162*F162</f>
        <v>4604.067405299209</v>
      </c>
      <c r="U162" s="75"/>
      <c r="V162" s="75"/>
      <c r="W162" s="203"/>
      <c r="X162" s="45"/>
      <c r="Y162" s="46"/>
      <c r="Z162" s="46"/>
      <c r="AA162" s="46"/>
      <c r="AB162" s="46"/>
      <c r="AC162" s="46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174"/>
      <c r="AS162" s="174"/>
      <c r="AT162" s="174"/>
      <c r="AU162" s="19"/>
      <c r="AV162" s="174"/>
    </row>
    <row r="163" spans="1:48" s="97" customFormat="1" ht="12.75" thickBot="1">
      <c r="A163" s="88" t="s">
        <v>78</v>
      </c>
      <c r="B163" s="103">
        <f>SUM(B159:B162)</f>
        <v>4137</v>
      </c>
      <c r="C163" s="90"/>
      <c r="D163" s="103">
        <f>SUM(D159:D162)</f>
        <v>36.000000000000021</v>
      </c>
      <c r="E163" s="90"/>
      <c r="F163" s="103">
        <f>SUM(F159:F162)</f>
        <v>2249</v>
      </c>
      <c r="G163" s="62"/>
      <c r="H163" s="64"/>
      <c r="I163" s="63"/>
      <c r="J163" s="91">
        <f>SUM(J159:J162)</f>
        <v>13841.070000000003</v>
      </c>
      <c r="K163" s="62"/>
      <c r="L163" s="91">
        <f>SUM(L159:L162)</f>
        <v>13841.070000000003</v>
      </c>
      <c r="M163" s="62"/>
      <c r="N163" s="107">
        <f>SUM(N160:N162)</f>
        <v>36.000000000000021</v>
      </c>
      <c r="O163" s="31"/>
      <c r="P163" s="107">
        <f>SUM(P161:P162)</f>
        <v>2249</v>
      </c>
      <c r="Q163" s="62"/>
      <c r="R163" s="32"/>
      <c r="S163" s="90"/>
      <c r="T163" s="91">
        <f>SUM(T159:T162)</f>
        <v>16873.92441288074</v>
      </c>
      <c r="U163" s="90"/>
      <c r="V163" s="90"/>
      <c r="W163" s="206"/>
      <c r="X163" s="93"/>
      <c r="Y163" s="94"/>
      <c r="Z163" s="94"/>
      <c r="AA163" s="94"/>
      <c r="AB163" s="94"/>
      <c r="AC163" s="94"/>
      <c r="AD163" s="94" t="s">
        <v>25</v>
      </c>
      <c r="AE163" s="70"/>
      <c r="AF163" s="63"/>
      <c r="AG163" s="90"/>
      <c r="AH163" s="90"/>
      <c r="AI163" s="90"/>
      <c r="AJ163" s="63"/>
      <c r="AK163" s="208"/>
      <c r="AL163" s="63"/>
      <c r="AM163" s="208"/>
      <c r="AN163" s="63"/>
      <c r="AO163" s="208"/>
      <c r="AP163" s="63"/>
      <c r="AQ163" s="208"/>
      <c r="AR163" s="96"/>
      <c r="AS163" s="96"/>
      <c r="AT163" s="96"/>
      <c r="AU163" s="96"/>
      <c r="AV163" s="96"/>
    </row>
    <row r="164" spans="1:48" ht="12.75" thickTop="1">
      <c r="A164" s="88"/>
      <c r="B164" s="79"/>
      <c r="C164" s="80"/>
      <c r="D164" s="79"/>
      <c r="E164" s="74"/>
      <c r="F164" s="26"/>
      <c r="G164" s="26"/>
      <c r="H164" s="28"/>
      <c r="I164" s="75"/>
      <c r="J164" s="29"/>
      <c r="K164" s="26"/>
      <c r="L164" s="29"/>
      <c r="M164" s="26"/>
      <c r="N164" s="76"/>
      <c r="O164" s="31"/>
      <c r="P164" s="76"/>
      <c r="Q164" s="26"/>
      <c r="R164" s="32"/>
      <c r="S164" s="75"/>
      <c r="T164" s="33"/>
      <c r="U164" s="75"/>
      <c r="V164" s="75"/>
      <c r="W164" s="201"/>
      <c r="X164" s="45"/>
      <c r="Y164" s="46"/>
      <c r="Z164" s="46"/>
      <c r="AA164" s="46"/>
      <c r="AB164" s="46"/>
      <c r="AC164" s="46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174"/>
      <c r="AS164" s="174"/>
      <c r="AT164" s="174"/>
      <c r="AU164" s="19"/>
      <c r="AV164" s="174"/>
    </row>
    <row r="165" spans="1:48" ht="12.75" thickBot="1">
      <c r="A165" s="98" t="s">
        <v>79</v>
      </c>
      <c r="B165" s="79"/>
      <c r="C165" s="80"/>
      <c r="D165" s="79"/>
      <c r="E165" s="74"/>
      <c r="F165" s="26"/>
      <c r="G165" s="26"/>
      <c r="H165" s="28"/>
      <c r="I165" s="75"/>
      <c r="J165" s="29"/>
      <c r="K165" s="26"/>
      <c r="L165" s="99">
        <f>L163/+$D163</f>
        <v>384.47416666666652</v>
      </c>
      <c r="M165" s="26"/>
      <c r="N165" s="76"/>
      <c r="O165" s="31"/>
      <c r="P165" s="76"/>
      <c r="Q165" s="26"/>
      <c r="R165" s="32"/>
      <c r="S165" s="75"/>
      <c r="T165" s="99">
        <f>T163/+$D163</f>
        <v>468.7201225800203</v>
      </c>
      <c r="U165" s="75"/>
      <c r="V165" s="75"/>
      <c r="W165" s="201"/>
      <c r="X165" s="45"/>
      <c r="Y165" s="46"/>
      <c r="Z165" s="46"/>
      <c r="AA165" s="46"/>
      <c r="AB165" s="46"/>
      <c r="AC165" s="46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174"/>
      <c r="AS165" s="174"/>
      <c r="AT165" s="174"/>
      <c r="AU165" s="19"/>
      <c r="AV165" s="174"/>
    </row>
    <row r="166" spans="1:48" ht="12.75" thickTop="1">
      <c r="A166" s="73" t="s">
        <v>80</v>
      </c>
      <c r="B166" s="26">
        <f>(+'[18]3" W Gov E14'!I37+'[18]3" W Pine E14'!I13)/1000</f>
        <v>11626</v>
      </c>
      <c r="C166" s="74"/>
      <c r="D166" s="26"/>
      <c r="E166" s="74"/>
      <c r="F166" s="26"/>
      <c r="G166" s="26"/>
      <c r="H166" s="105"/>
      <c r="I166" s="75"/>
      <c r="J166" s="29"/>
      <c r="K166" s="26"/>
      <c r="L166" s="29"/>
      <c r="M166" s="26"/>
      <c r="N166" s="76"/>
      <c r="O166" s="31"/>
      <c r="P166" s="76"/>
      <c r="Q166" s="26"/>
      <c r="R166" s="32"/>
      <c r="S166" s="74"/>
      <c r="T166" s="77"/>
      <c r="U166" s="74"/>
      <c r="V166" s="74"/>
      <c r="W166" s="203"/>
      <c r="X166" s="45"/>
      <c r="Y166" s="46"/>
      <c r="Z166" s="46"/>
      <c r="AA166" s="46"/>
      <c r="AB166" s="46"/>
      <c r="AC166" s="46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48"/>
      <c r="AS166" s="48"/>
      <c r="AT166" s="48"/>
      <c r="AU166" s="48"/>
      <c r="AV166" s="48"/>
    </row>
    <row r="167" spans="1:48">
      <c r="A167" s="78" t="s">
        <v>76</v>
      </c>
      <c r="B167" s="79"/>
      <c r="C167" s="80"/>
      <c r="D167" s="79">
        <f>+'[18]3" W Pine E14'!S17+'[18]3" W Gov E14'!S41</f>
        <v>49.999999999999972</v>
      </c>
      <c r="E167" s="74"/>
      <c r="F167" s="26"/>
      <c r="G167" s="26"/>
      <c r="H167" s="81">
        <f>+'[18]3" W Gov E14'!S2</f>
        <v>220.05</v>
      </c>
      <c r="I167" s="75"/>
      <c r="J167" s="29">
        <f>H167*D167</f>
        <v>11002.499999999995</v>
      </c>
      <c r="K167" s="26"/>
      <c r="L167" s="29">
        <f t="shared" ref="L167:L169" si="64">+J167</f>
        <v>11002.499999999995</v>
      </c>
      <c r="M167" s="26"/>
      <c r="N167" s="76">
        <f>D167</f>
        <v>49.999999999999972</v>
      </c>
      <c r="O167" s="31"/>
      <c r="P167" s="76"/>
      <c r="Q167" s="26"/>
      <c r="R167" s="82">
        <f t="shared" ref="R167:R169" si="65">H167*(1+$W$5)</f>
        <v>268.2673425576495</v>
      </c>
      <c r="S167" s="75"/>
      <c r="T167" s="83">
        <f>R167*+D167</f>
        <v>13413.367127882468</v>
      </c>
      <c r="U167" s="75"/>
      <c r="V167" s="75"/>
      <c r="W167" s="201"/>
      <c r="X167" s="45"/>
      <c r="Y167" s="46"/>
      <c r="Z167" s="46"/>
      <c r="AA167" s="46"/>
      <c r="AB167" s="46"/>
      <c r="AC167" s="46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174"/>
      <c r="AS167" s="174"/>
      <c r="AT167" s="174"/>
      <c r="AU167" s="19"/>
      <c r="AV167" s="174"/>
    </row>
    <row r="168" spans="1:48">
      <c r="A168" s="78" t="s">
        <v>77</v>
      </c>
      <c r="B168" s="79"/>
      <c r="C168" s="80"/>
      <c r="D168" s="79"/>
      <c r="E168" s="74"/>
      <c r="F168" s="26">
        <f>+'[18]3" W Gov E14'!V41+'[18]3" W Pine E14'!V17</f>
        <v>447.99999999999994</v>
      </c>
      <c r="G168" s="26"/>
      <c r="H168" s="84">
        <f>+'[18]3" W Gov E14'!S4</f>
        <v>2.79</v>
      </c>
      <c r="I168" s="75"/>
      <c r="J168" s="76">
        <f>H168*F168</f>
        <v>1249.9199999999998</v>
      </c>
      <c r="K168" s="26"/>
      <c r="L168" s="29">
        <f t="shared" si="64"/>
        <v>1249.9199999999998</v>
      </c>
      <c r="M168" s="26"/>
      <c r="N168" s="76"/>
      <c r="O168" s="31"/>
      <c r="P168" s="76">
        <f t="shared" ref="P168:P169" si="66">SUM(F168)</f>
        <v>447.99999999999994</v>
      </c>
      <c r="Q168" s="26"/>
      <c r="R168" s="82">
        <f t="shared" si="65"/>
        <v>3.4013446295652905</v>
      </c>
      <c r="S168" s="75"/>
      <c r="T168" s="83">
        <f>R168*F168</f>
        <v>1523.8023940452499</v>
      </c>
      <c r="U168" s="75"/>
      <c r="V168" s="75"/>
      <c r="W168" s="201"/>
      <c r="X168" s="45"/>
      <c r="Y168" s="46"/>
      <c r="Z168" s="46"/>
      <c r="AA168" s="46"/>
      <c r="AB168" s="46"/>
      <c r="AC168" s="46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174"/>
      <c r="AS168" s="174"/>
      <c r="AT168" s="174"/>
      <c r="AU168" s="19"/>
      <c r="AV168" s="174"/>
    </row>
    <row r="169" spans="1:48">
      <c r="A169" s="78" t="s">
        <v>23</v>
      </c>
      <c r="B169" s="79"/>
      <c r="C169" s="80"/>
      <c r="D169" s="79"/>
      <c r="E169" s="74"/>
      <c r="F169" s="26">
        <f>+'[18]3" W Gov E14'!W41+'[18]3" W Pine E14'!W17</f>
        <v>9959</v>
      </c>
      <c r="G169" s="26"/>
      <c r="H169" s="84">
        <f>+'[18]3" W Gov E14'!S5</f>
        <v>2.5499999999999998</v>
      </c>
      <c r="I169" s="75"/>
      <c r="J169" s="76">
        <f>H169*F169</f>
        <v>25395.449999999997</v>
      </c>
      <c r="K169" s="26"/>
      <c r="L169" s="29">
        <f t="shared" si="64"/>
        <v>25395.449999999997</v>
      </c>
      <c r="M169" s="26"/>
      <c r="N169" s="76"/>
      <c r="O169" s="31"/>
      <c r="P169" s="76">
        <f t="shared" si="66"/>
        <v>9959</v>
      </c>
      <c r="Q169" s="26"/>
      <c r="R169" s="82">
        <f t="shared" si="65"/>
        <v>3.1087558442263403</v>
      </c>
      <c r="S169" s="75"/>
      <c r="T169" s="83">
        <f t="shared" ref="T169" si="67">R169*F169</f>
        <v>30960.099452650124</v>
      </c>
      <c r="U169" s="75"/>
      <c r="V169" s="75"/>
      <c r="W169" s="203"/>
      <c r="X169" s="45"/>
      <c r="Y169" s="46"/>
      <c r="Z169" s="46"/>
      <c r="AA169" s="46"/>
      <c r="AB169" s="46"/>
      <c r="AC169" s="46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174"/>
      <c r="AS169" s="174"/>
      <c r="AT169" s="174"/>
      <c r="AU169" s="19"/>
      <c r="AV169" s="174"/>
    </row>
    <row r="170" spans="1:48" s="97" customFormat="1" ht="12.75" thickBot="1">
      <c r="A170" s="88" t="s">
        <v>81</v>
      </c>
      <c r="B170" s="103">
        <f>SUM(B166:B169)</f>
        <v>11626</v>
      </c>
      <c r="C170" s="90"/>
      <c r="D170" s="103">
        <f>SUM(D166:D169)</f>
        <v>49.999999999999972</v>
      </c>
      <c r="E170" s="90"/>
      <c r="F170" s="103">
        <f>SUM(F166:F169)</f>
        <v>10407</v>
      </c>
      <c r="G170" s="62"/>
      <c r="H170" s="64"/>
      <c r="I170" s="63"/>
      <c r="J170" s="91">
        <f>SUM(J166:J169)</f>
        <v>37647.869999999995</v>
      </c>
      <c r="K170" s="62"/>
      <c r="L170" s="91">
        <f>SUM(L166:L169)</f>
        <v>37647.869999999995</v>
      </c>
      <c r="M170" s="62"/>
      <c r="N170" s="108">
        <f>SUM(N167:N169)</f>
        <v>49.999999999999972</v>
      </c>
      <c r="O170" s="67"/>
      <c r="P170" s="108">
        <f>SUM(P168:P169)</f>
        <v>10407</v>
      </c>
      <c r="Q170" s="62"/>
      <c r="R170" s="32"/>
      <c r="S170" s="90"/>
      <c r="T170" s="91">
        <f>SUM(T166:T169)</f>
        <v>45897.268974577841</v>
      </c>
      <c r="U170" s="90"/>
      <c r="V170" s="90"/>
      <c r="W170" s="206"/>
      <c r="X170" s="93"/>
      <c r="Y170" s="94"/>
      <c r="Z170" s="94"/>
      <c r="AA170" s="94"/>
      <c r="AB170" s="94"/>
      <c r="AC170" s="94"/>
      <c r="AD170" s="94" t="s">
        <v>25</v>
      </c>
      <c r="AE170" s="70"/>
      <c r="AF170" s="63"/>
      <c r="AG170" s="90"/>
      <c r="AH170" s="90"/>
      <c r="AI170" s="90"/>
      <c r="AJ170" s="63"/>
      <c r="AK170" s="208"/>
      <c r="AL170" s="63"/>
      <c r="AM170" s="208"/>
      <c r="AN170" s="63"/>
      <c r="AO170" s="208"/>
      <c r="AP170" s="63"/>
      <c r="AQ170" s="208"/>
      <c r="AR170" s="96"/>
      <c r="AS170" s="96"/>
      <c r="AT170" s="96"/>
      <c r="AU170" s="96"/>
      <c r="AV170" s="96"/>
    </row>
    <row r="171" spans="1:48" ht="12.75" thickTop="1">
      <c r="A171" s="88"/>
      <c r="B171" s="79"/>
      <c r="C171" s="80"/>
      <c r="D171" s="79"/>
      <c r="E171" s="74"/>
      <c r="F171" s="26"/>
      <c r="G171" s="26"/>
      <c r="H171" s="28"/>
      <c r="I171" s="75"/>
      <c r="J171" s="29"/>
      <c r="K171" s="26"/>
      <c r="L171" s="29"/>
      <c r="M171" s="26"/>
      <c r="N171" s="76"/>
      <c r="O171" s="31"/>
      <c r="P171" s="76"/>
      <c r="Q171" s="26"/>
      <c r="R171" s="32"/>
      <c r="S171" s="75"/>
      <c r="T171" s="33"/>
      <c r="U171" s="75"/>
      <c r="V171" s="75"/>
      <c r="W171" s="201"/>
      <c r="X171" s="45"/>
      <c r="Y171" s="46"/>
      <c r="Z171" s="46"/>
      <c r="AA171" s="46"/>
      <c r="AB171" s="46"/>
      <c r="AC171" s="46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174"/>
      <c r="AS171" s="174"/>
      <c r="AT171" s="174"/>
      <c r="AU171" s="19"/>
      <c r="AV171" s="174"/>
    </row>
    <row r="172" spans="1:48" ht="12.75" thickBot="1">
      <c r="A172" s="98" t="s">
        <v>82</v>
      </c>
      <c r="B172" s="79"/>
      <c r="C172" s="80"/>
      <c r="D172" s="79"/>
      <c r="E172" s="74"/>
      <c r="F172" s="26"/>
      <c r="G172" s="26"/>
      <c r="H172" s="28"/>
      <c r="I172" s="75"/>
      <c r="J172" s="29"/>
      <c r="K172" s="26"/>
      <c r="L172" s="99">
        <f>L170/+$D170</f>
        <v>752.95740000000035</v>
      </c>
      <c r="M172" s="26"/>
      <c r="N172" s="76"/>
      <c r="O172" s="31"/>
      <c r="P172" s="76"/>
      <c r="Q172" s="26"/>
      <c r="R172" s="32"/>
      <c r="S172" s="75"/>
      <c r="T172" s="99">
        <f>T170/+$D170</f>
        <v>917.94537949155733</v>
      </c>
      <c r="U172" s="75"/>
      <c r="V172" s="75"/>
      <c r="W172" s="201"/>
      <c r="X172" s="45"/>
      <c r="Y172" s="46"/>
      <c r="Z172" s="46"/>
      <c r="AA172" s="46"/>
      <c r="AB172" s="46"/>
      <c r="AC172" s="46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174"/>
      <c r="AS172" s="174"/>
      <c r="AT172" s="174"/>
      <c r="AU172" s="19"/>
      <c r="AV172" s="174"/>
    </row>
    <row r="173" spans="1:48" ht="12.75" thickTop="1">
      <c r="A173" s="73" t="s">
        <v>83</v>
      </c>
      <c r="B173" s="26">
        <f>+'[18]3" W Ind E14'!I23/1000</f>
        <v>8953</v>
      </c>
      <c r="C173" s="74"/>
      <c r="D173" s="26"/>
      <c r="E173" s="74"/>
      <c r="F173" s="26"/>
      <c r="G173" s="26"/>
      <c r="H173" s="105"/>
      <c r="I173" s="75"/>
      <c r="J173" s="29"/>
      <c r="K173" s="26"/>
      <c r="L173" s="29"/>
      <c r="M173" s="26"/>
      <c r="N173" s="76"/>
      <c r="O173" s="31"/>
      <c r="P173" s="76"/>
      <c r="Q173" s="26"/>
      <c r="R173" s="32"/>
      <c r="S173" s="74"/>
      <c r="T173" s="77"/>
      <c r="U173" s="74"/>
      <c r="V173" s="74"/>
      <c r="W173" s="203"/>
      <c r="X173" s="45"/>
      <c r="Y173" s="46"/>
      <c r="Z173" s="46"/>
      <c r="AA173" s="46"/>
      <c r="AB173" s="46"/>
      <c r="AC173" s="46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48"/>
      <c r="AS173" s="48"/>
      <c r="AT173" s="48"/>
      <c r="AU173" s="48"/>
      <c r="AV173" s="48"/>
    </row>
    <row r="174" spans="1:48">
      <c r="A174" s="78" t="s">
        <v>76</v>
      </c>
      <c r="B174" s="79"/>
      <c r="C174" s="80"/>
      <c r="D174" s="79">
        <f>+'[18]3" W Ind E14'!S27</f>
        <v>12.000000000000002</v>
      </c>
      <c r="E174" s="74"/>
      <c r="F174" s="26"/>
      <c r="G174" s="26"/>
      <c r="H174" s="81">
        <f>+'[18]3" W Ind E14'!S2</f>
        <v>220.05</v>
      </c>
      <c r="I174" s="75"/>
      <c r="J174" s="29">
        <f>H174*D174</f>
        <v>2640.6000000000004</v>
      </c>
      <c r="K174" s="26"/>
      <c r="L174" s="29">
        <f t="shared" ref="L174:L176" si="68">+J174</f>
        <v>2640.6000000000004</v>
      </c>
      <c r="M174" s="26"/>
      <c r="N174" s="76">
        <f>D174</f>
        <v>12.000000000000002</v>
      </c>
      <c r="O174" s="31"/>
      <c r="P174" s="76"/>
      <c r="Q174" s="26"/>
      <c r="R174" s="82">
        <f t="shared" ref="R174:R176" si="69">H174*(1+$W$5)</f>
        <v>268.2673425576495</v>
      </c>
      <c r="S174" s="75"/>
      <c r="T174" s="83">
        <f>R174*+D174</f>
        <v>3219.2081106917944</v>
      </c>
      <c r="U174" s="75"/>
      <c r="V174" s="75"/>
      <c r="W174" s="201"/>
      <c r="X174" s="45"/>
      <c r="Y174" s="46"/>
      <c r="Z174" s="46"/>
      <c r="AA174" s="46"/>
      <c r="AB174" s="46"/>
      <c r="AC174" s="46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174"/>
      <c r="AS174" s="174"/>
      <c r="AT174" s="174"/>
      <c r="AU174" s="19"/>
      <c r="AV174" s="174"/>
    </row>
    <row r="175" spans="1:48">
      <c r="A175" s="78" t="s">
        <v>77</v>
      </c>
      <c r="B175" s="79"/>
      <c r="C175" s="80"/>
      <c r="D175" s="79"/>
      <c r="E175" s="74"/>
      <c r="F175" s="26">
        <f>+'[18]3" W Ind E14'!V27</f>
        <v>383.99999999999994</v>
      </c>
      <c r="G175" s="26"/>
      <c r="H175" s="84">
        <f>+'[18]3" W Ind E14'!S4</f>
        <v>2.79</v>
      </c>
      <c r="I175" s="75"/>
      <c r="J175" s="76">
        <f>H175*F175</f>
        <v>1071.3599999999999</v>
      </c>
      <c r="K175" s="26"/>
      <c r="L175" s="29">
        <f t="shared" si="68"/>
        <v>1071.3599999999999</v>
      </c>
      <c r="M175" s="26"/>
      <c r="N175" s="76"/>
      <c r="O175" s="31"/>
      <c r="P175" s="76">
        <f t="shared" ref="P175:P176" si="70">SUM(F175)</f>
        <v>383.99999999999994</v>
      </c>
      <c r="Q175" s="26"/>
      <c r="R175" s="82">
        <f t="shared" si="69"/>
        <v>3.4013446295652905</v>
      </c>
      <c r="S175" s="75"/>
      <c r="T175" s="83">
        <f>R175*F175</f>
        <v>1306.1163377530713</v>
      </c>
      <c r="U175" s="75"/>
      <c r="V175" s="75"/>
      <c r="W175" s="201"/>
      <c r="X175" s="45"/>
      <c r="Y175" s="46"/>
      <c r="Z175" s="46"/>
      <c r="AA175" s="46"/>
      <c r="AB175" s="46"/>
      <c r="AC175" s="46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174"/>
      <c r="AS175" s="174"/>
      <c r="AT175" s="174"/>
      <c r="AU175" s="19"/>
      <c r="AV175" s="174"/>
    </row>
    <row r="176" spans="1:48">
      <c r="A176" s="78" t="s">
        <v>23</v>
      </c>
      <c r="B176" s="79"/>
      <c r="C176" s="80"/>
      <c r="D176" s="79"/>
      <c r="E176" s="74"/>
      <c r="F176" s="26">
        <f>+'[18]3" W Ind E14'!W27</f>
        <v>7753</v>
      </c>
      <c r="G176" s="26"/>
      <c r="H176" s="84">
        <f>+'[18]3" W Ind E14'!S5</f>
        <v>2.5499999999999998</v>
      </c>
      <c r="I176" s="75"/>
      <c r="J176" s="76">
        <f>H176*F176</f>
        <v>19770.149999999998</v>
      </c>
      <c r="K176" s="26"/>
      <c r="L176" s="29">
        <f t="shared" si="68"/>
        <v>19770.149999999998</v>
      </c>
      <c r="M176" s="26"/>
      <c r="N176" s="76"/>
      <c r="O176" s="31"/>
      <c r="P176" s="76">
        <f t="shared" si="70"/>
        <v>7753</v>
      </c>
      <c r="Q176" s="26"/>
      <c r="R176" s="82">
        <f t="shared" si="69"/>
        <v>3.1087558442263403</v>
      </c>
      <c r="S176" s="75"/>
      <c r="T176" s="83">
        <f t="shared" ref="T176" si="71">R176*F176</f>
        <v>24102.184060286818</v>
      </c>
      <c r="U176" s="75"/>
      <c r="V176" s="75"/>
      <c r="W176" s="203"/>
      <c r="X176" s="45"/>
      <c r="Y176" s="46"/>
      <c r="Z176" s="46"/>
      <c r="AA176" s="46"/>
      <c r="AB176" s="46"/>
      <c r="AC176" s="46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174"/>
      <c r="AS176" s="174"/>
      <c r="AT176" s="174"/>
      <c r="AU176" s="19"/>
      <c r="AV176" s="174"/>
    </row>
    <row r="177" spans="1:48" s="97" customFormat="1" ht="12.75" thickBot="1">
      <c r="A177" s="88" t="s">
        <v>84</v>
      </c>
      <c r="B177" s="103">
        <f>SUM(B173:B176)</f>
        <v>8953</v>
      </c>
      <c r="C177" s="90"/>
      <c r="D177" s="103">
        <f>SUM(D173:D176)</f>
        <v>12.000000000000002</v>
      </c>
      <c r="E177" s="90"/>
      <c r="F177" s="103">
        <f>SUM(F173:F176)</f>
        <v>8137</v>
      </c>
      <c r="G177" s="62"/>
      <c r="H177" s="64"/>
      <c r="I177" s="63"/>
      <c r="J177" s="91">
        <f>SUM(J173:J176)</f>
        <v>23482.109999999997</v>
      </c>
      <c r="K177" s="62"/>
      <c r="L177" s="91">
        <f>SUM(L173:L176)</f>
        <v>23482.109999999997</v>
      </c>
      <c r="M177" s="62"/>
      <c r="N177" s="108">
        <f>SUM(N174:N176)</f>
        <v>12.000000000000002</v>
      </c>
      <c r="O177" s="67"/>
      <c r="P177" s="108">
        <f>SUM(P175:P176)</f>
        <v>8137</v>
      </c>
      <c r="Q177" s="62"/>
      <c r="R177" s="32"/>
      <c r="S177" s="90"/>
      <c r="T177" s="91">
        <f>SUM(T173:T176)</f>
        <v>28627.508508731684</v>
      </c>
      <c r="U177" s="90"/>
      <c r="V177" s="90"/>
      <c r="W177" s="206"/>
      <c r="X177" s="93"/>
      <c r="Y177" s="94"/>
      <c r="Z177" s="94"/>
      <c r="AA177" s="94"/>
      <c r="AB177" s="94"/>
      <c r="AC177" s="94"/>
      <c r="AD177" s="94" t="s">
        <v>25</v>
      </c>
      <c r="AE177" s="70"/>
      <c r="AF177" s="63"/>
      <c r="AG177" s="90"/>
      <c r="AH177" s="90"/>
      <c r="AI177" s="90"/>
      <c r="AJ177" s="63"/>
      <c r="AK177" s="208"/>
      <c r="AL177" s="63"/>
      <c r="AM177" s="208"/>
      <c r="AN177" s="63"/>
      <c r="AO177" s="208"/>
      <c r="AP177" s="63"/>
      <c r="AQ177" s="208"/>
      <c r="AR177" s="96"/>
      <c r="AS177" s="96"/>
      <c r="AT177" s="96"/>
      <c r="AU177" s="96"/>
      <c r="AV177" s="96"/>
    </row>
    <row r="178" spans="1:48" ht="12.75" thickTop="1">
      <c r="A178" s="88"/>
      <c r="B178" s="79"/>
      <c r="C178" s="80"/>
      <c r="D178" s="79"/>
      <c r="E178" s="74"/>
      <c r="F178" s="26"/>
      <c r="G178" s="26"/>
      <c r="H178" s="28"/>
      <c r="I178" s="75"/>
      <c r="J178" s="29"/>
      <c r="K178" s="26"/>
      <c r="L178" s="29"/>
      <c r="M178" s="26"/>
      <c r="N178" s="76"/>
      <c r="O178" s="31"/>
      <c r="P178" s="76"/>
      <c r="Q178" s="26"/>
      <c r="R178" s="32"/>
      <c r="S178" s="75"/>
      <c r="T178" s="33"/>
      <c r="U178" s="75"/>
      <c r="V178" s="75"/>
      <c r="W178" s="201"/>
      <c r="X178" s="45"/>
      <c r="Y178" s="46"/>
      <c r="Z178" s="46"/>
      <c r="AA178" s="46"/>
      <c r="AB178" s="46"/>
      <c r="AC178" s="46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174"/>
      <c r="AS178" s="174"/>
      <c r="AT178" s="174"/>
      <c r="AU178" s="19"/>
      <c r="AV178" s="174"/>
    </row>
    <row r="179" spans="1:48" ht="12.75" thickBot="1">
      <c r="A179" s="98" t="s">
        <v>85</v>
      </c>
      <c r="B179" s="79"/>
      <c r="C179" s="80"/>
      <c r="D179" s="79"/>
      <c r="E179" s="74"/>
      <c r="F179" s="26"/>
      <c r="G179" s="26"/>
      <c r="H179" s="28"/>
      <c r="I179" s="75"/>
      <c r="J179" s="29"/>
      <c r="K179" s="26"/>
      <c r="L179" s="99">
        <f>L177/+$D177</f>
        <v>1956.8424999999995</v>
      </c>
      <c r="M179" s="26"/>
      <c r="N179" s="76"/>
      <c r="O179" s="31"/>
      <c r="P179" s="76"/>
      <c r="Q179" s="26"/>
      <c r="R179" s="32"/>
      <c r="S179" s="75"/>
      <c r="T179" s="99">
        <f>T177/+$D177</f>
        <v>2385.6257090609733</v>
      </c>
      <c r="U179" s="75"/>
      <c r="V179" s="75"/>
      <c r="W179" s="201"/>
      <c r="X179" s="45"/>
      <c r="Y179" s="46"/>
      <c r="Z179" s="46"/>
      <c r="AA179" s="46"/>
      <c r="AB179" s="46"/>
      <c r="AC179" s="46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174"/>
      <c r="AS179" s="174"/>
      <c r="AT179" s="174"/>
      <c r="AU179" s="19"/>
      <c r="AV179" s="174"/>
    </row>
    <row r="180" spans="1:48" ht="12.75" thickTop="1">
      <c r="A180" s="73" t="s">
        <v>86</v>
      </c>
      <c r="B180" s="26">
        <f>+'[18]4" W C E14'!I22/1000</f>
        <v>1930</v>
      </c>
      <c r="C180" s="74"/>
      <c r="D180" s="26"/>
      <c r="E180" s="74"/>
      <c r="F180" s="26"/>
      <c r="G180" s="26"/>
      <c r="H180" s="105"/>
      <c r="I180" s="75"/>
      <c r="J180" s="29"/>
      <c r="K180" s="26"/>
      <c r="L180" s="29"/>
      <c r="M180" s="26"/>
      <c r="N180" s="76"/>
      <c r="O180" s="31"/>
      <c r="P180" s="76"/>
      <c r="Q180" s="26"/>
      <c r="R180" s="32"/>
      <c r="S180" s="74"/>
      <c r="T180" s="77"/>
      <c r="U180" s="74"/>
      <c r="V180" s="74"/>
      <c r="W180" s="203"/>
      <c r="X180" s="45"/>
      <c r="Y180" s="46"/>
      <c r="Z180" s="46"/>
      <c r="AA180" s="46"/>
      <c r="AB180" s="46"/>
      <c r="AC180" s="46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48"/>
      <c r="AS180" s="48"/>
      <c r="AT180" s="48"/>
      <c r="AU180" s="48"/>
      <c r="AV180" s="48"/>
    </row>
    <row r="181" spans="1:48">
      <c r="A181" s="78" t="s">
        <v>87</v>
      </c>
      <c r="B181" s="79"/>
      <c r="C181" s="80"/>
      <c r="D181" s="79">
        <f>+'[18]4" W C E14'!S26</f>
        <v>12</v>
      </c>
      <c r="E181" s="74"/>
      <c r="F181" s="26"/>
      <c r="G181" s="26"/>
      <c r="H181" s="81">
        <f>+'[18]4" W C E14'!S2</f>
        <v>378.43</v>
      </c>
      <c r="I181" s="75"/>
      <c r="J181" s="29">
        <f>H181*D181</f>
        <v>4541.16</v>
      </c>
      <c r="K181" s="26"/>
      <c r="L181" s="29">
        <f t="shared" ref="L181:L182" si="72">+J181</f>
        <v>4541.16</v>
      </c>
      <c r="M181" s="26"/>
      <c r="N181" s="76">
        <f>D181</f>
        <v>12</v>
      </c>
      <c r="O181" s="31"/>
      <c r="P181" s="76"/>
      <c r="Q181" s="26"/>
      <c r="R181" s="82">
        <f t="shared" ref="R181:R182" si="73">H181*(1+$W$5)</f>
        <v>461.35155848257807</v>
      </c>
      <c r="S181" s="75"/>
      <c r="T181" s="83">
        <f>R181*+D181</f>
        <v>5536.2187017909364</v>
      </c>
      <c r="U181" s="75"/>
      <c r="V181" s="75"/>
      <c r="W181" s="201"/>
      <c r="X181" s="45"/>
      <c r="Y181" s="46"/>
      <c r="Z181" s="46"/>
      <c r="AA181" s="46"/>
      <c r="AB181" s="46"/>
      <c r="AC181" s="46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174"/>
      <c r="AS181" s="174"/>
      <c r="AT181" s="174"/>
      <c r="AU181" s="19"/>
      <c r="AV181" s="174"/>
    </row>
    <row r="182" spans="1:48">
      <c r="A182" s="78" t="s">
        <v>88</v>
      </c>
      <c r="B182" s="79"/>
      <c r="C182" s="80"/>
      <c r="D182" s="79"/>
      <c r="E182" s="74"/>
      <c r="F182" s="26">
        <f>+'[18]4" W C E14'!V26</f>
        <v>438</v>
      </c>
      <c r="G182" s="26"/>
      <c r="H182" s="84">
        <f>+'[18]4" W C E14'!S4</f>
        <v>2.5499999999999998</v>
      </c>
      <c r="I182" s="75"/>
      <c r="J182" s="76">
        <f>H182*F182</f>
        <v>1116.8999999999999</v>
      </c>
      <c r="K182" s="26"/>
      <c r="L182" s="29">
        <f t="shared" si="72"/>
        <v>1116.8999999999999</v>
      </c>
      <c r="M182" s="26"/>
      <c r="N182" s="76"/>
      <c r="O182" s="31"/>
      <c r="P182" s="76">
        <f t="shared" ref="P182" si="74">SUM(F182)</f>
        <v>438</v>
      </c>
      <c r="Q182" s="26"/>
      <c r="R182" s="82">
        <f t="shared" si="73"/>
        <v>3.1087558442263403</v>
      </c>
      <c r="S182" s="75"/>
      <c r="T182" s="83">
        <f>R182*F182</f>
        <v>1361.6350597711371</v>
      </c>
      <c r="U182" s="75"/>
      <c r="V182" s="75"/>
      <c r="W182" s="201"/>
      <c r="X182" s="45"/>
      <c r="Y182" s="46"/>
      <c r="Z182" s="46"/>
      <c r="AA182" s="46"/>
      <c r="AB182" s="46"/>
      <c r="AC182" s="46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174"/>
      <c r="AS182" s="174"/>
      <c r="AT182" s="174"/>
      <c r="AU182" s="19"/>
      <c r="AV182" s="174"/>
    </row>
    <row r="183" spans="1:48" s="97" customFormat="1" ht="12.75" thickBot="1">
      <c r="A183" s="88" t="s">
        <v>89</v>
      </c>
      <c r="B183" s="103">
        <f>SUM(B180:B182)</f>
        <v>1930</v>
      </c>
      <c r="C183" s="90"/>
      <c r="D183" s="103">
        <f>SUM(D180:D182)</f>
        <v>12</v>
      </c>
      <c r="E183" s="90"/>
      <c r="F183" s="103">
        <f>SUM(F180:F182)</f>
        <v>438</v>
      </c>
      <c r="G183" s="62"/>
      <c r="H183" s="64"/>
      <c r="I183" s="63"/>
      <c r="J183" s="91">
        <f>SUM(J180:J182)</f>
        <v>5658.0599999999995</v>
      </c>
      <c r="K183" s="62"/>
      <c r="L183" s="91">
        <f>SUM(L180:L182)</f>
        <v>5658.0599999999995</v>
      </c>
      <c r="M183" s="62"/>
      <c r="N183" s="107">
        <f>SUM(N181:N182)</f>
        <v>12</v>
      </c>
      <c r="O183" s="31"/>
      <c r="P183" s="107">
        <f>SUM(P182)</f>
        <v>438</v>
      </c>
      <c r="Q183" s="62"/>
      <c r="R183" s="32"/>
      <c r="S183" s="90"/>
      <c r="T183" s="91">
        <f>SUM(T180:T182)</f>
        <v>6897.8537615620735</v>
      </c>
      <c r="U183" s="90"/>
      <c r="V183" s="90"/>
      <c r="W183" s="206"/>
      <c r="X183" s="93"/>
      <c r="Y183" s="94"/>
      <c r="Z183" s="94"/>
      <c r="AA183" s="94"/>
      <c r="AB183" s="94"/>
      <c r="AC183" s="94"/>
      <c r="AD183" s="94" t="s">
        <v>25</v>
      </c>
      <c r="AE183" s="70"/>
      <c r="AF183" s="63"/>
      <c r="AG183" s="90"/>
      <c r="AH183" s="90"/>
      <c r="AI183" s="90"/>
      <c r="AJ183" s="63"/>
      <c r="AK183" s="208"/>
      <c r="AL183" s="63"/>
      <c r="AM183" s="208"/>
      <c r="AN183" s="63"/>
      <c r="AO183" s="208"/>
      <c r="AP183" s="63"/>
      <c r="AQ183" s="208"/>
      <c r="AR183" s="96"/>
      <c r="AS183" s="96"/>
      <c r="AT183" s="96"/>
      <c r="AU183" s="96"/>
      <c r="AV183" s="96"/>
    </row>
    <row r="184" spans="1:48" ht="12.75" thickTop="1">
      <c r="A184" s="88"/>
      <c r="B184" s="79"/>
      <c r="C184" s="80"/>
      <c r="D184" s="79"/>
      <c r="E184" s="74"/>
      <c r="F184" s="26"/>
      <c r="G184" s="26"/>
      <c r="H184" s="28"/>
      <c r="I184" s="75"/>
      <c r="J184" s="29"/>
      <c r="K184" s="26"/>
      <c r="L184" s="29"/>
      <c r="M184" s="26"/>
      <c r="N184" s="76"/>
      <c r="O184" s="31"/>
      <c r="P184" s="76"/>
      <c r="Q184" s="26"/>
      <c r="R184" s="32"/>
      <c r="S184" s="75"/>
      <c r="T184" s="33"/>
      <c r="U184" s="75"/>
      <c r="V184" s="75"/>
      <c r="W184" s="201"/>
      <c r="X184" s="45"/>
      <c r="Y184" s="46"/>
      <c r="Z184" s="46"/>
      <c r="AA184" s="46"/>
      <c r="AB184" s="46"/>
      <c r="AC184" s="46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174"/>
      <c r="AS184" s="174"/>
      <c r="AT184" s="174"/>
      <c r="AU184" s="19"/>
      <c r="AV184" s="174"/>
    </row>
    <row r="185" spans="1:48" ht="12.75" thickBot="1">
      <c r="A185" s="98" t="s">
        <v>90</v>
      </c>
      <c r="B185" s="79"/>
      <c r="C185" s="80"/>
      <c r="D185" s="79"/>
      <c r="E185" s="74"/>
      <c r="F185" s="26"/>
      <c r="G185" s="26"/>
      <c r="H185" s="28"/>
      <c r="I185" s="75"/>
      <c r="J185" s="29"/>
      <c r="K185" s="26"/>
      <c r="L185" s="99">
        <f>L183/+$D183</f>
        <v>471.50499999999994</v>
      </c>
      <c r="M185" s="26"/>
      <c r="N185" s="76"/>
      <c r="O185" s="31"/>
      <c r="P185" s="76"/>
      <c r="Q185" s="26"/>
      <c r="R185" s="32"/>
      <c r="S185" s="75"/>
      <c r="T185" s="99">
        <f>T183/+$D183</f>
        <v>574.82114679683946</v>
      </c>
      <c r="U185" s="75"/>
      <c r="V185" s="75"/>
      <c r="W185" s="201"/>
      <c r="X185" s="45"/>
      <c r="Y185" s="46"/>
      <c r="Z185" s="46"/>
      <c r="AA185" s="46"/>
      <c r="AB185" s="46"/>
      <c r="AC185" s="46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174"/>
      <c r="AS185" s="174"/>
      <c r="AT185" s="174"/>
      <c r="AU185" s="19"/>
      <c r="AV185" s="174"/>
    </row>
    <row r="186" spans="1:48" ht="12.75" thickTop="1">
      <c r="A186" s="73" t="s">
        <v>91</v>
      </c>
      <c r="B186" s="26">
        <f>+'[18]4" W Gov E14'!I20/1000</f>
        <v>373</v>
      </c>
      <c r="C186" s="74"/>
      <c r="D186" s="26"/>
      <c r="E186" s="74"/>
      <c r="F186" s="26"/>
      <c r="G186" s="26"/>
      <c r="H186" s="105"/>
      <c r="I186" s="75"/>
      <c r="J186" s="29"/>
      <c r="K186" s="26"/>
      <c r="L186" s="29"/>
      <c r="M186" s="26"/>
      <c r="N186" s="76"/>
      <c r="O186" s="31"/>
      <c r="P186" s="76"/>
      <c r="Q186" s="26"/>
      <c r="R186" s="32"/>
      <c r="S186" s="74"/>
      <c r="T186" s="77"/>
      <c r="U186" s="74"/>
      <c r="V186" s="74"/>
      <c r="W186" s="203"/>
      <c r="X186" s="45"/>
      <c r="Y186" s="46"/>
      <c r="Z186" s="46"/>
      <c r="AA186" s="46"/>
      <c r="AB186" s="46"/>
      <c r="AC186" s="46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48"/>
      <c r="AS186" s="48"/>
      <c r="AT186" s="48"/>
      <c r="AU186" s="48"/>
      <c r="AV186" s="48"/>
    </row>
    <row r="187" spans="1:48">
      <c r="A187" s="78" t="s">
        <v>87</v>
      </c>
      <c r="B187" s="79"/>
      <c r="C187" s="80"/>
      <c r="D187" s="79">
        <f>+'[18]4" W Gov E14'!S24</f>
        <v>12</v>
      </c>
      <c r="E187" s="74"/>
      <c r="F187" s="26"/>
      <c r="G187" s="26"/>
      <c r="H187" s="81">
        <f>+'[18]4" W Gov E14'!S2</f>
        <v>378.43</v>
      </c>
      <c r="I187" s="75"/>
      <c r="J187" s="29">
        <f>H187*D187</f>
        <v>4541.16</v>
      </c>
      <c r="K187" s="26"/>
      <c r="L187" s="29">
        <f t="shared" ref="L187:L188" si="75">+J187</f>
        <v>4541.16</v>
      </c>
      <c r="M187" s="26"/>
      <c r="N187" s="76">
        <f>D187</f>
        <v>12</v>
      </c>
      <c r="O187" s="31"/>
      <c r="P187" s="76"/>
      <c r="Q187" s="26"/>
      <c r="R187" s="82">
        <f t="shared" ref="R187:R188" si="76">H187*(1+$W$5)</f>
        <v>461.35155848257807</v>
      </c>
      <c r="S187" s="75"/>
      <c r="T187" s="83">
        <f>R187*+D187</f>
        <v>5536.2187017909364</v>
      </c>
      <c r="U187" s="75"/>
      <c r="V187" s="75"/>
      <c r="W187" s="201"/>
      <c r="X187" s="45"/>
      <c r="Y187" s="46"/>
      <c r="Z187" s="46"/>
      <c r="AA187" s="46"/>
      <c r="AB187" s="46"/>
      <c r="AC187" s="46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174"/>
      <c r="AS187" s="174"/>
      <c r="AT187" s="174"/>
      <c r="AU187" s="19"/>
      <c r="AV187" s="174"/>
    </row>
    <row r="188" spans="1:48">
      <c r="A188" s="78" t="s">
        <v>88</v>
      </c>
      <c r="B188" s="79"/>
      <c r="C188" s="80"/>
      <c r="D188" s="79"/>
      <c r="E188" s="74"/>
      <c r="F188" s="26">
        <v>0</v>
      </c>
      <c r="G188" s="26"/>
      <c r="H188" s="84">
        <f>+'[18]4" W Gov E14'!S4</f>
        <v>2.5499999999999998</v>
      </c>
      <c r="I188" s="75"/>
      <c r="J188" s="76">
        <f>H188*F188</f>
        <v>0</v>
      </c>
      <c r="K188" s="26"/>
      <c r="L188" s="29">
        <f t="shared" si="75"/>
        <v>0</v>
      </c>
      <c r="M188" s="26"/>
      <c r="N188" s="76"/>
      <c r="O188" s="31"/>
      <c r="P188" s="76">
        <f t="shared" ref="P188" si="77">SUM(F188)</f>
        <v>0</v>
      </c>
      <c r="Q188" s="26"/>
      <c r="R188" s="82">
        <f t="shared" si="76"/>
        <v>3.1087558442263403</v>
      </c>
      <c r="S188" s="75"/>
      <c r="T188" s="83">
        <f>R188*F188</f>
        <v>0</v>
      </c>
      <c r="U188" s="75"/>
      <c r="V188" s="75"/>
      <c r="W188" s="201"/>
      <c r="X188" s="45"/>
      <c r="Y188" s="46"/>
      <c r="Z188" s="46"/>
      <c r="AA188" s="46"/>
      <c r="AB188" s="46"/>
      <c r="AC188" s="46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174"/>
      <c r="AS188" s="174"/>
      <c r="AT188" s="174"/>
      <c r="AU188" s="19"/>
      <c r="AV188" s="174"/>
    </row>
    <row r="189" spans="1:48" s="97" customFormat="1" ht="12.75" thickBot="1">
      <c r="A189" s="88" t="s">
        <v>92</v>
      </c>
      <c r="B189" s="103">
        <f>SUM(B186:B188)</f>
        <v>373</v>
      </c>
      <c r="C189" s="90"/>
      <c r="D189" s="103">
        <f>SUM(D186:D188)</f>
        <v>12</v>
      </c>
      <c r="E189" s="90"/>
      <c r="F189" s="103">
        <f>SUM(F186:F188)</f>
        <v>0</v>
      </c>
      <c r="G189" s="62"/>
      <c r="H189" s="64"/>
      <c r="I189" s="63"/>
      <c r="J189" s="91">
        <f>SUM(J186:J188)</f>
        <v>4541.16</v>
      </c>
      <c r="K189" s="62"/>
      <c r="L189" s="91">
        <f>SUM(L186:L188)</f>
        <v>4541.16</v>
      </c>
      <c r="M189" s="62"/>
      <c r="N189" s="108">
        <f>SUM(N187:N188)</f>
        <v>12</v>
      </c>
      <c r="O189" s="67"/>
      <c r="P189" s="108">
        <f>SUM(P188)</f>
        <v>0</v>
      </c>
      <c r="Q189" s="62"/>
      <c r="R189" s="32"/>
      <c r="S189" s="90"/>
      <c r="T189" s="91">
        <f>SUM(T186:T188)</f>
        <v>5536.2187017909364</v>
      </c>
      <c r="U189" s="90"/>
      <c r="V189" s="90"/>
      <c r="W189" s="206"/>
      <c r="X189" s="93"/>
      <c r="Y189" s="94"/>
      <c r="Z189" s="94"/>
      <c r="AA189" s="94"/>
      <c r="AB189" s="94"/>
      <c r="AC189" s="94"/>
      <c r="AD189" s="94" t="s">
        <v>25</v>
      </c>
      <c r="AE189" s="70"/>
      <c r="AF189" s="63"/>
      <c r="AG189" s="90"/>
      <c r="AH189" s="90"/>
      <c r="AI189" s="90"/>
      <c r="AJ189" s="63"/>
      <c r="AK189" s="208"/>
      <c r="AL189" s="63"/>
      <c r="AM189" s="208"/>
      <c r="AN189" s="63"/>
      <c r="AO189" s="208"/>
      <c r="AP189" s="63"/>
      <c r="AQ189" s="208"/>
      <c r="AR189" s="96"/>
      <c r="AS189" s="96"/>
      <c r="AT189" s="96"/>
      <c r="AU189" s="96"/>
      <c r="AV189" s="96"/>
    </row>
    <row r="190" spans="1:48" ht="12.75" thickTop="1">
      <c r="A190" s="88"/>
      <c r="B190" s="79"/>
      <c r="C190" s="80"/>
      <c r="D190" s="79"/>
      <c r="E190" s="74"/>
      <c r="F190" s="26"/>
      <c r="G190" s="26"/>
      <c r="H190" s="28"/>
      <c r="I190" s="75"/>
      <c r="J190" s="29"/>
      <c r="K190" s="26"/>
      <c r="L190" s="29"/>
      <c r="M190" s="26"/>
      <c r="N190" s="76"/>
      <c r="O190" s="31"/>
      <c r="P190" s="76"/>
      <c r="Q190" s="26"/>
      <c r="R190" s="32"/>
      <c r="S190" s="75"/>
      <c r="T190" s="33"/>
      <c r="U190" s="75"/>
      <c r="V190" s="75"/>
      <c r="W190" s="201"/>
      <c r="X190" s="45"/>
      <c r="Y190" s="46"/>
      <c r="Z190" s="46"/>
      <c r="AA190" s="46"/>
      <c r="AB190" s="46"/>
      <c r="AC190" s="46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174"/>
      <c r="AS190" s="174"/>
      <c r="AT190" s="174"/>
      <c r="AU190" s="19"/>
      <c r="AV190" s="174"/>
    </row>
    <row r="191" spans="1:48" ht="12.75" thickBot="1">
      <c r="A191" s="98" t="s">
        <v>93</v>
      </c>
      <c r="B191" s="79"/>
      <c r="C191" s="80"/>
      <c r="D191" s="79"/>
      <c r="E191" s="74"/>
      <c r="F191" s="26"/>
      <c r="G191" s="26"/>
      <c r="H191" s="28"/>
      <c r="I191" s="75"/>
      <c r="J191" s="29"/>
      <c r="K191" s="26"/>
      <c r="L191" s="99">
        <f>L189/+$D189</f>
        <v>378.43</v>
      </c>
      <c r="M191" s="26"/>
      <c r="N191" s="76"/>
      <c r="O191" s="31"/>
      <c r="P191" s="76"/>
      <c r="Q191" s="26"/>
      <c r="R191" s="32"/>
      <c r="S191" s="75"/>
      <c r="T191" s="99">
        <f>T189/+$D189</f>
        <v>461.35155848257801</v>
      </c>
      <c r="U191" s="75"/>
      <c r="V191" s="75"/>
      <c r="W191" s="201"/>
      <c r="X191" s="45"/>
      <c r="Y191" s="46"/>
      <c r="Z191" s="46"/>
      <c r="AA191" s="46"/>
      <c r="AB191" s="46"/>
      <c r="AC191" s="46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174"/>
      <c r="AS191" s="174"/>
      <c r="AT191" s="174"/>
      <c r="AU191" s="19"/>
      <c r="AV191" s="174"/>
    </row>
    <row r="192" spans="1:48" ht="12.75" thickTop="1">
      <c r="A192" s="73" t="s">
        <v>94</v>
      </c>
      <c r="B192" s="26">
        <f>+'[18]4" W Ind E14'!I23/1000</f>
        <v>1258</v>
      </c>
      <c r="C192" s="74"/>
      <c r="D192" s="26"/>
      <c r="E192" s="74"/>
      <c r="F192" s="26"/>
      <c r="G192" s="26"/>
      <c r="H192" s="105"/>
      <c r="I192" s="75"/>
      <c r="J192" s="29"/>
      <c r="K192" s="26"/>
      <c r="L192" s="29"/>
      <c r="M192" s="26"/>
      <c r="N192" s="76"/>
      <c r="O192" s="31"/>
      <c r="P192" s="76"/>
      <c r="Q192" s="26"/>
      <c r="R192" s="32"/>
      <c r="S192" s="74"/>
      <c r="T192" s="77"/>
      <c r="U192" s="74"/>
      <c r="V192" s="74"/>
      <c r="W192" s="203"/>
      <c r="X192" s="45"/>
      <c r="Y192" s="46"/>
      <c r="Z192" s="46"/>
      <c r="AA192" s="46"/>
      <c r="AB192" s="46"/>
      <c r="AC192" s="46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48"/>
      <c r="AS192" s="48"/>
      <c r="AT192" s="48"/>
      <c r="AU192" s="48"/>
      <c r="AV192" s="48"/>
    </row>
    <row r="193" spans="1:48">
      <c r="A193" s="78" t="s">
        <v>87</v>
      </c>
      <c r="B193" s="79"/>
      <c r="C193" s="80"/>
      <c r="D193" s="79">
        <f>+'[18]4" W Ind E14'!S27</f>
        <v>12</v>
      </c>
      <c r="E193" s="74"/>
      <c r="F193" s="26"/>
      <c r="G193" s="26"/>
      <c r="H193" s="81">
        <f>+'[18]4" W Ind E14'!S2</f>
        <v>378.43</v>
      </c>
      <c r="I193" s="75"/>
      <c r="J193" s="29">
        <f>H193*D193</f>
        <v>4541.16</v>
      </c>
      <c r="K193" s="26"/>
      <c r="L193" s="29">
        <f t="shared" ref="L193:L194" si="78">+J193</f>
        <v>4541.16</v>
      </c>
      <c r="M193" s="26"/>
      <c r="N193" s="76">
        <f>D193</f>
        <v>12</v>
      </c>
      <c r="O193" s="31"/>
      <c r="P193" s="76"/>
      <c r="Q193" s="26"/>
      <c r="R193" s="82">
        <f t="shared" ref="R193:R194" si="79">H193*(1+$W$5)</f>
        <v>461.35155848257807</v>
      </c>
      <c r="S193" s="75"/>
      <c r="T193" s="83">
        <f>R193*+D193</f>
        <v>5536.2187017909364</v>
      </c>
      <c r="U193" s="75"/>
      <c r="V193" s="75"/>
      <c r="W193" s="201"/>
      <c r="X193" s="45"/>
      <c r="Y193" s="46"/>
      <c r="Z193" s="46"/>
      <c r="AA193" s="46"/>
      <c r="AB193" s="46"/>
      <c r="AC193" s="46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174"/>
      <c r="AS193" s="174"/>
      <c r="AT193" s="174"/>
      <c r="AU193" s="19"/>
      <c r="AV193" s="174"/>
    </row>
    <row r="194" spans="1:48">
      <c r="A194" s="78" t="s">
        <v>88</v>
      </c>
      <c r="B194" s="79"/>
      <c r="C194" s="80"/>
      <c r="D194" s="79"/>
      <c r="E194" s="74"/>
      <c r="F194" s="26">
        <f>+'[18]4" W Ind E14'!V27</f>
        <v>20</v>
      </c>
      <c r="G194" s="26"/>
      <c r="H194" s="84">
        <f>+'[18]4" W Ind E14'!S4</f>
        <v>2.5499999999999998</v>
      </c>
      <c r="I194" s="75"/>
      <c r="J194" s="76">
        <f>H194*F194</f>
        <v>51</v>
      </c>
      <c r="K194" s="26"/>
      <c r="L194" s="29">
        <f t="shared" si="78"/>
        <v>51</v>
      </c>
      <c r="M194" s="26"/>
      <c r="N194" s="76"/>
      <c r="O194" s="31"/>
      <c r="P194" s="76">
        <f t="shared" ref="P194" si="80">SUM(F194)</f>
        <v>20</v>
      </c>
      <c r="Q194" s="26"/>
      <c r="R194" s="82">
        <f t="shared" si="79"/>
        <v>3.1087558442263403</v>
      </c>
      <c r="S194" s="75"/>
      <c r="T194" s="83">
        <f>R194*F194</f>
        <v>62.175116884526808</v>
      </c>
      <c r="U194" s="75"/>
      <c r="V194" s="75"/>
      <c r="W194" s="201"/>
      <c r="X194" s="45"/>
      <c r="Y194" s="46"/>
      <c r="Z194" s="46"/>
      <c r="AA194" s="46"/>
      <c r="AB194" s="46"/>
      <c r="AC194" s="46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174"/>
      <c r="AS194" s="174"/>
      <c r="AT194" s="174"/>
      <c r="AU194" s="19"/>
      <c r="AV194" s="174"/>
    </row>
    <row r="195" spans="1:48" s="97" customFormat="1" ht="12.75" thickBot="1">
      <c r="A195" s="88" t="s">
        <v>95</v>
      </c>
      <c r="B195" s="103">
        <f>SUM(B192:B194)</f>
        <v>1258</v>
      </c>
      <c r="C195" s="90"/>
      <c r="D195" s="103">
        <f>SUM(D192:D194)</f>
        <v>12</v>
      </c>
      <c r="E195" s="90"/>
      <c r="F195" s="103">
        <f>SUM(F192:F194)</f>
        <v>20</v>
      </c>
      <c r="G195" s="62"/>
      <c r="H195" s="64"/>
      <c r="I195" s="63"/>
      <c r="J195" s="91">
        <f>SUM(J192:J194)</f>
        <v>4592.16</v>
      </c>
      <c r="K195" s="62"/>
      <c r="L195" s="91">
        <f>SUM(L192:L194)</f>
        <v>4592.16</v>
      </c>
      <c r="M195" s="62"/>
      <c r="N195" s="108">
        <f>SUM(N193:N194)</f>
        <v>12</v>
      </c>
      <c r="O195" s="67"/>
      <c r="P195" s="108">
        <f>SUM(P194)</f>
        <v>20</v>
      </c>
      <c r="Q195" s="62"/>
      <c r="R195" s="32"/>
      <c r="S195" s="90"/>
      <c r="T195" s="91">
        <f>SUM(T192:T194)</f>
        <v>5598.3938186754631</v>
      </c>
      <c r="U195" s="90"/>
      <c r="V195" s="90"/>
      <c r="W195" s="206"/>
      <c r="X195" s="93"/>
      <c r="Y195" s="94"/>
      <c r="Z195" s="94"/>
      <c r="AA195" s="94"/>
      <c r="AB195" s="94"/>
      <c r="AC195" s="94"/>
      <c r="AD195" s="94" t="s">
        <v>25</v>
      </c>
      <c r="AE195" s="70"/>
      <c r="AF195" s="63"/>
      <c r="AG195" s="90"/>
      <c r="AH195" s="90"/>
      <c r="AI195" s="90"/>
      <c r="AJ195" s="63"/>
      <c r="AK195" s="208"/>
      <c r="AL195" s="63"/>
      <c r="AM195" s="208"/>
      <c r="AN195" s="63"/>
      <c r="AO195" s="208"/>
      <c r="AP195" s="63"/>
      <c r="AQ195" s="208"/>
      <c r="AR195" s="96"/>
      <c r="AS195" s="96"/>
      <c r="AT195" s="96"/>
      <c r="AU195" s="96"/>
      <c r="AV195" s="96"/>
    </row>
    <row r="196" spans="1:48" ht="12.75" thickTop="1">
      <c r="A196" s="88"/>
      <c r="B196" s="79"/>
      <c r="C196" s="80"/>
      <c r="D196" s="79"/>
      <c r="E196" s="74"/>
      <c r="F196" s="26"/>
      <c r="G196" s="26"/>
      <c r="H196" s="28"/>
      <c r="I196" s="75"/>
      <c r="J196" s="29"/>
      <c r="K196" s="26"/>
      <c r="L196" s="29"/>
      <c r="M196" s="26"/>
      <c r="N196" s="76"/>
      <c r="O196" s="31"/>
      <c r="P196" s="76"/>
      <c r="Q196" s="26"/>
      <c r="R196" s="32"/>
      <c r="S196" s="75"/>
      <c r="T196" s="33"/>
      <c r="U196" s="75"/>
      <c r="V196" s="75"/>
      <c r="W196" s="201"/>
      <c r="X196" s="45"/>
      <c r="Y196" s="46"/>
      <c r="Z196" s="46"/>
      <c r="AA196" s="46"/>
      <c r="AB196" s="46"/>
      <c r="AC196" s="46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174"/>
      <c r="AS196" s="174"/>
      <c r="AT196" s="174"/>
      <c r="AU196" s="19"/>
      <c r="AV196" s="174"/>
    </row>
    <row r="197" spans="1:48" ht="12.75" thickBot="1">
      <c r="A197" s="98" t="s">
        <v>96</v>
      </c>
      <c r="B197" s="79"/>
      <c r="C197" s="80"/>
      <c r="D197" s="79"/>
      <c r="E197" s="74"/>
      <c r="F197" s="26"/>
      <c r="G197" s="26"/>
      <c r="H197" s="28"/>
      <c r="I197" s="75"/>
      <c r="J197" s="29"/>
      <c r="K197" s="26"/>
      <c r="L197" s="99">
        <f>L195/+$D195</f>
        <v>382.68</v>
      </c>
      <c r="M197" s="26"/>
      <c r="N197" s="76"/>
      <c r="O197" s="31"/>
      <c r="P197" s="76"/>
      <c r="Q197" s="26"/>
      <c r="R197" s="32"/>
      <c r="S197" s="75"/>
      <c r="T197" s="99">
        <f>T195/+$D195</f>
        <v>466.53281822295526</v>
      </c>
      <c r="U197" s="75"/>
      <c r="V197" s="75"/>
      <c r="W197" s="201"/>
      <c r="X197" s="45"/>
      <c r="Y197" s="46"/>
      <c r="Z197" s="46"/>
      <c r="AA197" s="46"/>
      <c r="AB197" s="46"/>
      <c r="AC197" s="46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174"/>
      <c r="AS197" s="174"/>
      <c r="AT197" s="174"/>
      <c r="AU197" s="19"/>
      <c r="AV197" s="174"/>
    </row>
    <row r="198" spans="1:48" ht="12.75" thickTop="1">
      <c r="A198" s="73" t="s">
        <v>97</v>
      </c>
      <c r="B198" s="26">
        <f>+'[18]6" W C E14'!I30/1000</f>
        <v>1809</v>
      </c>
      <c r="C198" s="74"/>
      <c r="D198" s="26"/>
      <c r="E198" s="74"/>
      <c r="F198" s="26"/>
      <c r="G198" s="26"/>
      <c r="H198" s="105"/>
      <c r="I198" s="75"/>
      <c r="J198" s="29"/>
      <c r="K198" s="26"/>
      <c r="L198" s="29"/>
      <c r="M198" s="26"/>
      <c r="N198" s="76"/>
      <c r="O198" s="31"/>
      <c r="P198" s="76"/>
      <c r="Q198" s="26"/>
      <c r="R198" s="32"/>
      <c r="S198" s="74"/>
      <c r="T198" s="77"/>
      <c r="U198" s="74"/>
      <c r="V198" s="74"/>
      <c r="W198" s="203"/>
      <c r="X198" s="45"/>
      <c r="Y198" s="46"/>
      <c r="Z198" s="46"/>
      <c r="AA198" s="46"/>
      <c r="AB198" s="46"/>
      <c r="AC198" s="46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48"/>
      <c r="AS198" s="48"/>
      <c r="AT198" s="48"/>
      <c r="AU198" s="48"/>
      <c r="AV198" s="48"/>
    </row>
    <row r="199" spans="1:48">
      <c r="A199" s="78" t="s">
        <v>98</v>
      </c>
      <c r="B199" s="79"/>
      <c r="C199" s="80"/>
      <c r="D199" s="79">
        <f>+'[18]6" W C E14'!S34</f>
        <v>24</v>
      </c>
      <c r="E199" s="74"/>
      <c r="F199" s="26"/>
      <c r="G199" s="26"/>
      <c r="H199" s="81">
        <f>+'[18]6" W C E14'!S2</f>
        <v>771.41</v>
      </c>
      <c r="I199" s="75"/>
      <c r="J199" s="29">
        <f>H199*D199</f>
        <v>18513.84</v>
      </c>
      <c r="K199" s="26"/>
      <c r="L199" s="29">
        <f t="shared" ref="L199:L200" si="81">+J199</f>
        <v>18513.84</v>
      </c>
      <c r="M199" s="26"/>
      <c r="N199" s="76">
        <f>D199</f>
        <v>24</v>
      </c>
      <c r="O199" s="31"/>
      <c r="P199" s="76"/>
      <c r="Q199" s="26"/>
      <c r="R199" s="82">
        <f t="shared" ref="R199:R200" si="82">H199*(1+$W$5)</f>
        <v>940.44131207632995</v>
      </c>
      <c r="S199" s="75"/>
      <c r="T199" s="83">
        <f>R199*+D199</f>
        <v>22570.591489831917</v>
      </c>
      <c r="U199" s="75"/>
      <c r="V199" s="75"/>
      <c r="W199" s="201"/>
      <c r="X199" s="45"/>
      <c r="Y199" s="46"/>
      <c r="Z199" s="46"/>
      <c r="AA199" s="46"/>
      <c r="AB199" s="46"/>
      <c r="AC199" s="46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174"/>
      <c r="AS199" s="174"/>
      <c r="AT199" s="174"/>
      <c r="AU199" s="19"/>
      <c r="AV199" s="174"/>
    </row>
    <row r="200" spans="1:48">
      <c r="A200" s="109" t="s">
        <v>99</v>
      </c>
      <c r="B200" s="79"/>
      <c r="C200" s="80"/>
      <c r="D200" s="79"/>
      <c r="E200" s="74"/>
      <c r="F200" s="26">
        <v>0</v>
      </c>
      <c r="G200" s="26"/>
      <c r="H200" s="84">
        <f>+'[18]6" W C E14'!S4</f>
        <v>2.5499999999999998</v>
      </c>
      <c r="I200" s="75"/>
      <c r="J200" s="76">
        <f>H200*F200</f>
        <v>0</v>
      </c>
      <c r="K200" s="26"/>
      <c r="L200" s="29">
        <f t="shared" si="81"/>
        <v>0</v>
      </c>
      <c r="M200" s="26"/>
      <c r="N200" s="76"/>
      <c r="O200" s="31"/>
      <c r="P200" s="76">
        <f t="shared" ref="P200" si="83">SUM(F200)</f>
        <v>0</v>
      </c>
      <c r="Q200" s="26"/>
      <c r="R200" s="82">
        <f t="shared" si="82"/>
        <v>3.1087558442263403</v>
      </c>
      <c r="S200" s="75"/>
      <c r="T200" s="83">
        <f>R200*F200</f>
        <v>0</v>
      </c>
      <c r="U200" s="75"/>
      <c r="V200" s="75"/>
      <c r="W200" s="201"/>
      <c r="X200" s="45"/>
      <c r="Y200" s="46"/>
      <c r="Z200" s="46"/>
      <c r="AA200" s="46"/>
      <c r="AB200" s="46"/>
      <c r="AC200" s="46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174"/>
      <c r="AS200" s="174"/>
      <c r="AT200" s="174"/>
      <c r="AU200" s="19"/>
      <c r="AV200" s="174"/>
    </row>
    <row r="201" spans="1:48" s="97" customFormat="1" ht="12.75" thickBot="1">
      <c r="A201" s="88" t="s">
        <v>100</v>
      </c>
      <c r="B201" s="103">
        <f>SUM(B198:B200)</f>
        <v>1809</v>
      </c>
      <c r="C201" s="90"/>
      <c r="D201" s="103">
        <f>SUM(D198:D200)</f>
        <v>24</v>
      </c>
      <c r="E201" s="90"/>
      <c r="F201" s="103">
        <f>SUM(F198:F200)</f>
        <v>0</v>
      </c>
      <c r="G201" s="62"/>
      <c r="H201" s="64"/>
      <c r="I201" s="63"/>
      <c r="J201" s="91">
        <f>SUM(J198:J200)</f>
        <v>18513.84</v>
      </c>
      <c r="K201" s="62"/>
      <c r="L201" s="91">
        <f>SUM(L198:L200)</f>
        <v>18513.84</v>
      </c>
      <c r="M201" s="62"/>
      <c r="N201" s="108">
        <f>SUM(N199:N200)</f>
        <v>24</v>
      </c>
      <c r="O201" s="67"/>
      <c r="P201" s="108">
        <f>SUM(P200)</f>
        <v>0</v>
      </c>
      <c r="Q201" s="62"/>
      <c r="R201" s="32"/>
      <c r="S201" s="90"/>
      <c r="T201" s="91">
        <f>SUM(T198:T200)</f>
        <v>22570.591489831917</v>
      </c>
      <c r="U201" s="90"/>
      <c r="V201" s="90"/>
      <c r="W201" s="206"/>
      <c r="X201" s="93"/>
      <c r="Y201" s="94"/>
      <c r="Z201" s="94"/>
      <c r="AA201" s="94"/>
      <c r="AB201" s="94"/>
      <c r="AC201" s="94"/>
      <c r="AD201" s="94" t="s">
        <v>25</v>
      </c>
      <c r="AE201" s="70"/>
      <c r="AF201" s="63"/>
      <c r="AG201" s="90"/>
      <c r="AH201" s="90"/>
      <c r="AI201" s="90"/>
      <c r="AJ201" s="63"/>
      <c r="AK201" s="208"/>
      <c r="AL201" s="63"/>
      <c r="AM201" s="208"/>
      <c r="AN201" s="63"/>
      <c r="AO201" s="208"/>
      <c r="AP201" s="63"/>
      <c r="AQ201" s="208"/>
      <c r="AR201" s="96"/>
      <c r="AS201" s="96"/>
      <c r="AT201" s="96"/>
      <c r="AU201" s="96"/>
      <c r="AV201" s="96"/>
    </row>
    <row r="202" spans="1:48" ht="12.75" thickTop="1">
      <c r="A202" s="88"/>
      <c r="B202" s="79"/>
      <c r="C202" s="80"/>
      <c r="D202" s="79"/>
      <c r="E202" s="74"/>
      <c r="F202" s="26"/>
      <c r="G202" s="26"/>
      <c r="H202" s="28"/>
      <c r="I202" s="75"/>
      <c r="J202" s="29"/>
      <c r="K202" s="26"/>
      <c r="L202" s="29"/>
      <c r="M202" s="26"/>
      <c r="N202" s="76"/>
      <c r="O202" s="31"/>
      <c r="P202" s="76"/>
      <c r="Q202" s="26"/>
      <c r="R202" s="32"/>
      <c r="S202" s="75"/>
      <c r="T202" s="33"/>
      <c r="U202" s="75"/>
      <c r="V202" s="75"/>
      <c r="W202" s="201"/>
      <c r="X202" s="45"/>
      <c r="Y202" s="46"/>
      <c r="Z202" s="46"/>
      <c r="AA202" s="46"/>
      <c r="AB202" s="46"/>
      <c r="AC202" s="46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174"/>
      <c r="AS202" s="174"/>
      <c r="AT202" s="174"/>
      <c r="AU202" s="19"/>
      <c r="AV202" s="174"/>
    </row>
    <row r="203" spans="1:48" ht="12.75" thickBot="1">
      <c r="A203" s="98" t="s">
        <v>101</v>
      </c>
      <c r="B203" s="79"/>
      <c r="C203" s="80"/>
      <c r="D203" s="79"/>
      <c r="E203" s="74"/>
      <c r="F203" s="26"/>
      <c r="G203" s="26"/>
      <c r="H203" s="28"/>
      <c r="I203" s="75"/>
      <c r="J203" s="29"/>
      <c r="K203" s="26"/>
      <c r="L203" s="99">
        <f>L201/+$D201</f>
        <v>771.41</v>
      </c>
      <c r="M203" s="26"/>
      <c r="N203" s="76"/>
      <c r="O203" s="31"/>
      <c r="P203" s="76"/>
      <c r="Q203" s="26"/>
      <c r="R203" s="32"/>
      <c r="S203" s="75"/>
      <c r="T203" s="99">
        <f>T201/+$D201</f>
        <v>940.44131207632984</v>
      </c>
      <c r="U203" s="75"/>
      <c r="V203" s="75"/>
      <c r="W203" s="201"/>
      <c r="X203" s="45"/>
      <c r="Y203" s="46"/>
      <c r="Z203" s="46"/>
      <c r="AA203" s="46"/>
      <c r="AB203" s="46"/>
      <c r="AC203" s="46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174"/>
      <c r="AS203" s="174"/>
      <c r="AT203" s="174"/>
      <c r="AU203" s="19"/>
      <c r="AV203" s="174"/>
    </row>
    <row r="204" spans="1:48" ht="12.75" thickTop="1">
      <c r="A204" s="73" t="s">
        <v>102</v>
      </c>
      <c r="B204" s="26">
        <f>+'[18]6" W Ind E14'!I23/1000</f>
        <v>40289</v>
      </c>
      <c r="C204" s="74"/>
      <c r="D204" s="26"/>
      <c r="E204" s="74"/>
      <c r="F204" s="26"/>
      <c r="G204" s="26"/>
      <c r="H204" s="105"/>
      <c r="I204" s="75"/>
      <c r="J204" s="29"/>
      <c r="K204" s="26"/>
      <c r="L204" s="29"/>
      <c r="M204" s="26"/>
      <c r="N204" s="76"/>
      <c r="O204" s="31"/>
      <c r="P204" s="76"/>
      <c r="Q204" s="26"/>
      <c r="R204" s="32"/>
      <c r="S204" s="74"/>
      <c r="T204" s="77"/>
      <c r="U204" s="74"/>
      <c r="V204" s="74"/>
      <c r="W204" s="210"/>
      <c r="X204" s="6"/>
      <c r="Z204" s="46"/>
      <c r="AA204" s="46"/>
      <c r="AB204" s="46"/>
      <c r="AC204" s="46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48"/>
      <c r="AS204" s="48"/>
      <c r="AT204" s="48"/>
      <c r="AU204" s="48"/>
      <c r="AV204" s="48"/>
    </row>
    <row r="205" spans="1:48">
      <c r="A205" s="78" t="s">
        <v>98</v>
      </c>
      <c r="B205" s="79"/>
      <c r="C205" s="80"/>
      <c r="D205" s="79">
        <f>+'[18]6" W Ind E14'!S27</f>
        <v>12</v>
      </c>
      <c r="E205" s="74"/>
      <c r="F205" s="26"/>
      <c r="G205" s="26"/>
      <c r="H205" s="81">
        <f>+'[18]6" W Ind E14'!S2</f>
        <v>771.41</v>
      </c>
      <c r="I205" s="75"/>
      <c r="J205" s="29">
        <f>H205*D205</f>
        <v>9256.92</v>
      </c>
      <c r="K205" s="26"/>
      <c r="L205" s="29">
        <f t="shared" ref="L205:L206" si="84">+J205</f>
        <v>9256.92</v>
      </c>
      <c r="M205" s="26"/>
      <c r="N205" s="76">
        <f>D205</f>
        <v>12</v>
      </c>
      <c r="O205" s="31"/>
      <c r="P205" s="76"/>
      <c r="Q205" s="26"/>
      <c r="R205" s="82">
        <f t="shared" ref="R205:R206" si="85">H205*(1+$W$5)</f>
        <v>940.44131207632995</v>
      </c>
      <c r="S205" s="75"/>
      <c r="T205" s="83">
        <f>R205*+D205</f>
        <v>11285.295744915958</v>
      </c>
      <c r="U205" s="75"/>
      <c r="V205" s="75"/>
      <c r="W205" s="210"/>
      <c r="X205" s="6"/>
      <c r="Z205" s="46"/>
      <c r="AA205" s="46"/>
      <c r="AB205" s="46"/>
      <c r="AC205" s="46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174"/>
      <c r="AS205" s="174"/>
      <c r="AT205" s="174"/>
      <c r="AU205" s="19"/>
      <c r="AV205" s="174"/>
    </row>
    <row r="206" spans="1:48">
      <c r="A206" s="109" t="s">
        <v>99</v>
      </c>
      <c r="B206" s="79"/>
      <c r="C206" s="80"/>
      <c r="D206" s="79"/>
      <c r="E206" s="74"/>
      <c r="F206" s="26">
        <f>+'[18]6" W Ind E14'!V27</f>
        <v>36911.000000000007</v>
      </c>
      <c r="G206" s="26"/>
      <c r="H206" s="84">
        <f>+'[18]6" W Ind E14'!S4</f>
        <v>2.5499999999999998</v>
      </c>
      <c r="I206" s="75"/>
      <c r="J206" s="76">
        <f>H206*F206</f>
        <v>94123.050000000017</v>
      </c>
      <c r="K206" s="26"/>
      <c r="L206" s="29">
        <f t="shared" si="84"/>
        <v>94123.050000000017</v>
      </c>
      <c r="M206" s="26"/>
      <c r="N206" s="76"/>
      <c r="O206" s="31"/>
      <c r="P206" s="76">
        <f t="shared" ref="P206" si="86">SUM(F206)</f>
        <v>36911.000000000007</v>
      </c>
      <c r="Q206" s="26"/>
      <c r="R206" s="82">
        <f t="shared" si="85"/>
        <v>3.1087558442263403</v>
      </c>
      <c r="S206" s="75"/>
      <c r="T206" s="83">
        <f>R206*F206</f>
        <v>114747.28696623848</v>
      </c>
      <c r="U206" s="75"/>
      <c r="V206" s="75"/>
      <c r="W206" s="210"/>
      <c r="X206" s="6"/>
      <c r="Z206" s="46"/>
      <c r="AA206" s="46"/>
      <c r="AB206" s="46"/>
      <c r="AC206" s="46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174"/>
      <c r="AS206" s="174"/>
      <c r="AT206" s="174"/>
      <c r="AU206" s="19"/>
      <c r="AV206" s="174"/>
    </row>
    <row r="207" spans="1:48" s="97" customFormat="1" ht="12.75" thickBot="1">
      <c r="A207" s="88" t="s">
        <v>103</v>
      </c>
      <c r="B207" s="103">
        <f>SUM(B204:B206)</f>
        <v>40289</v>
      </c>
      <c r="C207" s="90"/>
      <c r="D207" s="103">
        <f>SUM(D204:D206)</f>
        <v>12</v>
      </c>
      <c r="E207" s="90"/>
      <c r="F207" s="103">
        <f>SUM(F204:F206)</f>
        <v>36911.000000000007</v>
      </c>
      <c r="G207" s="62"/>
      <c r="H207" s="64"/>
      <c r="I207" s="63"/>
      <c r="J207" s="91">
        <f>SUM(J204:J206)</f>
        <v>103379.97000000002</v>
      </c>
      <c r="K207" s="62"/>
      <c r="L207" s="91">
        <f>SUM(L204:L206)</f>
        <v>103379.97000000002</v>
      </c>
      <c r="M207" s="62"/>
      <c r="N207" s="108">
        <f>SUM(N205:N206)</f>
        <v>12</v>
      </c>
      <c r="O207" s="67"/>
      <c r="P207" s="108">
        <f>SUM(P206)</f>
        <v>36911.000000000007</v>
      </c>
      <c r="Q207" s="62"/>
      <c r="R207" s="32"/>
      <c r="S207" s="90"/>
      <c r="T207" s="91">
        <f>SUM(T204:T206)</f>
        <v>126032.58271115443</v>
      </c>
      <c r="U207" s="90"/>
      <c r="V207" s="90"/>
      <c r="W207" s="207"/>
      <c r="Z207" s="94"/>
      <c r="AA207" s="94"/>
      <c r="AB207" s="94"/>
      <c r="AC207" s="94"/>
      <c r="AD207" s="94" t="s">
        <v>25</v>
      </c>
      <c r="AE207" s="70"/>
      <c r="AF207" s="63"/>
      <c r="AG207" s="90"/>
      <c r="AH207" s="90"/>
      <c r="AI207" s="90"/>
      <c r="AJ207" s="63"/>
      <c r="AK207" s="208"/>
      <c r="AL207" s="63"/>
      <c r="AM207" s="208"/>
      <c r="AN207" s="63"/>
      <c r="AO207" s="208"/>
      <c r="AP207" s="63"/>
      <c r="AQ207" s="208"/>
      <c r="AR207" s="96"/>
      <c r="AS207" s="96"/>
      <c r="AT207" s="96"/>
      <c r="AU207" s="96"/>
      <c r="AV207" s="96"/>
    </row>
    <row r="208" spans="1:48" ht="12.75" thickTop="1">
      <c r="A208" s="88"/>
      <c r="B208" s="79"/>
      <c r="C208" s="80"/>
      <c r="D208" s="79"/>
      <c r="E208" s="74"/>
      <c r="F208" s="26"/>
      <c r="G208" s="26"/>
      <c r="H208" s="28"/>
      <c r="I208" s="75"/>
      <c r="J208" s="29"/>
      <c r="K208" s="26"/>
      <c r="L208" s="29"/>
      <c r="M208" s="26"/>
      <c r="N208" s="76"/>
      <c r="O208" s="31"/>
      <c r="P208" s="76"/>
      <c r="Q208" s="26"/>
      <c r="R208" s="32"/>
      <c r="S208" s="75"/>
      <c r="T208" s="33"/>
      <c r="U208" s="75"/>
      <c r="V208" s="75"/>
      <c r="W208" s="210"/>
      <c r="X208" s="6"/>
      <c r="Z208" s="46"/>
      <c r="AA208" s="46"/>
      <c r="AB208" s="46"/>
      <c r="AC208" s="46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174"/>
      <c r="AS208" s="174"/>
      <c r="AT208" s="174"/>
      <c r="AU208" s="19"/>
      <c r="AV208" s="174"/>
    </row>
    <row r="209" spans="1:48" ht="12" customHeight="1" thickBot="1">
      <c r="A209" s="98" t="s">
        <v>104</v>
      </c>
      <c r="B209" s="79"/>
      <c r="C209" s="80"/>
      <c r="D209" s="79"/>
      <c r="E209" s="74"/>
      <c r="F209" s="26"/>
      <c r="G209" s="26"/>
      <c r="H209" s="28"/>
      <c r="I209" s="75"/>
      <c r="J209" s="29"/>
      <c r="K209" s="26"/>
      <c r="L209" s="99">
        <f>L207/+$D207</f>
        <v>8614.9975000000013</v>
      </c>
      <c r="M209" s="26"/>
      <c r="N209" s="76"/>
      <c r="O209" s="31"/>
      <c r="P209" s="76"/>
      <c r="Q209" s="26"/>
      <c r="R209" s="32"/>
      <c r="S209" s="75"/>
      <c r="T209" s="99">
        <f>T207/+$D207</f>
        <v>10502.715225929536</v>
      </c>
      <c r="U209" s="75"/>
      <c r="V209" s="75"/>
      <c r="W209" s="210"/>
      <c r="X209" s="6"/>
      <c r="Z209" s="46"/>
      <c r="AA209" s="46"/>
      <c r="AB209" s="46"/>
      <c r="AC209" s="46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174"/>
      <c r="AS209" s="174"/>
      <c r="AT209" s="174"/>
      <c r="AU209" s="19"/>
      <c r="AV209" s="174"/>
    </row>
    <row r="210" spans="1:48" ht="12.75" thickTop="1">
      <c r="A210" s="73"/>
      <c r="B210" s="79"/>
      <c r="C210" s="80"/>
      <c r="D210" s="79"/>
      <c r="E210" s="74"/>
      <c r="F210" s="26"/>
      <c r="G210" s="26"/>
      <c r="H210" s="28"/>
      <c r="I210" s="75"/>
      <c r="J210" s="29"/>
      <c r="K210" s="26"/>
      <c r="L210" s="29"/>
      <c r="M210" s="26"/>
      <c r="N210" s="76"/>
      <c r="O210" s="31"/>
      <c r="P210" s="76"/>
      <c r="Q210" s="26"/>
      <c r="R210" s="32"/>
      <c r="S210" s="74"/>
      <c r="T210" s="77"/>
      <c r="U210" s="74"/>
      <c r="V210" s="74"/>
      <c r="W210" s="210"/>
      <c r="X210" s="6"/>
      <c r="Z210" s="46"/>
      <c r="AA210" s="46"/>
      <c r="AB210" s="46"/>
      <c r="AC210" s="46"/>
      <c r="AD210" s="111"/>
      <c r="AE210" s="112"/>
      <c r="AF210" s="19"/>
      <c r="AG210" s="113"/>
      <c r="AH210" s="48"/>
      <c r="AI210" s="48"/>
      <c r="AJ210" s="19"/>
      <c r="AK210" s="174"/>
      <c r="AL210" s="48"/>
      <c r="AM210" s="174"/>
      <c r="AN210" s="48"/>
      <c r="AO210" s="174"/>
      <c r="AP210" s="174"/>
      <c r="AQ210" s="174"/>
      <c r="AR210" s="174"/>
      <c r="AS210" s="174"/>
      <c r="AT210" s="174"/>
      <c r="AU210" s="174"/>
      <c r="AV210" s="174"/>
    </row>
    <row r="211" spans="1:48">
      <c r="A211" s="114" t="s">
        <v>105</v>
      </c>
      <c r="B211" s="79">
        <v>0</v>
      </c>
      <c r="C211" s="80"/>
      <c r="D211" s="79">
        <f>285*12</f>
        <v>3420</v>
      </c>
      <c r="E211" s="74"/>
      <c r="F211" s="26">
        <v>0</v>
      </c>
      <c r="G211" s="26"/>
      <c r="H211" s="115">
        <v>4.43</v>
      </c>
      <c r="I211" s="75"/>
      <c r="J211" s="29">
        <f>H211*D211</f>
        <v>15150.599999999999</v>
      </c>
      <c r="K211" s="26"/>
      <c r="L211" s="29">
        <f t="shared" ref="L211" si="87">+J211</f>
        <v>15150.599999999999</v>
      </c>
      <c r="M211" s="26"/>
      <c r="N211" s="76">
        <f>D211</f>
        <v>3420</v>
      </c>
      <c r="O211" s="31"/>
      <c r="P211" s="76"/>
      <c r="Q211" s="26"/>
      <c r="R211" s="82">
        <f t="shared" ref="R211" si="88">H211*(1+$W$5)</f>
        <v>5.4007013293814463</v>
      </c>
      <c r="S211" s="74"/>
      <c r="T211" s="83">
        <f>R211*+D211</f>
        <v>18470.398546484546</v>
      </c>
      <c r="U211" s="74"/>
      <c r="V211" s="74"/>
      <c r="W211" s="203"/>
      <c r="X211" s="45"/>
      <c r="Y211" s="46"/>
      <c r="Z211" s="46"/>
      <c r="AA211" s="46"/>
      <c r="AB211" s="46"/>
      <c r="AC211" s="46"/>
      <c r="AD211" s="111"/>
      <c r="AE211" s="112"/>
      <c r="AF211" s="19"/>
      <c r="AG211" s="113"/>
      <c r="AH211" s="48"/>
      <c r="AI211" s="48"/>
      <c r="AJ211" s="19"/>
      <c r="AK211" s="174"/>
      <c r="AL211" s="48"/>
      <c r="AM211" s="174"/>
      <c r="AN211" s="48"/>
      <c r="AO211" s="174"/>
      <c r="AP211" s="174"/>
      <c r="AQ211" s="174"/>
      <c r="AR211" s="174"/>
      <c r="AS211" s="174"/>
      <c r="AT211" s="174"/>
      <c r="AU211" s="174"/>
      <c r="AV211" s="174"/>
    </row>
    <row r="212" spans="1:48" ht="12.75" thickBot="1">
      <c r="A212" s="88" t="s">
        <v>106</v>
      </c>
      <c r="B212" s="103">
        <f>SUM(B211)</f>
        <v>0</v>
      </c>
      <c r="C212" s="80"/>
      <c r="D212" s="103">
        <f>SUM(D211)</f>
        <v>3420</v>
      </c>
      <c r="E212" s="74"/>
      <c r="F212" s="103">
        <f>SUM(F211)</f>
        <v>0</v>
      </c>
      <c r="G212" s="26"/>
      <c r="H212" s="28"/>
      <c r="I212" s="75"/>
      <c r="J212" s="91">
        <f>SUM(J211)</f>
        <v>15150.599999999999</v>
      </c>
      <c r="K212" s="26"/>
      <c r="L212" s="91">
        <f>SUM(L211)</f>
        <v>15150.599999999999</v>
      </c>
      <c r="M212" s="26"/>
      <c r="N212" s="108">
        <f>SUM(N211)</f>
        <v>3420</v>
      </c>
      <c r="O212" s="31"/>
      <c r="P212" s="108">
        <v>0</v>
      </c>
      <c r="Q212" s="26"/>
      <c r="R212" s="32"/>
      <c r="S212" s="74"/>
      <c r="T212" s="91">
        <f>SUM(T211)</f>
        <v>18470.398546484546</v>
      </c>
      <c r="U212" s="74"/>
      <c r="V212" s="74"/>
      <c r="W212" s="203"/>
      <c r="X212" s="45"/>
      <c r="Y212" s="46"/>
      <c r="Z212" s="46"/>
      <c r="AA212" s="46"/>
      <c r="AB212" s="46"/>
      <c r="AC212" s="46"/>
      <c r="AD212" s="111"/>
      <c r="AE212" s="112"/>
      <c r="AF212" s="19"/>
      <c r="AG212" s="113"/>
      <c r="AH212" s="48"/>
      <c r="AI212" s="48"/>
      <c r="AJ212" s="19"/>
      <c r="AK212" s="174"/>
      <c r="AL212" s="48"/>
      <c r="AM212" s="174"/>
      <c r="AN212" s="48"/>
      <c r="AO212" s="174"/>
      <c r="AP212" s="174"/>
      <c r="AQ212" s="174"/>
      <c r="AR212" s="174"/>
      <c r="AS212" s="174"/>
      <c r="AT212" s="174"/>
      <c r="AU212" s="174"/>
      <c r="AV212" s="174"/>
    </row>
    <row r="213" spans="1:48" ht="12.75" thickTop="1">
      <c r="A213" s="114"/>
      <c r="B213" s="79"/>
      <c r="C213" s="80"/>
      <c r="D213" s="79"/>
      <c r="E213" s="74"/>
      <c r="F213" s="26"/>
      <c r="G213" s="26"/>
      <c r="H213" s="28"/>
      <c r="I213" s="75"/>
      <c r="J213" s="29"/>
      <c r="K213" s="26"/>
      <c r="L213" s="29"/>
      <c r="M213" s="26"/>
      <c r="N213" s="76"/>
      <c r="O213" s="31"/>
      <c r="P213" s="76"/>
      <c r="Q213" s="26"/>
      <c r="R213" s="32"/>
      <c r="S213" s="74"/>
      <c r="T213" s="77"/>
      <c r="U213" s="74"/>
      <c r="V213" s="74"/>
      <c r="W213" s="203"/>
      <c r="X213" s="45"/>
      <c r="Y213" s="46"/>
      <c r="Z213" s="46"/>
      <c r="AA213" s="46"/>
      <c r="AB213" s="46"/>
      <c r="AC213" s="46"/>
      <c r="AD213" s="111"/>
      <c r="AE213" s="112"/>
      <c r="AF213" s="19"/>
      <c r="AG213" s="113"/>
      <c r="AH213" s="48"/>
      <c r="AI213" s="48"/>
      <c r="AJ213" s="19"/>
      <c r="AK213" s="174"/>
      <c r="AL213" s="48"/>
      <c r="AM213" s="174"/>
      <c r="AN213" s="48"/>
      <c r="AO213" s="174"/>
      <c r="AP213" s="174"/>
      <c r="AQ213" s="174"/>
      <c r="AR213" s="174"/>
      <c r="AS213" s="174"/>
      <c r="AT213" s="174"/>
      <c r="AU213" s="174"/>
      <c r="AV213" s="174"/>
    </row>
    <row r="214" spans="1:48" ht="12.75" thickBot="1">
      <c r="A214" s="98" t="s">
        <v>107</v>
      </c>
      <c r="B214" s="79"/>
      <c r="C214" s="80"/>
      <c r="D214" s="79"/>
      <c r="E214" s="74"/>
      <c r="F214" s="26"/>
      <c r="G214" s="26"/>
      <c r="H214" s="28"/>
      <c r="I214" s="75"/>
      <c r="J214" s="29"/>
      <c r="K214" s="26"/>
      <c r="L214" s="99">
        <f>L212/+$D212</f>
        <v>4.43</v>
      </c>
      <c r="M214" s="26"/>
      <c r="N214" s="76"/>
      <c r="O214" s="31"/>
      <c r="P214" s="76"/>
      <c r="Q214" s="26"/>
      <c r="R214" s="32"/>
      <c r="S214" s="75"/>
      <c r="T214" s="99">
        <f>T212/+$D212</f>
        <v>5.4007013293814463</v>
      </c>
      <c r="U214" s="75"/>
      <c r="V214" s="19"/>
      <c r="W214" s="203"/>
      <c r="X214" s="45"/>
      <c r="Y214" s="46"/>
      <c r="Z214" s="46"/>
      <c r="AA214" s="46"/>
      <c r="AB214" s="46"/>
      <c r="AC214" s="46"/>
      <c r="AD214" s="111"/>
      <c r="AE214" s="112"/>
      <c r="AF214" s="19"/>
      <c r="AG214" s="113"/>
      <c r="AH214" s="48"/>
      <c r="AI214" s="48"/>
      <c r="AJ214" s="19"/>
      <c r="AK214" s="174"/>
      <c r="AL214" s="48"/>
      <c r="AM214" s="174"/>
      <c r="AN214" s="48"/>
      <c r="AO214" s="174"/>
      <c r="AP214" s="174"/>
      <c r="AQ214" s="174"/>
      <c r="AR214" s="174"/>
      <c r="AS214" s="174"/>
      <c r="AT214" s="174"/>
      <c r="AU214" s="174"/>
      <c r="AV214" s="174"/>
    </row>
    <row r="215" spans="1:48" ht="12.75" thickTop="1">
      <c r="A215" s="98"/>
      <c r="B215" s="79"/>
      <c r="C215" s="80"/>
      <c r="D215" s="79"/>
      <c r="E215" s="74"/>
      <c r="F215" s="26"/>
      <c r="G215" s="26"/>
      <c r="H215" s="28"/>
      <c r="I215" s="75"/>
      <c r="J215" s="29"/>
      <c r="K215" s="26"/>
      <c r="L215" s="29"/>
      <c r="M215" s="26"/>
      <c r="N215" s="76"/>
      <c r="O215" s="31"/>
      <c r="P215" s="76"/>
      <c r="Q215" s="26"/>
      <c r="R215" s="32"/>
      <c r="S215" s="74"/>
      <c r="T215" s="116"/>
      <c r="U215" s="74"/>
      <c r="V215" s="48"/>
      <c r="W215" s="203"/>
      <c r="X215" s="45"/>
      <c r="Y215" s="46"/>
      <c r="Z215" s="46"/>
      <c r="AA215" s="46"/>
      <c r="AB215" s="46"/>
      <c r="AC215" s="46"/>
      <c r="AD215" s="111"/>
      <c r="AE215" s="112"/>
      <c r="AF215" s="19"/>
      <c r="AG215" s="113"/>
      <c r="AH215" s="48"/>
      <c r="AI215" s="48"/>
      <c r="AJ215" s="19"/>
      <c r="AK215" s="174"/>
      <c r="AL215" s="48"/>
      <c r="AM215" s="174"/>
      <c r="AN215" s="48"/>
      <c r="AO215" s="174"/>
      <c r="AP215" s="174"/>
      <c r="AQ215" s="174"/>
      <c r="AR215" s="174"/>
      <c r="AS215" s="174"/>
      <c r="AT215" s="174"/>
      <c r="AU215" s="174"/>
      <c r="AV215" s="174"/>
    </row>
    <row r="216" spans="1:48">
      <c r="A216" s="114" t="s">
        <v>108</v>
      </c>
      <c r="B216" s="79">
        <v>0</v>
      </c>
      <c r="C216" s="80"/>
      <c r="D216" s="79">
        <f>76*12</f>
        <v>912</v>
      </c>
      <c r="E216" s="74"/>
      <c r="F216" s="26">
        <v>0</v>
      </c>
      <c r="G216" s="26"/>
      <c r="H216" s="115">
        <v>19.93</v>
      </c>
      <c r="I216" s="75"/>
      <c r="J216" s="29">
        <f>H216*D216</f>
        <v>18176.16</v>
      </c>
      <c r="K216" s="26"/>
      <c r="L216" s="29">
        <f t="shared" ref="L216" si="89">+J216</f>
        <v>18176.16</v>
      </c>
      <c r="M216" s="26"/>
      <c r="N216" s="76">
        <f>D216</f>
        <v>912</v>
      </c>
      <c r="O216" s="31"/>
      <c r="P216" s="76"/>
      <c r="Q216" s="26"/>
      <c r="R216" s="82">
        <f t="shared" ref="R216" si="90">H216*(1+$W$5)</f>
        <v>24.297060382521948</v>
      </c>
      <c r="S216" s="74"/>
      <c r="T216" s="83">
        <f>R216*+D216</f>
        <v>22158.919068860017</v>
      </c>
      <c r="U216" s="74"/>
      <c r="V216" s="48"/>
      <c r="W216" s="203"/>
      <c r="X216" s="45"/>
      <c r="Y216" s="46"/>
      <c r="Z216" s="46"/>
      <c r="AA216" s="46"/>
      <c r="AB216" s="46"/>
      <c r="AC216" s="46"/>
      <c r="AD216" s="111"/>
      <c r="AE216" s="112"/>
      <c r="AF216" s="19"/>
      <c r="AG216" s="113"/>
      <c r="AH216" s="48"/>
      <c r="AI216" s="48"/>
      <c r="AJ216" s="19"/>
      <c r="AK216" s="174"/>
      <c r="AL216" s="48"/>
      <c r="AM216" s="174"/>
      <c r="AN216" s="48"/>
      <c r="AO216" s="174"/>
      <c r="AP216" s="174"/>
      <c r="AQ216" s="174"/>
      <c r="AR216" s="174"/>
      <c r="AS216" s="174"/>
      <c r="AT216" s="174"/>
      <c r="AU216" s="174"/>
      <c r="AV216" s="174"/>
    </row>
    <row r="217" spans="1:48" ht="12.75" thickBot="1">
      <c r="A217" s="88" t="s">
        <v>109</v>
      </c>
      <c r="B217" s="103">
        <f>SUM(B216)</f>
        <v>0</v>
      </c>
      <c r="C217" s="80"/>
      <c r="D217" s="103">
        <f>SUM(D216)</f>
        <v>912</v>
      </c>
      <c r="E217" s="74"/>
      <c r="F217" s="103">
        <f>SUM(F216)</f>
        <v>0</v>
      </c>
      <c r="G217" s="26"/>
      <c r="H217" s="28"/>
      <c r="I217" s="75"/>
      <c r="J217" s="91">
        <f>SUM(J216)</f>
        <v>18176.16</v>
      </c>
      <c r="K217" s="26"/>
      <c r="L217" s="91">
        <f>SUM(L216)</f>
        <v>18176.16</v>
      </c>
      <c r="M217" s="26"/>
      <c r="N217" s="108">
        <f>SUM(N216)</f>
        <v>912</v>
      </c>
      <c r="O217" s="31"/>
      <c r="P217" s="108">
        <v>0</v>
      </c>
      <c r="Q217" s="26"/>
      <c r="R217" s="32"/>
      <c r="S217" s="74"/>
      <c r="T217" s="91">
        <f>SUM(T216)</f>
        <v>22158.919068860017</v>
      </c>
      <c r="U217" s="74"/>
      <c r="V217" s="48"/>
      <c r="W217" s="203"/>
      <c r="X217" s="47"/>
      <c r="Y217" s="47"/>
      <c r="Z217" s="46"/>
      <c r="AA217" s="46"/>
      <c r="AB217" s="46"/>
      <c r="AC217" s="46"/>
      <c r="AD217" s="111"/>
      <c r="AE217" s="112"/>
      <c r="AF217" s="19"/>
      <c r="AG217" s="113"/>
      <c r="AH217" s="48"/>
      <c r="AI217" s="48"/>
      <c r="AJ217" s="19"/>
      <c r="AK217" s="174"/>
      <c r="AL217" s="48"/>
      <c r="AM217" s="174"/>
      <c r="AN217" s="48"/>
      <c r="AO217" s="174"/>
      <c r="AP217" s="174"/>
      <c r="AQ217" s="174"/>
      <c r="AR217" s="174"/>
      <c r="AS217" s="174"/>
      <c r="AT217" s="174"/>
      <c r="AU217" s="174"/>
      <c r="AV217" s="174"/>
    </row>
    <row r="218" spans="1:48" ht="12.75" thickTop="1">
      <c r="A218" s="114"/>
      <c r="B218" s="79"/>
      <c r="C218" s="80"/>
      <c r="D218" s="79"/>
      <c r="E218" s="74"/>
      <c r="F218" s="26"/>
      <c r="G218" s="26"/>
      <c r="H218" s="28"/>
      <c r="I218" s="75"/>
      <c r="J218" s="29"/>
      <c r="K218" s="26"/>
      <c r="L218" s="29"/>
      <c r="M218" s="26"/>
      <c r="N218" s="76"/>
      <c r="O218" s="31"/>
      <c r="P218" s="76"/>
      <c r="Q218" s="26"/>
      <c r="R218" s="32"/>
      <c r="S218" s="74"/>
      <c r="T218" s="77"/>
      <c r="U218" s="74"/>
      <c r="V218" s="48"/>
      <c r="W218" s="203"/>
      <c r="X218" s="47"/>
      <c r="Y218" s="188"/>
      <c r="Z218" s="46"/>
      <c r="AA218" s="46"/>
      <c r="AB218" s="46"/>
      <c r="AC218" s="46"/>
      <c r="AD218" s="111"/>
      <c r="AE218" s="112"/>
      <c r="AF218" s="19"/>
      <c r="AG218" s="113"/>
      <c r="AH218" s="48"/>
      <c r="AI218" s="48"/>
      <c r="AJ218" s="19"/>
      <c r="AK218" s="174"/>
      <c r="AL218" s="48"/>
      <c r="AM218" s="174"/>
      <c r="AN218" s="48"/>
      <c r="AO218" s="174"/>
      <c r="AP218" s="174"/>
      <c r="AQ218" s="174"/>
      <c r="AR218" s="174"/>
      <c r="AS218" s="174"/>
      <c r="AT218" s="174"/>
      <c r="AU218" s="174"/>
      <c r="AV218" s="174"/>
    </row>
    <row r="219" spans="1:48" ht="12.75" thickBot="1">
      <c r="A219" s="98" t="s">
        <v>114</v>
      </c>
      <c r="B219" s="79"/>
      <c r="C219" s="80"/>
      <c r="D219" s="79"/>
      <c r="E219" s="74"/>
      <c r="F219" s="26"/>
      <c r="G219" s="26"/>
      <c r="H219" s="28"/>
      <c r="I219" s="75"/>
      <c r="J219" s="29"/>
      <c r="K219" s="26"/>
      <c r="L219" s="99">
        <f>L217/+$D217</f>
        <v>19.93</v>
      </c>
      <c r="M219" s="26"/>
      <c r="N219" s="76"/>
      <c r="O219" s="31"/>
      <c r="P219" s="76"/>
      <c r="Q219" s="26"/>
      <c r="R219" s="32"/>
      <c r="S219" s="75"/>
      <c r="T219" s="99">
        <f>T217/+$D217</f>
        <v>24.297060382521948</v>
      </c>
      <c r="U219" s="75"/>
      <c r="V219" s="19"/>
      <c r="W219" s="203"/>
      <c r="X219" s="45"/>
      <c r="Y219" s="120"/>
      <c r="Z219" s="46"/>
      <c r="AA219" s="46"/>
      <c r="AB219" s="46"/>
      <c r="AC219" s="46"/>
      <c r="AD219" s="111"/>
      <c r="AE219" s="112"/>
      <c r="AF219" s="19"/>
      <c r="AG219" s="113"/>
      <c r="AH219" s="48"/>
      <c r="AI219" s="48"/>
      <c r="AJ219" s="19"/>
      <c r="AK219" s="174"/>
      <c r="AL219" s="48"/>
      <c r="AM219" s="174"/>
      <c r="AN219" s="48"/>
      <c r="AO219" s="174"/>
      <c r="AP219" s="174"/>
      <c r="AQ219" s="174"/>
      <c r="AR219" s="174"/>
      <c r="AS219" s="174"/>
      <c r="AT219" s="174"/>
      <c r="AU219" s="174"/>
      <c r="AV219" s="174"/>
    </row>
    <row r="220" spans="1:48" ht="12.75" thickTop="1">
      <c r="A220" s="73"/>
      <c r="B220" s="79"/>
      <c r="C220" s="80"/>
      <c r="D220" s="79"/>
      <c r="E220" s="74"/>
      <c r="F220" s="26"/>
      <c r="G220" s="26"/>
      <c r="H220" s="28"/>
      <c r="I220" s="75"/>
      <c r="J220" s="29"/>
      <c r="K220" s="26"/>
      <c r="L220" s="29"/>
      <c r="M220" s="26"/>
      <c r="N220" s="76"/>
      <c r="O220" s="31"/>
      <c r="P220" s="76"/>
      <c r="Q220" s="26"/>
      <c r="R220" s="32"/>
      <c r="S220" s="74"/>
      <c r="T220" s="77"/>
      <c r="U220" s="74"/>
      <c r="V220" s="48"/>
      <c r="W220" s="203"/>
      <c r="X220" s="45"/>
      <c r="Y220" s="46"/>
      <c r="Z220" s="46"/>
      <c r="AA220" s="46"/>
      <c r="AB220" s="46"/>
      <c r="AC220" s="46"/>
      <c r="AD220" s="111"/>
      <c r="AE220" s="112"/>
      <c r="AF220" s="19"/>
      <c r="AG220" s="113"/>
      <c r="AH220" s="48"/>
      <c r="AI220" s="48"/>
      <c r="AJ220" s="19"/>
      <c r="AK220" s="174"/>
      <c r="AL220" s="48"/>
      <c r="AM220" s="174"/>
      <c r="AN220" s="48"/>
      <c r="AO220" s="174"/>
      <c r="AP220" s="174"/>
      <c r="AQ220" s="174"/>
      <c r="AR220" s="174"/>
      <c r="AS220" s="174"/>
      <c r="AT220" s="174"/>
      <c r="AU220" s="174"/>
      <c r="AV220" s="174"/>
    </row>
    <row r="221" spans="1:48" s="97" customFormat="1" ht="12.75" thickBot="1">
      <c r="A221" s="70" t="s">
        <v>115</v>
      </c>
      <c r="B221" s="121">
        <f>B217+B212+B207+B201+B195+B189+B183+B177+B170+B163+B155+B146+B137+B128+B119+B110+B100+B90+B80+B70+B60+B50+B40+B30+B20</f>
        <v>403951.14399999997</v>
      </c>
      <c r="C221" s="71"/>
      <c r="D221" s="121">
        <f>D217+D212+D207+D201+D195+D189+D183+D177+D170+D163+D155+D146+D137+D128+D119+D110+D100+D90+D80+D70+D60+D50+D40+D30+D20</f>
        <v>73804.999999999898</v>
      </c>
      <c r="E221" s="62"/>
      <c r="F221" s="121">
        <f>F217+F212+F207+F201+F195+F189+F183+F177+F170+F163+F155+F146+F137+F128+F119+F110+F100+F90+F80+F70+F60+F50+F40+F30+F20</f>
        <v>314704.26923076907</v>
      </c>
      <c r="G221" s="62"/>
      <c r="H221" s="64"/>
      <c r="I221" s="63"/>
      <c r="J221" s="211">
        <f>J217+J212+J207+J201+J195+J189+J183+J177+J170+J163+J155+J146+J137+J128+J119+J110+J100+J90+J80+J70+J60+J50+J40+J30+J20</f>
        <v>1820354.7099999986</v>
      </c>
      <c r="K221" s="62"/>
      <c r="L221" s="211">
        <f>L217+L212+L207+L201+L195+L189+L183+L177+L170+L163+L155+L146+L137+L128+L119+L110+L100+L90+L80+L70+L60+L50+L40+L30+L20</f>
        <v>1820354.7099999986</v>
      </c>
      <c r="M221" s="62"/>
      <c r="N221" s="212">
        <f>N217+N212+N207+N201+N195+N189+N183+N177+N170+N163+N155+N146+N137+N128+N119+N110+N100+N90+N80+N70+N60+N50+N40+N30+N20</f>
        <v>73804.999999999898</v>
      </c>
      <c r="O221" s="124"/>
      <c r="P221" s="212">
        <f>P217+P212+P207+P201+P195+P189+P183+P177+P170+P163+P155+P146+P137+P128+P119+P110+P100+P90+P80+P70+P60+P50+P40+P30+P20</f>
        <v>314704.26923076907</v>
      </c>
      <c r="Q221" s="62"/>
      <c r="R221" s="68"/>
      <c r="S221" s="90"/>
      <c r="T221" s="211">
        <f>T217+T212+T207+T201+T195+T189+T183+T177+T170+T163+T155+T146+T137+T128+T119+T110+T100+T90+T80+T70+T60+T50+T40+T30+T20</f>
        <v>2219230.7228538985</v>
      </c>
      <c r="U221" s="90"/>
      <c r="V221" s="96"/>
      <c r="W221" s="206"/>
      <c r="X221" s="93"/>
      <c r="Y221" s="94"/>
      <c r="Z221" s="94"/>
      <c r="AA221" s="94"/>
      <c r="AB221" s="94"/>
      <c r="AC221" s="94"/>
      <c r="AD221" s="127"/>
      <c r="AE221" s="128"/>
      <c r="AF221" s="129"/>
      <c r="AG221" s="130"/>
      <c r="AH221" s="96"/>
      <c r="AI221" s="96"/>
      <c r="AJ221" s="129"/>
      <c r="AK221" s="213"/>
      <c r="AL221" s="96"/>
      <c r="AM221" s="213"/>
      <c r="AN221" s="96"/>
      <c r="AO221" s="213"/>
      <c r="AP221" s="213"/>
      <c r="AQ221" s="213"/>
      <c r="AR221" s="213"/>
      <c r="AS221" s="213"/>
      <c r="AT221" s="213"/>
      <c r="AU221" s="213"/>
      <c r="AV221" s="213"/>
    </row>
    <row r="222" spans="1:48" ht="12.75" thickTop="1">
      <c r="A222" s="73"/>
      <c r="B222" s="79"/>
      <c r="C222" s="80"/>
      <c r="D222" s="79"/>
      <c r="E222" s="74"/>
      <c r="F222" s="26"/>
      <c r="G222" s="26"/>
      <c r="H222" s="28"/>
      <c r="I222" s="75"/>
      <c r="J222" s="29"/>
      <c r="K222" s="26"/>
      <c r="L222" s="74"/>
      <c r="M222" s="26"/>
      <c r="N222" s="76"/>
      <c r="O222" s="31"/>
      <c r="P222" s="76"/>
      <c r="Q222" s="26"/>
      <c r="R222" s="32"/>
      <c r="S222" s="74"/>
      <c r="T222" s="77"/>
      <c r="U222" s="74"/>
      <c r="V222" s="48"/>
      <c r="W222" s="203"/>
      <c r="X222" s="45"/>
      <c r="Y222" s="46"/>
      <c r="Z222" s="46"/>
      <c r="AA222" s="46"/>
      <c r="AB222" s="46"/>
      <c r="AC222" s="46"/>
      <c r="AD222" s="111"/>
      <c r="AE222" s="112"/>
      <c r="AF222" s="19"/>
      <c r="AG222" s="113"/>
      <c r="AH222" s="48"/>
      <c r="AI222" s="48"/>
      <c r="AJ222" s="19"/>
      <c r="AK222" s="174"/>
      <c r="AL222" s="48"/>
      <c r="AM222" s="174"/>
      <c r="AN222" s="48"/>
      <c r="AO222" s="174"/>
      <c r="AP222" s="174"/>
      <c r="AQ222" s="174"/>
      <c r="AR222" s="174"/>
      <c r="AS222" s="174"/>
      <c r="AT222" s="174"/>
      <c r="AU222" s="174"/>
      <c r="AV222" s="174"/>
    </row>
    <row r="223" spans="1:48">
      <c r="A223" s="132" t="s">
        <v>117</v>
      </c>
      <c r="B223" s="133"/>
      <c r="C223" s="113"/>
      <c r="D223" s="133"/>
      <c r="E223" s="48"/>
      <c r="F223" s="31"/>
      <c r="G223" s="31"/>
      <c r="H223" s="32"/>
      <c r="I223" s="19"/>
      <c r="J223" s="134"/>
      <c r="K223" s="31"/>
      <c r="L223" s="134"/>
      <c r="M223" s="31"/>
      <c r="N223" s="86"/>
      <c r="O223" s="31"/>
      <c r="P223" s="135"/>
      <c r="Q223" s="31"/>
      <c r="R223" s="32"/>
      <c r="S223" s="48"/>
      <c r="T223" s="136"/>
      <c r="U223" s="48"/>
      <c r="V223" s="48"/>
      <c r="W223" s="203"/>
      <c r="X223" s="47"/>
      <c r="Y223" s="46"/>
      <c r="Z223" s="46"/>
      <c r="AA223" s="46"/>
      <c r="AB223" s="46"/>
      <c r="AC223" s="46"/>
      <c r="AD223" s="3"/>
      <c r="AE223" s="3"/>
      <c r="AF223" s="3"/>
      <c r="AG223" s="3"/>
      <c r="AH223" s="3"/>
      <c r="AI223" s="111"/>
      <c r="AJ223" s="111"/>
      <c r="AK223" s="137"/>
      <c r="AL223" s="48"/>
      <c r="AM223" s="48"/>
      <c r="AN223" s="48"/>
      <c r="AO223" s="48"/>
      <c r="AP223" s="48"/>
      <c r="AQ223" s="48"/>
      <c r="AR223" s="48"/>
      <c r="AS223" s="174"/>
      <c r="AT223" s="174"/>
      <c r="AU223" s="174"/>
      <c r="AV223" s="174"/>
    </row>
    <row r="224" spans="1:48">
      <c r="A224" s="73" t="s">
        <v>17</v>
      </c>
      <c r="B224" s="26">
        <f>+'[19]5-8" W Res E14'!$I$23/1000</f>
        <v>836</v>
      </c>
      <c r="C224" s="74"/>
      <c r="D224" s="26"/>
      <c r="E224" s="74"/>
      <c r="F224" s="26"/>
      <c r="G224" s="26"/>
      <c r="H224" s="28"/>
      <c r="I224" s="74"/>
      <c r="M224" s="26"/>
      <c r="S224" s="143"/>
      <c r="T224" s="77"/>
      <c r="U224" s="143"/>
      <c r="V224" s="238"/>
      <c r="W224" s="239"/>
      <c r="X224" s="172"/>
      <c r="Y224" s="172"/>
      <c r="Z224" s="46"/>
      <c r="AA224" s="46"/>
      <c r="AB224" s="46"/>
      <c r="AC224" s="46"/>
      <c r="AD224" s="3"/>
      <c r="AE224" s="3"/>
      <c r="AF224" s="3"/>
      <c r="AG224" s="3"/>
      <c r="AH224" s="3"/>
      <c r="AI224" s="111"/>
      <c r="AJ224" s="144"/>
      <c r="AK224" s="82"/>
      <c r="AL224" s="113"/>
      <c r="AM224" s="48"/>
      <c r="AN224" s="48"/>
      <c r="AO224" s="19"/>
      <c r="AP224" s="48"/>
      <c r="AQ224" s="48"/>
      <c r="AR224" s="48"/>
      <c r="AS224" s="48"/>
      <c r="AT224" s="48"/>
      <c r="AU224" s="19"/>
      <c r="AV224" s="19"/>
    </row>
    <row r="225" spans="1:48">
      <c r="A225" s="78" t="s">
        <v>18</v>
      </c>
      <c r="B225" s="26"/>
      <c r="C225" s="74"/>
      <c r="D225" s="26">
        <f>+'[19]5-8" W Res E14'!$S$27</f>
        <v>227.99999999999994</v>
      </c>
      <c r="E225" s="74"/>
      <c r="H225" s="146">
        <f>+'[19]5-8" W Res E14'!$S$2</f>
        <v>11.99</v>
      </c>
      <c r="I225" s="74"/>
      <c r="J225" s="83">
        <f>H225*D225</f>
        <v>2733.7199999999993</v>
      </c>
      <c r="K225" s="26"/>
      <c r="L225" s="29">
        <f>+J225</f>
        <v>2733.7199999999993</v>
      </c>
      <c r="M225" s="26"/>
      <c r="N225" s="76">
        <f>D225</f>
        <v>227.99999999999994</v>
      </c>
      <c r="O225" s="31"/>
      <c r="P225" s="76"/>
      <c r="Q225" s="26"/>
      <c r="R225" s="82">
        <f>H225*(1+$W$5)</f>
        <v>14.617248067558362</v>
      </c>
      <c r="S225" s="143"/>
      <c r="T225" s="83">
        <f>R225*+D225</f>
        <v>3332.7325594033059</v>
      </c>
      <c r="U225" s="143"/>
      <c r="V225" s="238"/>
      <c r="W225" s="239"/>
      <c r="X225" s="172"/>
      <c r="Y225" s="172"/>
      <c r="Z225" s="46"/>
      <c r="AA225" s="46"/>
      <c r="AB225" s="46"/>
      <c r="AC225" s="46"/>
      <c r="AD225" s="3"/>
      <c r="AE225" s="3"/>
      <c r="AF225" s="3"/>
      <c r="AG225" s="3"/>
      <c r="AH225" s="3"/>
      <c r="AI225" s="111"/>
      <c r="AJ225" s="144"/>
      <c r="AK225" s="82"/>
      <c r="AL225" s="113"/>
      <c r="AM225" s="48"/>
      <c r="AN225" s="48"/>
      <c r="AO225" s="19"/>
      <c r="AP225" s="48"/>
      <c r="AQ225" s="48"/>
      <c r="AR225" s="48"/>
      <c r="AS225" s="48"/>
      <c r="AT225" s="48"/>
      <c r="AU225" s="19"/>
      <c r="AV225" s="19"/>
    </row>
    <row r="226" spans="1:48">
      <c r="A226" s="78" t="s">
        <v>19</v>
      </c>
      <c r="B226" s="26"/>
      <c r="C226" s="74"/>
      <c r="D226" s="26"/>
      <c r="E226" s="74"/>
      <c r="F226" s="26">
        <f>+'[19]5-8" W Res E14'!$V$27</f>
        <v>591</v>
      </c>
      <c r="G226" s="26"/>
      <c r="H226" s="84">
        <f>+'[19]5-8" W Res E14'!$S4</f>
        <v>6.79</v>
      </c>
      <c r="I226" s="74"/>
      <c r="J226" s="76">
        <f>H226*F226</f>
        <v>4012.89</v>
      </c>
      <c r="K226" s="26"/>
      <c r="L226" s="29">
        <f t="shared" ref="L226:L230" si="91">+J226</f>
        <v>4012.89</v>
      </c>
      <c r="M226" s="26"/>
      <c r="N226" s="76"/>
      <c r="O226" s="31"/>
      <c r="P226" s="76">
        <f>SUM(F226)</f>
        <v>591</v>
      </c>
      <c r="Q226" s="26"/>
      <c r="R226" s="82">
        <f t="shared" ref="R226:R230" si="92">H226*(1+$W$5)</f>
        <v>8.2778243852144513</v>
      </c>
      <c r="S226" s="143"/>
      <c r="T226" s="83">
        <f>R226*F226</f>
        <v>4892.1942116617411</v>
      </c>
      <c r="U226" s="147"/>
      <c r="V226" s="238"/>
      <c r="W226" s="239"/>
      <c r="X226" s="172"/>
      <c r="Y226" s="172"/>
      <c r="Z226" s="46"/>
      <c r="AA226" s="46"/>
      <c r="AB226" s="46"/>
      <c r="AC226" s="46"/>
      <c r="AD226" s="3"/>
      <c r="AE226" s="3"/>
      <c r="AF226" s="3"/>
      <c r="AG226" s="3"/>
      <c r="AH226" s="3"/>
      <c r="AI226" s="111"/>
      <c r="AJ226" s="144"/>
      <c r="AK226" s="82"/>
      <c r="AL226" s="113"/>
      <c r="AM226" s="48"/>
      <c r="AN226" s="48"/>
      <c r="AO226" s="19"/>
      <c r="AP226" s="48"/>
      <c r="AQ226" s="48"/>
      <c r="AR226" s="48"/>
      <c r="AS226" s="48"/>
      <c r="AT226" s="48"/>
      <c r="AU226" s="19"/>
      <c r="AV226" s="19"/>
    </row>
    <row r="227" spans="1:48">
      <c r="A227" s="78" t="s">
        <v>20</v>
      </c>
      <c r="B227" s="26"/>
      <c r="C227" s="74"/>
      <c r="D227" s="26"/>
      <c r="E227" s="74"/>
      <c r="F227" s="26">
        <f>+'[19]5-8" W Res E14'!$W$27</f>
        <v>17</v>
      </c>
      <c r="G227" s="26"/>
      <c r="H227" s="84">
        <f>+'[19]5-8" W Res E14'!$S5</f>
        <v>6.23</v>
      </c>
      <c r="I227" s="74"/>
      <c r="J227" s="76">
        <f>H227*F227</f>
        <v>105.91000000000001</v>
      </c>
      <c r="K227" s="26"/>
      <c r="L227" s="29">
        <f t="shared" si="91"/>
        <v>105.91000000000001</v>
      </c>
      <c r="M227" s="26"/>
      <c r="N227" s="76"/>
      <c r="O227" s="31"/>
      <c r="P227" s="76">
        <f t="shared" ref="P227:P230" si="93">SUM(F227)</f>
        <v>17</v>
      </c>
      <c r="Q227" s="26"/>
      <c r="R227" s="82">
        <f t="shared" si="92"/>
        <v>7.5951172194235701</v>
      </c>
      <c r="S227" s="143"/>
      <c r="T227" s="83">
        <f t="shared" ref="T227:T230" si="94">R227*F227</f>
        <v>129.11699273020068</v>
      </c>
      <c r="U227" s="143"/>
      <c r="V227" s="238"/>
      <c r="W227" s="203"/>
      <c r="X227" s="47"/>
      <c r="Y227" s="46"/>
      <c r="Z227" s="46"/>
      <c r="AA227" s="46"/>
      <c r="AB227" s="46"/>
      <c r="AC227" s="46"/>
      <c r="AD227" s="3"/>
      <c r="AE227" s="3"/>
      <c r="AF227" s="3"/>
      <c r="AG227" s="3"/>
      <c r="AH227" s="3"/>
      <c r="AI227" s="111"/>
      <c r="AJ227" s="144"/>
      <c r="AK227" s="82"/>
      <c r="AL227" s="113"/>
      <c r="AM227" s="48"/>
      <c r="AN227" s="48"/>
      <c r="AO227" s="19"/>
      <c r="AP227" s="48"/>
      <c r="AQ227" s="48"/>
      <c r="AR227" s="48"/>
      <c r="AS227" s="48"/>
      <c r="AT227" s="48"/>
      <c r="AU227" s="19"/>
      <c r="AV227" s="19"/>
    </row>
    <row r="228" spans="1:48">
      <c r="A228" s="78" t="s">
        <v>21</v>
      </c>
      <c r="B228" s="26"/>
      <c r="C228" s="74"/>
      <c r="D228" s="26"/>
      <c r="E228" s="74"/>
      <c r="F228" s="26">
        <f>+'[19]5-8" W Res E14'!$X$27</f>
        <v>3</v>
      </c>
      <c r="G228" s="26"/>
      <c r="H228" s="84">
        <f>+'[19]5-8" W Res E14'!$S6</f>
        <v>5.68</v>
      </c>
      <c r="I228" s="74"/>
      <c r="J228" s="76">
        <f>H228*F228</f>
        <v>17.04</v>
      </c>
      <c r="K228" s="26"/>
      <c r="L228" s="29">
        <f t="shared" si="91"/>
        <v>17.04</v>
      </c>
      <c r="M228" s="26"/>
      <c r="N228" s="76"/>
      <c r="O228" s="31"/>
      <c r="P228" s="76">
        <f t="shared" si="93"/>
        <v>3</v>
      </c>
      <c r="Q228" s="26"/>
      <c r="R228" s="82">
        <f t="shared" si="92"/>
        <v>6.9246012530218088</v>
      </c>
      <c r="S228" s="143"/>
      <c r="T228" s="83">
        <f t="shared" si="94"/>
        <v>20.773803759065427</v>
      </c>
      <c r="U228" s="143"/>
      <c r="V228" s="143"/>
      <c r="W228" s="203"/>
      <c r="X228" s="1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111"/>
      <c r="AJ228" s="144"/>
      <c r="AK228" s="82"/>
      <c r="AL228" s="113"/>
      <c r="AM228" s="48"/>
      <c r="AN228" s="48"/>
      <c r="AO228" s="19"/>
      <c r="AP228" s="48"/>
      <c r="AQ228" s="48"/>
      <c r="AR228" s="48"/>
      <c r="AS228" s="48"/>
      <c r="AT228" s="48"/>
      <c r="AU228" s="19"/>
      <c r="AV228" s="19"/>
    </row>
    <row r="229" spans="1:48">
      <c r="A229" s="78" t="s">
        <v>22</v>
      </c>
      <c r="B229" s="26"/>
      <c r="C229" s="74"/>
      <c r="D229" s="26"/>
      <c r="E229" s="74"/>
      <c r="F229" s="26">
        <v>0</v>
      </c>
      <c r="G229" s="26"/>
      <c r="H229" s="84">
        <f>+'[19]5-8" W Res E14'!$S7</f>
        <v>5.04</v>
      </c>
      <c r="I229" s="74"/>
      <c r="J229" s="76">
        <f>H229*F229</f>
        <v>0</v>
      </c>
      <c r="K229" s="26"/>
      <c r="L229" s="29">
        <f t="shared" si="91"/>
        <v>0</v>
      </c>
      <c r="M229" s="26"/>
      <c r="N229" s="76"/>
      <c r="O229" s="31"/>
      <c r="P229" s="76">
        <f t="shared" si="93"/>
        <v>0</v>
      </c>
      <c r="Q229" s="26"/>
      <c r="R229" s="82">
        <f t="shared" si="92"/>
        <v>6.1443644921179441</v>
      </c>
      <c r="S229" s="143"/>
      <c r="T229" s="83">
        <f t="shared" si="94"/>
        <v>0</v>
      </c>
      <c r="U229" s="143"/>
      <c r="V229" s="143"/>
      <c r="W229" s="203"/>
      <c r="X229" s="1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111"/>
      <c r="AJ229" s="144"/>
      <c r="AK229" s="82"/>
      <c r="AL229" s="113"/>
      <c r="AM229" s="48"/>
      <c r="AN229" s="48"/>
      <c r="AO229" s="19"/>
      <c r="AP229" s="48"/>
      <c r="AQ229" s="48"/>
      <c r="AR229" s="48"/>
      <c r="AS229" s="48"/>
      <c r="AT229" s="48"/>
      <c r="AU229" s="19"/>
      <c r="AV229" s="19"/>
    </row>
    <row r="230" spans="1:48">
      <c r="A230" s="78" t="s">
        <v>23</v>
      </c>
      <c r="B230" s="26"/>
      <c r="C230" s="74"/>
      <c r="D230" s="26"/>
      <c r="E230" s="74"/>
      <c r="F230" s="26">
        <v>0</v>
      </c>
      <c r="G230" s="26"/>
      <c r="H230" s="84">
        <f>+'[19]5-8" W Res E14'!$S8</f>
        <v>4.4000000000000004</v>
      </c>
      <c r="I230" s="74"/>
      <c r="J230" s="76">
        <f>H230*F230</f>
        <v>0</v>
      </c>
      <c r="K230" s="26"/>
      <c r="L230" s="29">
        <f t="shared" si="91"/>
        <v>0</v>
      </c>
      <c r="M230" s="26"/>
      <c r="N230" s="76"/>
      <c r="O230" s="31"/>
      <c r="P230" s="76">
        <f t="shared" si="93"/>
        <v>0</v>
      </c>
      <c r="Q230" s="26"/>
      <c r="R230" s="82">
        <f t="shared" si="92"/>
        <v>5.3641277312140785</v>
      </c>
      <c r="S230" s="143"/>
      <c r="T230" s="83">
        <f t="shared" si="94"/>
        <v>0</v>
      </c>
      <c r="U230" s="143"/>
      <c r="V230" s="143"/>
      <c r="W230" s="203"/>
      <c r="X230" s="1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111"/>
      <c r="AJ230" s="144"/>
      <c r="AK230" s="82"/>
      <c r="AL230" s="113"/>
      <c r="AM230" s="48"/>
      <c r="AN230" s="48"/>
      <c r="AO230" s="19"/>
      <c r="AP230" s="48"/>
      <c r="AQ230" s="48"/>
      <c r="AR230" s="48"/>
      <c r="AS230" s="48"/>
      <c r="AT230" s="48"/>
      <c r="AU230" s="19"/>
      <c r="AV230" s="19"/>
    </row>
    <row r="231" spans="1:48" s="97" customFormat="1" ht="12.75" thickBot="1">
      <c r="A231" s="88" t="s">
        <v>24</v>
      </c>
      <c r="B231" s="103">
        <f>SUM(B224:B230)</f>
        <v>836</v>
      </c>
      <c r="C231" s="90"/>
      <c r="D231" s="103">
        <f>SUM(D224:D230)</f>
        <v>227.99999999999994</v>
      </c>
      <c r="E231" s="90"/>
      <c r="F231" s="103">
        <f>SUM(F224:F230)</f>
        <v>611</v>
      </c>
      <c r="G231" s="67"/>
      <c r="H231" s="68"/>
      <c r="I231" s="90"/>
      <c r="J231" s="219">
        <f>SUM(J224:J230)</f>
        <v>6869.5599999999986</v>
      </c>
      <c r="K231" s="62"/>
      <c r="L231" s="220">
        <f>SUM(L224:L230)</f>
        <v>6869.5599999999986</v>
      </c>
      <c r="M231" s="62"/>
      <c r="N231" s="108">
        <f>SUM(N225:N230)</f>
        <v>227.99999999999994</v>
      </c>
      <c r="O231" s="106"/>
      <c r="P231" s="108">
        <f>SUM(P226:P230)</f>
        <v>611</v>
      </c>
      <c r="Q231" s="106"/>
      <c r="R231" s="221"/>
      <c r="S231" s="148"/>
      <c r="T231" s="220">
        <f>SUM(T224:T230)</f>
        <v>8374.8175675543134</v>
      </c>
      <c r="U231" s="148"/>
      <c r="V231" s="148"/>
      <c r="W231" s="206"/>
      <c r="X231" s="17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27"/>
      <c r="AJ231" s="149"/>
      <c r="AK231" s="116"/>
      <c r="AL231" s="130"/>
      <c r="AM231" s="96"/>
      <c r="AN231" s="96"/>
      <c r="AO231" s="129"/>
      <c r="AP231" s="96"/>
      <c r="AQ231" s="96"/>
      <c r="AR231" s="96"/>
      <c r="AS231" s="96"/>
      <c r="AT231" s="96"/>
      <c r="AU231" s="129"/>
      <c r="AV231" s="129"/>
    </row>
    <row r="232" spans="1:48" s="97" customFormat="1" ht="12.75" thickTop="1">
      <c r="A232" s="88"/>
      <c r="B232" s="67"/>
      <c r="C232" s="90"/>
      <c r="D232" s="67"/>
      <c r="E232" s="90"/>
      <c r="F232" s="67"/>
      <c r="G232" s="67"/>
      <c r="H232" s="68"/>
      <c r="I232" s="90"/>
      <c r="J232" s="219"/>
      <c r="K232" s="62"/>
      <c r="L232" s="106"/>
      <c r="M232" s="62"/>
      <c r="N232" s="124"/>
      <c r="O232" s="106"/>
      <c r="P232" s="124"/>
      <c r="Q232" s="106"/>
      <c r="R232" s="221"/>
      <c r="S232" s="148"/>
      <c r="T232" s="222"/>
      <c r="U232" s="148"/>
      <c r="V232" s="148"/>
      <c r="W232" s="206"/>
      <c r="X232" s="17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27"/>
      <c r="AJ232" s="149"/>
      <c r="AK232" s="116"/>
      <c r="AL232" s="130"/>
      <c r="AM232" s="96"/>
      <c r="AN232" s="96"/>
      <c r="AO232" s="129"/>
      <c r="AP232" s="96"/>
      <c r="AQ232" s="96"/>
      <c r="AR232" s="96"/>
      <c r="AS232" s="96"/>
      <c r="AT232" s="96"/>
      <c r="AU232" s="129"/>
      <c r="AV232" s="129"/>
    </row>
    <row r="233" spans="1:48" s="97" customFormat="1" ht="12.75" thickBot="1">
      <c r="A233" s="98" t="s">
        <v>26</v>
      </c>
      <c r="B233" s="62"/>
      <c r="C233" s="90"/>
      <c r="D233" s="62"/>
      <c r="E233" s="90"/>
      <c r="F233" s="62"/>
      <c r="G233" s="62"/>
      <c r="H233" s="64"/>
      <c r="I233" s="90"/>
      <c r="J233" s="173"/>
      <c r="K233" s="67"/>
      <c r="L233" s="99">
        <f>L231/+$D231</f>
        <v>30.12964912280702</v>
      </c>
      <c r="M233" s="26"/>
      <c r="N233" s="76"/>
      <c r="O233" s="31"/>
      <c r="P233" s="76"/>
      <c r="Q233" s="26"/>
      <c r="R233" s="32"/>
      <c r="S233" s="75"/>
      <c r="T233" s="99">
        <f>T231/+$D231</f>
        <v>36.731655998045241</v>
      </c>
      <c r="U233" s="75"/>
      <c r="V233" s="75"/>
      <c r="W233" s="206"/>
      <c r="X233" s="17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27"/>
      <c r="AJ233" s="149"/>
      <c r="AK233" s="116"/>
      <c r="AL233" s="130"/>
      <c r="AM233" s="96"/>
      <c r="AN233" s="96"/>
      <c r="AO233" s="129"/>
      <c r="AP233" s="96"/>
      <c r="AQ233" s="96"/>
      <c r="AR233" s="96"/>
      <c r="AS233" s="96"/>
      <c r="AT233" s="96"/>
      <c r="AU233" s="129"/>
      <c r="AV233" s="129"/>
    </row>
    <row r="234" spans="1:48" ht="12.75" thickTop="1">
      <c r="A234" s="73" t="s">
        <v>27</v>
      </c>
      <c r="B234" s="26">
        <f>+'[19]5-8" W Coml E14'!$I$21/1000</f>
        <v>254</v>
      </c>
      <c r="C234" s="74"/>
      <c r="D234" s="26"/>
      <c r="E234" s="74"/>
      <c r="F234" s="26"/>
      <c r="G234" s="26"/>
      <c r="H234" s="28"/>
      <c r="I234" s="74"/>
      <c r="K234" s="26"/>
      <c r="L234" s="29"/>
      <c r="M234" s="26"/>
      <c r="N234" s="76"/>
      <c r="O234" s="31"/>
      <c r="P234" s="76"/>
      <c r="Q234" s="26"/>
      <c r="R234" s="32"/>
      <c r="S234" s="143"/>
      <c r="T234" s="83"/>
      <c r="U234" s="143"/>
      <c r="V234" s="143"/>
      <c r="W234" s="203"/>
      <c r="X234" s="1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111"/>
      <c r="AJ234" s="144"/>
      <c r="AK234" s="82"/>
      <c r="AL234" s="113"/>
      <c r="AM234" s="48"/>
      <c r="AN234" s="48"/>
      <c r="AO234" s="19"/>
      <c r="AP234" s="48"/>
      <c r="AQ234" s="48"/>
      <c r="AR234" s="48"/>
      <c r="AS234" s="48"/>
      <c r="AT234" s="48"/>
      <c r="AU234" s="19"/>
      <c r="AV234" s="19"/>
    </row>
    <row r="235" spans="1:48">
      <c r="A235" s="78" t="s">
        <v>18</v>
      </c>
      <c r="B235" s="26"/>
      <c r="C235" s="74"/>
      <c r="D235" s="26">
        <f>+'[19]5-8" W Coml E14'!$S$25</f>
        <v>48</v>
      </c>
      <c r="E235" s="74"/>
      <c r="F235" s="26"/>
      <c r="G235" s="26"/>
      <c r="H235" s="81">
        <f>+'[19]5-8" W Coml E14'!$S$2</f>
        <v>11.99</v>
      </c>
      <c r="I235" s="74"/>
      <c r="J235" s="83">
        <f>H235*D235</f>
        <v>575.52</v>
      </c>
      <c r="K235" s="26"/>
      <c r="L235" s="29">
        <f>+J235</f>
        <v>575.52</v>
      </c>
      <c r="M235" s="26"/>
      <c r="N235" s="76">
        <f>D235</f>
        <v>48</v>
      </c>
      <c r="O235" s="31"/>
      <c r="P235" s="76"/>
      <c r="Q235" s="26"/>
      <c r="R235" s="82">
        <f>H235*(1+$W$5)</f>
        <v>14.617248067558362</v>
      </c>
      <c r="S235" s="143"/>
      <c r="T235" s="83">
        <f>R235*+D235</f>
        <v>701.62790724280137</v>
      </c>
      <c r="U235" s="143"/>
      <c r="V235" s="143"/>
      <c r="W235" s="203"/>
      <c r="X235" s="1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111"/>
      <c r="AJ235" s="144"/>
      <c r="AK235" s="82"/>
      <c r="AL235" s="113"/>
      <c r="AM235" s="48"/>
      <c r="AN235" s="48"/>
      <c r="AO235" s="19"/>
      <c r="AP235" s="48"/>
      <c r="AQ235" s="48"/>
      <c r="AR235" s="48"/>
      <c r="AS235" s="48"/>
      <c r="AT235" s="48"/>
      <c r="AU235" s="19"/>
      <c r="AV235" s="19"/>
    </row>
    <row r="236" spans="1:48">
      <c r="A236" s="78" t="s">
        <v>19</v>
      </c>
      <c r="B236" s="26"/>
      <c r="C236" s="74"/>
      <c r="D236" s="26"/>
      <c r="E236" s="74"/>
      <c r="F236" s="26">
        <f>+'[19]5-8" W Coml E14'!$V$25</f>
        <v>185.99999999999997</v>
      </c>
      <c r="G236" s="26"/>
      <c r="H236" s="84">
        <f>+'[19]5-8" W Coml E14'!$S4</f>
        <v>6.79</v>
      </c>
      <c r="I236" s="74"/>
      <c r="J236" s="76">
        <f>H236*F236</f>
        <v>1262.9399999999998</v>
      </c>
      <c r="K236" s="26"/>
      <c r="L236" s="29">
        <f t="shared" ref="L236:L240" si="95">+J236</f>
        <v>1262.9399999999998</v>
      </c>
      <c r="M236" s="26"/>
      <c r="N236" s="76"/>
      <c r="O236" s="31"/>
      <c r="P236" s="76">
        <f>SUM(F236)</f>
        <v>185.99999999999997</v>
      </c>
      <c r="Q236" s="26"/>
      <c r="R236" s="82">
        <f t="shared" ref="R236:R240" si="96">H236*(1+$W$5)</f>
        <v>8.2778243852144513</v>
      </c>
      <c r="S236" s="143"/>
      <c r="T236" s="83">
        <f>R236*F236</f>
        <v>1539.6753356498878</v>
      </c>
      <c r="U236" s="143"/>
      <c r="V236" s="143"/>
      <c r="W236" s="203"/>
      <c r="X236" s="1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111"/>
      <c r="AJ236" s="144"/>
      <c r="AK236" s="82"/>
      <c r="AL236" s="113"/>
      <c r="AM236" s="48"/>
      <c r="AN236" s="48"/>
      <c r="AO236" s="19"/>
      <c r="AP236" s="48"/>
      <c r="AQ236" s="48"/>
      <c r="AR236" s="48"/>
      <c r="AS236" s="48"/>
      <c r="AT236" s="48"/>
      <c r="AU236" s="19"/>
      <c r="AV236" s="19"/>
    </row>
    <row r="237" spans="1:48">
      <c r="A237" s="78" t="s">
        <v>20</v>
      </c>
      <c r="B237" s="26"/>
      <c r="C237" s="74"/>
      <c r="D237" s="26"/>
      <c r="E237" s="74"/>
      <c r="F237" s="26">
        <f>+'[19]5-8" W Coml E14'!$W$25</f>
        <v>20</v>
      </c>
      <c r="G237" s="26"/>
      <c r="H237" s="84">
        <f>+'[19]5-8" W Coml E14'!$S5</f>
        <v>6.23</v>
      </c>
      <c r="I237" s="74"/>
      <c r="J237" s="76">
        <f>H237*F237</f>
        <v>124.60000000000001</v>
      </c>
      <c r="K237" s="26"/>
      <c r="L237" s="29">
        <f t="shared" si="95"/>
        <v>124.60000000000001</v>
      </c>
      <c r="M237" s="26"/>
      <c r="N237" s="76"/>
      <c r="O237" s="31"/>
      <c r="P237" s="76">
        <f t="shared" ref="P237:P240" si="97">SUM(F237)</f>
        <v>20</v>
      </c>
      <c r="Q237" s="26"/>
      <c r="R237" s="82">
        <f t="shared" si="96"/>
        <v>7.5951172194235701</v>
      </c>
      <c r="S237" s="143"/>
      <c r="T237" s="83">
        <f t="shared" ref="T237:T240" si="98">R237*F237</f>
        <v>151.90234438847139</v>
      </c>
      <c r="U237" s="143"/>
      <c r="V237" s="143"/>
      <c r="W237" s="203"/>
      <c r="X237" s="1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111"/>
      <c r="AJ237" s="144"/>
      <c r="AK237" s="82"/>
      <c r="AL237" s="113"/>
      <c r="AM237" s="48"/>
      <c r="AN237" s="48"/>
      <c r="AO237" s="19"/>
      <c r="AP237" s="48"/>
      <c r="AQ237" s="48"/>
      <c r="AR237" s="48"/>
      <c r="AS237" s="48"/>
      <c r="AT237" s="48"/>
      <c r="AU237" s="19"/>
      <c r="AV237" s="19"/>
    </row>
    <row r="238" spans="1:48">
      <c r="A238" s="78" t="s">
        <v>21</v>
      </c>
      <c r="B238" s="26"/>
      <c r="C238" s="74"/>
      <c r="D238" s="26"/>
      <c r="E238" s="74"/>
      <c r="F238" s="26">
        <v>0</v>
      </c>
      <c r="G238" s="26"/>
      <c r="H238" s="84">
        <f>+'[19]5-8" W Coml E14'!$S6</f>
        <v>5.68</v>
      </c>
      <c r="I238" s="74"/>
      <c r="J238" s="76">
        <f>H238*F238</f>
        <v>0</v>
      </c>
      <c r="K238" s="26"/>
      <c r="L238" s="29">
        <f t="shared" si="95"/>
        <v>0</v>
      </c>
      <c r="M238" s="26"/>
      <c r="N238" s="76"/>
      <c r="O238" s="31"/>
      <c r="P238" s="76">
        <f t="shared" si="97"/>
        <v>0</v>
      </c>
      <c r="Q238" s="26"/>
      <c r="R238" s="82">
        <f t="shared" si="96"/>
        <v>6.9246012530218088</v>
      </c>
      <c r="S238" s="143"/>
      <c r="T238" s="83">
        <f t="shared" si="98"/>
        <v>0</v>
      </c>
      <c r="U238" s="143"/>
      <c r="V238" s="143"/>
      <c r="W238" s="203"/>
      <c r="X238" s="1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111"/>
      <c r="AJ238" s="144"/>
      <c r="AK238" s="82"/>
      <c r="AL238" s="113"/>
      <c r="AM238" s="48"/>
      <c r="AN238" s="48"/>
      <c r="AO238" s="19"/>
      <c r="AP238" s="48"/>
      <c r="AQ238" s="48"/>
      <c r="AR238" s="48"/>
      <c r="AS238" s="48"/>
      <c r="AT238" s="48"/>
      <c r="AU238" s="19"/>
      <c r="AV238" s="19"/>
    </row>
    <row r="239" spans="1:48">
      <c r="A239" s="78" t="s">
        <v>22</v>
      </c>
      <c r="B239" s="26"/>
      <c r="C239" s="74"/>
      <c r="D239" s="26"/>
      <c r="E239" s="74"/>
      <c r="F239" s="26">
        <v>0</v>
      </c>
      <c r="G239" s="26"/>
      <c r="H239" s="84">
        <f>+'[19]5-8" W Coml E14'!$S7</f>
        <v>5.04</v>
      </c>
      <c r="I239" s="74"/>
      <c r="J239" s="76">
        <f>H239*F239</f>
        <v>0</v>
      </c>
      <c r="K239" s="26"/>
      <c r="L239" s="29">
        <f t="shared" si="95"/>
        <v>0</v>
      </c>
      <c r="M239" s="26"/>
      <c r="N239" s="76"/>
      <c r="O239" s="31"/>
      <c r="P239" s="76">
        <f t="shared" si="97"/>
        <v>0</v>
      </c>
      <c r="Q239" s="26"/>
      <c r="R239" s="82">
        <f t="shared" si="96"/>
        <v>6.1443644921179441</v>
      </c>
      <c r="S239" s="143"/>
      <c r="T239" s="83">
        <f t="shared" si="98"/>
        <v>0</v>
      </c>
      <c r="U239" s="143"/>
      <c r="V239" s="143"/>
      <c r="W239" s="203"/>
      <c r="X239" s="1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111"/>
      <c r="AJ239" s="144"/>
      <c r="AK239" s="82"/>
      <c r="AL239" s="113"/>
      <c r="AM239" s="48"/>
      <c r="AN239" s="48"/>
      <c r="AO239" s="19"/>
      <c r="AP239" s="48"/>
      <c r="AQ239" s="48"/>
      <c r="AR239" s="48"/>
      <c r="AS239" s="48"/>
      <c r="AT239" s="48"/>
      <c r="AU239" s="19"/>
      <c r="AV239" s="19"/>
    </row>
    <row r="240" spans="1:48">
      <c r="A240" s="78" t="s">
        <v>23</v>
      </c>
      <c r="B240" s="26"/>
      <c r="C240" s="74"/>
      <c r="D240" s="26"/>
      <c r="E240" s="74"/>
      <c r="F240" s="26">
        <v>0</v>
      </c>
      <c r="G240" s="26"/>
      <c r="H240" s="84">
        <f>+'[19]5-8" W Coml E14'!$S8</f>
        <v>4.4000000000000004</v>
      </c>
      <c r="I240" s="74"/>
      <c r="J240" s="76">
        <f>H240*F240</f>
        <v>0</v>
      </c>
      <c r="K240" s="26"/>
      <c r="L240" s="29">
        <f t="shared" si="95"/>
        <v>0</v>
      </c>
      <c r="M240" s="26"/>
      <c r="N240" s="76"/>
      <c r="O240" s="31"/>
      <c r="P240" s="76">
        <f t="shared" si="97"/>
        <v>0</v>
      </c>
      <c r="Q240" s="26"/>
      <c r="R240" s="82">
        <f t="shared" si="96"/>
        <v>5.3641277312140785</v>
      </c>
      <c r="S240" s="143"/>
      <c r="T240" s="83">
        <f t="shared" si="98"/>
        <v>0</v>
      </c>
      <c r="U240" s="143"/>
      <c r="V240" s="143"/>
      <c r="W240" s="203"/>
      <c r="X240" s="1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111"/>
      <c r="AJ240" s="144"/>
      <c r="AK240" s="82"/>
      <c r="AL240" s="113"/>
      <c r="AM240" s="48"/>
      <c r="AN240" s="48"/>
      <c r="AO240" s="19"/>
      <c r="AP240" s="48"/>
      <c r="AQ240" s="48"/>
      <c r="AR240" s="48"/>
      <c r="AS240" s="48"/>
      <c r="AT240" s="48"/>
      <c r="AU240" s="19"/>
      <c r="AV240" s="19"/>
    </row>
    <row r="241" spans="1:48" s="97" customFormat="1" ht="12.75" thickBot="1">
      <c r="A241" s="151" t="s">
        <v>28</v>
      </c>
      <c r="B241" s="103">
        <f>SUM(B234:B240)</f>
        <v>254</v>
      </c>
      <c r="C241" s="90"/>
      <c r="D241" s="103">
        <f>SUM(D234:D240)</f>
        <v>48</v>
      </c>
      <c r="E241" s="90"/>
      <c r="F241" s="103">
        <f>SUM(F234:F240)</f>
        <v>205.99999999999997</v>
      </c>
      <c r="G241" s="62"/>
      <c r="H241" s="64"/>
      <c r="I241" s="90"/>
      <c r="J241" s="91">
        <f>SUM(J234:J240)</f>
        <v>1963.0599999999997</v>
      </c>
      <c r="K241" s="62"/>
      <c r="L241" s="91">
        <f>SUM(L234:L240)</f>
        <v>1963.0599999999997</v>
      </c>
      <c r="M241" s="62"/>
      <c r="N241" s="108">
        <f>SUM(N235:N240)</f>
        <v>48</v>
      </c>
      <c r="O241" s="67"/>
      <c r="P241" s="108">
        <f>SUM(P236:P240)</f>
        <v>205.99999999999997</v>
      </c>
      <c r="Q241" s="67"/>
      <c r="R241" s="68"/>
      <c r="S241" s="148"/>
      <c r="T241" s="220">
        <f>SUM(T234:T240)</f>
        <v>2393.2055872811602</v>
      </c>
      <c r="U241" s="148"/>
      <c r="V241" s="148"/>
      <c r="W241" s="206"/>
      <c r="X241" s="17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27"/>
      <c r="AJ241" s="149"/>
      <c r="AK241" s="116"/>
      <c r="AL241" s="130"/>
      <c r="AM241" s="96"/>
      <c r="AN241" s="96"/>
      <c r="AO241" s="129"/>
      <c r="AP241" s="96"/>
      <c r="AQ241" s="96"/>
      <c r="AR241" s="96"/>
      <c r="AS241" s="96"/>
      <c r="AT241" s="96"/>
      <c r="AU241" s="129"/>
      <c r="AV241" s="129"/>
    </row>
    <row r="242" spans="1:48" s="97" customFormat="1" ht="12.75" thickTop="1">
      <c r="A242" s="151"/>
      <c r="B242" s="67"/>
      <c r="C242" s="90"/>
      <c r="D242" s="67"/>
      <c r="E242" s="90"/>
      <c r="F242" s="67"/>
      <c r="G242" s="62"/>
      <c r="H242" s="64"/>
      <c r="I242" s="90"/>
      <c r="J242" s="173"/>
      <c r="K242" s="62"/>
      <c r="L242" s="173"/>
      <c r="M242" s="62"/>
      <c r="N242" s="124"/>
      <c r="O242" s="67"/>
      <c r="P242" s="124"/>
      <c r="Q242" s="67"/>
      <c r="R242" s="68"/>
      <c r="S242" s="148"/>
      <c r="T242" s="222"/>
      <c r="U242" s="148"/>
      <c r="V242" s="148"/>
      <c r="W242" s="206"/>
      <c r="X242" s="17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27"/>
      <c r="AJ242" s="149"/>
      <c r="AK242" s="116"/>
      <c r="AL242" s="130"/>
      <c r="AM242" s="96"/>
      <c r="AN242" s="96"/>
      <c r="AO242" s="129"/>
      <c r="AP242" s="96"/>
      <c r="AQ242" s="96"/>
      <c r="AR242" s="96"/>
      <c r="AS242" s="96"/>
      <c r="AT242" s="96"/>
      <c r="AU242" s="129"/>
      <c r="AV242" s="129"/>
    </row>
    <row r="243" spans="1:48" s="97" customFormat="1" ht="12.75" thickBot="1">
      <c r="A243" s="152" t="s">
        <v>29</v>
      </c>
      <c r="B243" s="67"/>
      <c r="C243" s="90"/>
      <c r="D243" s="67"/>
      <c r="E243" s="90"/>
      <c r="F243" s="67"/>
      <c r="G243" s="62"/>
      <c r="H243" s="64"/>
      <c r="I243" s="90"/>
      <c r="J243" s="173"/>
      <c r="K243" s="62"/>
      <c r="L243" s="99">
        <f>L241/+$D241</f>
        <v>40.897083333333327</v>
      </c>
      <c r="M243" s="26"/>
      <c r="N243" s="76"/>
      <c r="O243" s="31"/>
      <c r="P243" s="76"/>
      <c r="Q243" s="26"/>
      <c r="R243" s="32"/>
      <c r="S243" s="75"/>
      <c r="T243" s="99">
        <f>T241/+$D241</f>
        <v>49.858449735024173</v>
      </c>
      <c r="U243" s="75"/>
      <c r="V243" s="75"/>
      <c r="W243" s="206"/>
      <c r="X243" s="17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27"/>
      <c r="AJ243" s="149"/>
      <c r="AK243" s="116"/>
      <c r="AL243" s="130"/>
      <c r="AM243" s="96"/>
      <c r="AN243" s="96"/>
      <c r="AO243" s="129"/>
      <c r="AP243" s="96"/>
      <c r="AQ243" s="96"/>
      <c r="AR243" s="96"/>
      <c r="AS243" s="96"/>
      <c r="AT243" s="96"/>
      <c r="AU243" s="129"/>
      <c r="AV243" s="129"/>
    </row>
    <row r="244" spans="1:48" ht="12.75" thickTop="1">
      <c r="A244" s="73" t="s">
        <v>118</v>
      </c>
      <c r="B244" s="26">
        <f>+'[19]5-8" W Gov E14'!$I$15/1000</f>
        <v>321</v>
      </c>
      <c r="C244" s="74"/>
      <c r="D244" s="26"/>
      <c r="E244" s="74"/>
      <c r="F244" s="26"/>
      <c r="G244" s="26"/>
      <c r="H244" s="28"/>
      <c r="I244" s="74"/>
      <c r="J244" s="29"/>
      <c r="K244" s="26"/>
      <c r="L244" s="29"/>
      <c r="M244" s="26"/>
      <c r="N244" s="76"/>
      <c r="O244" s="31"/>
      <c r="P244" s="76"/>
      <c r="Q244" s="26"/>
      <c r="R244" s="32"/>
      <c r="S244" s="143"/>
      <c r="T244" s="83"/>
      <c r="U244" s="143"/>
      <c r="V244" s="143"/>
      <c r="W244" s="203"/>
      <c r="X244" s="1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111"/>
      <c r="AJ244" s="144"/>
      <c r="AK244" s="82"/>
      <c r="AL244" s="113"/>
      <c r="AM244" s="48"/>
      <c r="AN244" s="48"/>
      <c r="AO244" s="19"/>
      <c r="AP244" s="48"/>
      <c r="AQ244" s="48"/>
      <c r="AR244" s="48"/>
      <c r="AS244" s="48"/>
      <c r="AT244" s="48"/>
      <c r="AU244" s="19"/>
      <c r="AV244" s="19"/>
    </row>
    <row r="245" spans="1:48">
      <c r="A245" s="78" t="s">
        <v>18</v>
      </c>
      <c r="B245" s="26"/>
      <c r="C245" s="74"/>
      <c r="D245" s="26">
        <f>+'[19]5-8" W Gov E14'!$S$19</f>
        <v>114.99999999999999</v>
      </c>
      <c r="E245" s="74"/>
      <c r="F245" s="26"/>
      <c r="G245" s="26"/>
      <c r="H245" s="81">
        <f>+'[19]5-8" W Gov E14'!$S$2</f>
        <v>11.99</v>
      </c>
      <c r="I245" s="74"/>
      <c r="J245" s="83">
        <f>H245*D245</f>
        <v>1378.85</v>
      </c>
      <c r="K245" s="26"/>
      <c r="L245" s="29">
        <f>+J245</f>
        <v>1378.85</v>
      </c>
      <c r="M245" s="26"/>
      <c r="N245" s="76">
        <f>D245</f>
        <v>114.99999999999999</v>
      </c>
      <c r="O245" s="31"/>
      <c r="P245" s="76"/>
      <c r="Q245" s="26"/>
      <c r="R245" s="82">
        <f>H245*(1+$W$5)</f>
        <v>14.617248067558362</v>
      </c>
      <c r="S245" s="143"/>
      <c r="T245" s="83">
        <f>R245*+D245</f>
        <v>1680.9835277692114</v>
      </c>
      <c r="U245" s="143"/>
      <c r="V245" s="143"/>
      <c r="W245" s="203"/>
      <c r="X245" s="1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11"/>
      <c r="AJ245" s="144"/>
      <c r="AK245" s="82"/>
      <c r="AL245" s="113"/>
      <c r="AM245" s="48"/>
      <c r="AN245" s="48"/>
      <c r="AO245" s="19"/>
      <c r="AP245" s="48"/>
      <c r="AQ245" s="48"/>
      <c r="AR245" s="48"/>
      <c r="AS245" s="48"/>
      <c r="AT245" s="48"/>
      <c r="AU245" s="19"/>
      <c r="AV245" s="19"/>
    </row>
    <row r="246" spans="1:48">
      <c r="A246" s="78" t="s">
        <v>19</v>
      </c>
      <c r="B246" s="26"/>
      <c r="C246" s="74"/>
      <c r="D246" s="26"/>
      <c r="E246" s="74"/>
      <c r="F246" s="26">
        <f>+'[19]5-8" W Gov E14'!$V$19</f>
        <v>209.00000000000003</v>
      </c>
      <c r="G246" s="26"/>
      <c r="H246" s="84">
        <f>+'[19]5-8" W Gov E14'!$S4</f>
        <v>6.79</v>
      </c>
      <c r="I246" s="74"/>
      <c r="J246" s="76">
        <f>H246*F246</f>
        <v>1419.1100000000001</v>
      </c>
      <c r="K246" s="26"/>
      <c r="L246" s="29">
        <f t="shared" ref="L246:L250" si="99">+J246</f>
        <v>1419.1100000000001</v>
      </c>
      <c r="M246" s="26"/>
      <c r="N246" s="76"/>
      <c r="O246" s="31"/>
      <c r="P246" s="76">
        <f>SUM(F246)</f>
        <v>209.00000000000003</v>
      </c>
      <c r="Q246" s="26"/>
      <c r="R246" s="82">
        <f t="shared" ref="R246:R250" si="100">H246*(1+$W$5)</f>
        <v>8.2778243852144513</v>
      </c>
      <c r="S246" s="143"/>
      <c r="T246" s="83">
        <f>R246*F246</f>
        <v>1730.0652965098207</v>
      </c>
      <c r="U246" s="143"/>
      <c r="V246" s="143"/>
      <c r="W246" s="203"/>
      <c r="X246" s="1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11"/>
      <c r="AJ246" s="144"/>
      <c r="AK246" s="82"/>
      <c r="AL246" s="113"/>
      <c r="AM246" s="48"/>
      <c r="AN246" s="48"/>
      <c r="AO246" s="19"/>
      <c r="AP246" s="48"/>
      <c r="AQ246" s="48"/>
      <c r="AR246" s="48"/>
      <c r="AS246" s="48"/>
      <c r="AT246" s="48"/>
      <c r="AU246" s="19"/>
      <c r="AV246" s="19"/>
    </row>
    <row r="247" spans="1:48">
      <c r="A247" s="78" t="s">
        <v>20</v>
      </c>
      <c r="B247" s="26"/>
      <c r="C247" s="74"/>
      <c r="D247" s="26"/>
      <c r="E247" s="74"/>
      <c r="F247" s="26">
        <v>0</v>
      </c>
      <c r="G247" s="26"/>
      <c r="H247" s="84">
        <f>+'[19]5-8" W Gov E14'!$S5</f>
        <v>6.23</v>
      </c>
      <c r="I247" s="74"/>
      <c r="J247" s="76">
        <f>H247*F247</f>
        <v>0</v>
      </c>
      <c r="K247" s="26"/>
      <c r="L247" s="29">
        <f t="shared" si="99"/>
        <v>0</v>
      </c>
      <c r="M247" s="26"/>
      <c r="N247" s="76"/>
      <c r="O247" s="31"/>
      <c r="P247" s="76">
        <f t="shared" ref="P247:P250" si="101">SUM(F247)</f>
        <v>0</v>
      </c>
      <c r="Q247" s="26"/>
      <c r="R247" s="82">
        <f t="shared" si="100"/>
        <v>7.5951172194235701</v>
      </c>
      <c r="S247" s="143"/>
      <c r="T247" s="83">
        <f t="shared" ref="T247:T250" si="102">R247*F247</f>
        <v>0</v>
      </c>
      <c r="U247" s="143"/>
      <c r="V247" s="143"/>
      <c r="W247" s="203"/>
      <c r="X247" s="1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111"/>
      <c r="AJ247" s="144"/>
      <c r="AK247" s="82"/>
      <c r="AL247" s="113"/>
      <c r="AM247" s="48"/>
      <c r="AN247" s="48"/>
      <c r="AO247" s="19"/>
      <c r="AP247" s="48"/>
      <c r="AQ247" s="48"/>
      <c r="AR247" s="48"/>
      <c r="AS247" s="48"/>
      <c r="AT247" s="48"/>
      <c r="AU247" s="19"/>
      <c r="AV247" s="19"/>
    </row>
    <row r="248" spans="1:48">
      <c r="A248" s="78" t="s">
        <v>21</v>
      </c>
      <c r="B248" s="26"/>
      <c r="C248" s="74"/>
      <c r="D248" s="26"/>
      <c r="E248" s="74"/>
      <c r="F248" s="26">
        <v>0</v>
      </c>
      <c r="G248" s="26"/>
      <c r="H248" s="84">
        <f>+'[19]5-8" W Gov E14'!$S6</f>
        <v>5.68</v>
      </c>
      <c r="I248" s="74"/>
      <c r="J248" s="76">
        <f>H248*F248</f>
        <v>0</v>
      </c>
      <c r="K248" s="26"/>
      <c r="L248" s="29">
        <f t="shared" si="99"/>
        <v>0</v>
      </c>
      <c r="M248" s="26"/>
      <c r="N248" s="76"/>
      <c r="O248" s="31"/>
      <c r="P248" s="76">
        <f t="shared" si="101"/>
        <v>0</v>
      </c>
      <c r="Q248" s="26"/>
      <c r="R248" s="82">
        <f t="shared" si="100"/>
        <v>6.9246012530218088</v>
      </c>
      <c r="S248" s="143"/>
      <c r="T248" s="83">
        <f t="shared" si="102"/>
        <v>0</v>
      </c>
      <c r="U248" s="143"/>
      <c r="V248" s="143"/>
      <c r="W248" s="203"/>
      <c r="X248" s="1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111"/>
      <c r="AJ248" s="144"/>
      <c r="AK248" s="82"/>
      <c r="AL248" s="113"/>
      <c r="AM248" s="48"/>
      <c r="AN248" s="48"/>
      <c r="AO248" s="19"/>
      <c r="AP248" s="48"/>
      <c r="AQ248" s="48"/>
      <c r="AR248" s="48"/>
      <c r="AS248" s="48"/>
      <c r="AT248" s="48"/>
      <c r="AU248" s="19"/>
      <c r="AV248" s="19"/>
    </row>
    <row r="249" spans="1:48">
      <c r="A249" s="78" t="s">
        <v>22</v>
      </c>
      <c r="B249" s="26"/>
      <c r="C249" s="74"/>
      <c r="D249" s="26"/>
      <c r="E249" s="74"/>
      <c r="F249" s="26">
        <v>0</v>
      </c>
      <c r="G249" s="26"/>
      <c r="H249" s="84">
        <f>+'[19]5-8" W Gov E14'!$S7</f>
        <v>5.04</v>
      </c>
      <c r="I249" s="74"/>
      <c r="J249" s="76">
        <f>H249*F249</f>
        <v>0</v>
      </c>
      <c r="K249" s="26"/>
      <c r="L249" s="29">
        <f t="shared" si="99"/>
        <v>0</v>
      </c>
      <c r="M249" s="26"/>
      <c r="N249" s="76"/>
      <c r="O249" s="31"/>
      <c r="P249" s="76">
        <f t="shared" si="101"/>
        <v>0</v>
      </c>
      <c r="Q249" s="26"/>
      <c r="R249" s="82">
        <f t="shared" si="100"/>
        <v>6.1443644921179441</v>
      </c>
      <c r="S249" s="143"/>
      <c r="T249" s="83">
        <f t="shared" si="102"/>
        <v>0</v>
      </c>
      <c r="U249" s="143"/>
      <c r="V249" s="143"/>
      <c r="W249" s="203"/>
      <c r="X249" s="1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111"/>
      <c r="AJ249" s="144"/>
      <c r="AK249" s="82"/>
      <c r="AL249" s="113"/>
      <c r="AM249" s="48"/>
      <c r="AN249" s="48"/>
      <c r="AO249" s="19"/>
      <c r="AP249" s="48"/>
      <c r="AQ249" s="48"/>
      <c r="AR249" s="48"/>
      <c r="AS249" s="48"/>
      <c r="AT249" s="48"/>
      <c r="AU249" s="19"/>
      <c r="AV249" s="19"/>
    </row>
    <row r="250" spans="1:48">
      <c r="A250" s="78" t="s">
        <v>23</v>
      </c>
      <c r="B250" s="26"/>
      <c r="C250" s="74"/>
      <c r="D250" s="26"/>
      <c r="E250" s="74"/>
      <c r="F250" s="26">
        <v>0</v>
      </c>
      <c r="G250" s="26"/>
      <c r="H250" s="84">
        <f>+'[19]5-8" W Gov E14'!$S8</f>
        <v>4.4000000000000004</v>
      </c>
      <c r="I250" s="74"/>
      <c r="J250" s="76">
        <f>H250*F250</f>
        <v>0</v>
      </c>
      <c r="K250" s="26"/>
      <c r="L250" s="29">
        <f t="shared" si="99"/>
        <v>0</v>
      </c>
      <c r="M250" s="26"/>
      <c r="N250" s="76"/>
      <c r="O250" s="31"/>
      <c r="P250" s="76">
        <f t="shared" si="101"/>
        <v>0</v>
      </c>
      <c r="Q250" s="26"/>
      <c r="R250" s="82">
        <f t="shared" si="100"/>
        <v>5.3641277312140785</v>
      </c>
      <c r="S250" s="143"/>
      <c r="T250" s="83">
        <f t="shared" si="102"/>
        <v>0</v>
      </c>
      <c r="U250" s="143"/>
      <c r="V250" s="143"/>
      <c r="W250" s="203"/>
      <c r="X250" s="1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111"/>
      <c r="AJ250" s="144"/>
      <c r="AK250" s="82"/>
      <c r="AL250" s="113"/>
      <c r="AM250" s="48"/>
      <c r="AN250" s="48"/>
      <c r="AO250" s="19"/>
      <c r="AP250" s="48"/>
      <c r="AQ250" s="48"/>
      <c r="AR250" s="48"/>
      <c r="AS250" s="48"/>
      <c r="AT250" s="48"/>
      <c r="AU250" s="19"/>
      <c r="AV250" s="19"/>
    </row>
    <row r="251" spans="1:48" s="97" customFormat="1" ht="12.75" thickBot="1">
      <c r="A251" s="151" t="s">
        <v>119</v>
      </c>
      <c r="B251" s="103">
        <f>SUM(B244:B250)</f>
        <v>321</v>
      </c>
      <c r="C251" s="90"/>
      <c r="D251" s="103">
        <f>SUM(D244:D250)</f>
        <v>114.99999999999999</v>
      </c>
      <c r="E251" s="90"/>
      <c r="F251" s="103">
        <f>SUM(F244:F250)</f>
        <v>209.00000000000003</v>
      </c>
      <c r="G251" s="62"/>
      <c r="H251" s="64"/>
      <c r="I251" s="90"/>
      <c r="J251" s="91">
        <f>SUM(J244:J250)</f>
        <v>2797.96</v>
      </c>
      <c r="K251" s="62"/>
      <c r="L251" s="91">
        <f>SUM(L244:L250)</f>
        <v>2797.96</v>
      </c>
      <c r="M251" s="62"/>
      <c r="N251" s="108">
        <f>SUM(N245:N250)</f>
        <v>114.99999999999999</v>
      </c>
      <c r="O251" s="67"/>
      <c r="P251" s="108">
        <f>SUM(P246:P250)</f>
        <v>209.00000000000003</v>
      </c>
      <c r="Q251" s="67"/>
      <c r="R251" s="68"/>
      <c r="S251" s="148"/>
      <c r="T251" s="220">
        <f>SUM(T244:T250)</f>
        <v>3411.048824279032</v>
      </c>
      <c r="U251" s="148"/>
      <c r="V251" s="148"/>
      <c r="W251" s="206"/>
      <c r="X251" s="17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27"/>
      <c r="AJ251" s="149"/>
      <c r="AK251" s="116"/>
      <c r="AL251" s="130"/>
      <c r="AM251" s="96"/>
      <c r="AN251" s="96"/>
      <c r="AO251" s="129"/>
      <c r="AP251" s="96"/>
      <c r="AQ251" s="96"/>
      <c r="AR251" s="96"/>
      <c r="AS251" s="96"/>
      <c r="AT251" s="96"/>
      <c r="AU251" s="129"/>
      <c r="AV251" s="129"/>
    </row>
    <row r="252" spans="1:48" s="97" customFormat="1" ht="12.75" thickTop="1">
      <c r="A252" s="151"/>
      <c r="B252" s="67"/>
      <c r="C252" s="90"/>
      <c r="D252" s="67"/>
      <c r="E252" s="90"/>
      <c r="F252" s="67"/>
      <c r="G252" s="62"/>
      <c r="H252" s="64"/>
      <c r="I252" s="90"/>
      <c r="J252" s="173"/>
      <c r="K252" s="62"/>
      <c r="L252" s="173"/>
      <c r="M252" s="62"/>
      <c r="N252" s="124"/>
      <c r="O252" s="67"/>
      <c r="P252" s="124"/>
      <c r="Q252" s="67"/>
      <c r="R252" s="68"/>
      <c r="S252" s="148"/>
      <c r="T252" s="222"/>
      <c r="U252" s="148"/>
      <c r="V252" s="148"/>
      <c r="W252" s="206"/>
      <c r="X252" s="17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27"/>
      <c r="AJ252" s="149"/>
      <c r="AK252" s="116"/>
      <c r="AL252" s="130"/>
      <c r="AM252" s="96"/>
      <c r="AN252" s="96"/>
      <c r="AO252" s="129"/>
      <c r="AP252" s="96"/>
      <c r="AQ252" s="96"/>
      <c r="AR252" s="96"/>
      <c r="AS252" s="96"/>
      <c r="AT252" s="96"/>
      <c r="AU252" s="129"/>
      <c r="AV252" s="129"/>
    </row>
    <row r="253" spans="1:48" ht="12.75" thickBot="1">
      <c r="A253" s="152" t="s">
        <v>120</v>
      </c>
      <c r="B253" s="26"/>
      <c r="C253" s="74"/>
      <c r="D253" s="26"/>
      <c r="E253" s="74"/>
      <c r="F253" s="26"/>
      <c r="G253" s="26"/>
      <c r="H253" s="28"/>
      <c r="I253" s="74"/>
      <c r="J253" s="83"/>
      <c r="K253" s="26"/>
      <c r="L253" s="99">
        <f>L251/+$D251</f>
        <v>24.330086956521743</v>
      </c>
      <c r="M253" s="26"/>
      <c r="N253" s="76"/>
      <c r="O253" s="31"/>
      <c r="P253" s="76"/>
      <c r="Q253" s="26"/>
      <c r="R253" s="32"/>
      <c r="S253" s="75"/>
      <c r="T253" s="99">
        <f>T251/+$D251</f>
        <v>29.661294124165501</v>
      </c>
      <c r="U253" s="75"/>
      <c r="V253" s="75"/>
      <c r="W253" s="203"/>
      <c r="X253" s="1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111"/>
      <c r="AJ253" s="144"/>
      <c r="AK253" s="82"/>
      <c r="AL253" s="113"/>
      <c r="AM253" s="48"/>
      <c r="AN253" s="48"/>
      <c r="AO253" s="19"/>
      <c r="AP253" s="48"/>
      <c r="AQ253" s="48"/>
      <c r="AR253" s="48"/>
      <c r="AS253" s="48"/>
      <c r="AT253" s="48"/>
      <c r="AU253" s="19"/>
      <c r="AV253" s="19"/>
    </row>
    <row r="254" spans="1:48" ht="12.75" thickTop="1">
      <c r="A254" s="73" t="s">
        <v>121</v>
      </c>
      <c r="B254" s="139">
        <f>+'[19]3-4" W Res E14'!$I$50/1000</f>
        <v>19446</v>
      </c>
      <c r="C254" s="74"/>
      <c r="D254" s="26"/>
      <c r="E254" s="74"/>
      <c r="I254" s="74"/>
      <c r="K254" s="26"/>
      <c r="L254" s="29"/>
      <c r="M254" s="26"/>
      <c r="N254" s="76"/>
      <c r="O254" s="31"/>
      <c r="P254" s="76"/>
      <c r="Q254" s="26"/>
      <c r="R254" s="32"/>
      <c r="S254" s="143"/>
      <c r="T254" s="83"/>
      <c r="U254" s="143"/>
      <c r="V254" s="143"/>
      <c r="W254" s="203"/>
      <c r="X254" s="1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111"/>
      <c r="AJ254" s="144"/>
      <c r="AK254" s="82"/>
      <c r="AL254" s="113"/>
      <c r="AM254" s="48"/>
      <c r="AN254" s="48"/>
      <c r="AO254" s="19"/>
      <c r="AP254" s="48"/>
      <c r="AQ254" s="48"/>
      <c r="AR254" s="48"/>
      <c r="AS254" s="48"/>
      <c r="AT254" s="48"/>
      <c r="AU254" s="19"/>
      <c r="AV254" s="19"/>
    </row>
    <row r="255" spans="1:48">
      <c r="A255" s="78" t="s">
        <v>18</v>
      </c>
      <c r="C255" s="74"/>
      <c r="D255" s="139">
        <f>+'[19]3-4" W Res E14'!$S$54</f>
        <v>5797.0000000000045</v>
      </c>
      <c r="E255" s="74"/>
      <c r="H255" s="81">
        <f>+'[19]3-4" W Res E14'!$S$2</f>
        <v>11.99</v>
      </c>
      <c r="I255" s="74"/>
      <c r="J255" s="83">
        <f>H255*D255</f>
        <v>69506.030000000057</v>
      </c>
      <c r="K255" s="26"/>
      <c r="L255" s="29">
        <f>+J255</f>
        <v>69506.030000000057</v>
      </c>
      <c r="M255" s="26"/>
      <c r="N255" s="76">
        <f>D255</f>
        <v>5797.0000000000045</v>
      </c>
      <c r="O255" s="31"/>
      <c r="P255" s="76"/>
      <c r="Q255" s="26"/>
      <c r="R255" s="82">
        <f>H255*(1+$W$5)</f>
        <v>14.617248067558362</v>
      </c>
      <c r="S255" s="143"/>
      <c r="T255" s="83">
        <f>R255*+D255</f>
        <v>84736.187047635889</v>
      </c>
      <c r="U255" s="143"/>
      <c r="V255" s="143"/>
      <c r="W255" s="203"/>
      <c r="X255" s="1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111"/>
      <c r="AJ255" s="144"/>
      <c r="AK255" s="82"/>
      <c r="AL255" s="113"/>
      <c r="AM255" s="48"/>
      <c r="AN255" s="48"/>
      <c r="AO255" s="19"/>
      <c r="AP255" s="48"/>
      <c r="AQ255" s="48"/>
      <c r="AR255" s="48"/>
      <c r="AS255" s="48"/>
      <c r="AT255" s="48"/>
      <c r="AU255" s="19"/>
      <c r="AV255" s="19"/>
    </row>
    <row r="256" spans="1:48">
      <c r="A256" s="78" t="s">
        <v>19</v>
      </c>
      <c r="C256" s="74"/>
      <c r="E256" s="74"/>
      <c r="F256" s="139">
        <f>+'[19]3-4" W Res E14'!$V$54</f>
        <v>12932.000000000004</v>
      </c>
      <c r="H256" s="84">
        <f>+'[19]3-4" W Res E14'!$S4</f>
        <v>6.79</v>
      </c>
      <c r="I256" s="74"/>
      <c r="J256" s="76">
        <f>H256*F256</f>
        <v>87808.280000000028</v>
      </c>
      <c r="K256" s="26"/>
      <c r="L256" s="29">
        <f t="shared" ref="L256:L260" si="103">+J256</f>
        <v>87808.280000000028</v>
      </c>
      <c r="M256" s="26"/>
      <c r="N256" s="76"/>
      <c r="O256" s="31"/>
      <c r="P256" s="76">
        <f>SUM(F256)</f>
        <v>12932.000000000004</v>
      </c>
      <c r="Q256" s="26"/>
      <c r="R256" s="82">
        <f t="shared" ref="R256:R260" si="104">H256*(1+$W$5)</f>
        <v>8.2778243852144513</v>
      </c>
      <c r="S256" s="143"/>
      <c r="T256" s="83">
        <f>R256*F256</f>
        <v>107048.82494959331</v>
      </c>
      <c r="U256" s="143"/>
      <c r="V256" s="143"/>
      <c r="W256" s="203"/>
      <c r="X256" s="1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111"/>
      <c r="AJ256" s="144"/>
      <c r="AK256" s="82"/>
      <c r="AL256" s="113"/>
      <c r="AM256" s="48"/>
      <c r="AN256" s="48"/>
      <c r="AO256" s="19"/>
      <c r="AP256" s="48"/>
      <c r="AQ256" s="48"/>
      <c r="AR256" s="48"/>
      <c r="AS256" s="48"/>
      <c r="AT256" s="48"/>
      <c r="AU256" s="19"/>
      <c r="AV256" s="19"/>
    </row>
    <row r="257" spans="1:48">
      <c r="A257" s="78" t="s">
        <v>20</v>
      </c>
      <c r="C257" s="74"/>
      <c r="E257" s="74"/>
      <c r="F257" s="139">
        <f>+'[19]3-4" W Res E14'!$W$54</f>
        <v>773.99999999999977</v>
      </c>
      <c r="H257" s="84">
        <f>+'[19]3-4" W Res E14'!$S5</f>
        <v>6.23</v>
      </c>
      <c r="I257" s="74"/>
      <c r="J257" s="76">
        <f>H257*F257</f>
        <v>4822.0199999999986</v>
      </c>
      <c r="K257" s="26"/>
      <c r="L257" s="29">
        <f t="shared" si="103"/>
        <v>4822.0199999999986</v>
      </c>
      <c r="M257" s="26"/>
      <c r="N257" s="76"/>
      <c r="O257" s="31"/>
      <c r="P257" s="76">
        <f t="shared" ref="P257:P260" si="105">SUM(F257)</f>
        <v>773.99999999999977</v>
      </c>
      <c r="Q257" s="26"/>
      <c r="R257" s="82">
        <f t="shared" si="104"/>
        <v>7.5951172194235701</v>
      </c>
      <c r="S257" s="143"/>
      <c r="T257" s="83">
        <f t="shared" ref="T257:T260" si="106">R257*F257</f>
        <v>5878.6207278338416</v>
      </c>
      <c r="U257" s="143"/>
      <c r="V257" s="143"/>
      <c r="W257" s="203"/>
      <c r="X257" s="1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111"/>
      <c r="AJ257" s="144"/>
      <c r="AK257" s="82"/>
      <c r="AL257" s="113"/>
      <c r="AM257" s="48"/>
      <c r="AN257" s="48"/>
      <c r="AO257" s="19"/>
      <c r="AP257" s="48"/>
      <c r="AQ257" s="48"/>
      <c r="AR257" s="48"/>
      <c r="AS257" s="48"/>
      <c r="AT257" s="48"/>
      <c r="AU257" s="19"/>
      <c r="AV257" s="19"/>
    </row>
    <row r="258" spans="1:48">
      <c r="A258" s="78" t="s">
        <v>21</v>
      </c>
      <c r="C258" s="74"/>
      <c r="E258" s="74"/>
      <c r="F258" s="139">
        <f>+'[19]3-4" W Res E14'!$X$54</f>
        <v>250</v>
      </c>
      <c r="H258" s="84">
        <f>+'[19]3-4" W Res E14'!$S6</f>
        <v>5.68</v>
      </c>
      <c r="I258" s="74"/>
      <c r="J258" s="76">
        <f>H258*F258</f>
        <v>1420</v>
      </c>
      <c r="K258" s="26"/>
      <c r="L258" s="29">
        <f t="shared" si="103"/>
        <v>1420</v>
      </c>
      <c r="M258" s="26"/>
      <c r="N258" s="76"/>
      <c r="O258" s="31"/>
      <c r="P258" s="76">
        <f t="shared" si="105"/>
        <v>250</v>
      </c>
      <c r="Q258" s="26"/>
      <c r="R258" s="82">
        <f t="shared" si="104"/>
        <v>6.9246012530218088</v>
      </c>
      <c r="S258" s="143"/>
      <c r="T258" s="83">
        <f t="shared" si="106"/>
        <v>1731.1503132554521</v>
      </c>
      <c r="U258" s="143"/>
      <c r="V258" s="143"/>
      <c r="W258" s="203"/>
      <c r="X258" s="1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111"/>
      <c r="AJ258" s="144"/>
      <c r="AK258" s="82"/>
      <c r="AL258" s="113"/>
      <c r="AM258" s="48"/>
      <c r="AN258" s="48"/>
      <c r="AO258" s="19"/>
      <c r="AP258" s="48"/>
      <c r="AQ258" s="48"/>
      <c r="AR258" s="48"/>
      <c r="AS258" s="48"/>
      <c r="AT258" s="48"/>
      <c r="AU258" s="19"/>
      <c r="AV258" s="19"/>
    </row>
    <row r="259" spans="1:48">
      <c r="A259" s="78" t="s">
        <v>22</v>
      </c>
      <c r="C259" s="74"/>
      <c r="E259" s="74"/>
      <c r="F259" s="139">
        <f>+'[19]3-4" W Res E14'!$Y$54</f>
        <v>177</v>
      </c>
      <c r="H259" s="84">
        <f>+'[19]3-4" W Res E14'!$S7</f>
        <v>5.04</v>
      </c>
      <c r="I259" s="74"/>
      <c r="J259" s="76">
        <f>H259*F259</f>
        <v>892.08</v>
      </c>
      <c r="K259" s="26"/>
      <c r="L259" s="29">
        <f t="shared" si="103"/>
        <v>892.08</v>
      </c>
      <c r="M259" s="26"/>
      <c r="N259" s="76"/>
      <c r="O259" s="31"/>
      <c r="P259" s="76">
        <f t="shared" si="105"/>
        <v>177</v>
      </c>
      <c r="Q259" s="26"/>
      <c r="R259" s="82">
        <f t="shared" si="104"/>
        <v>6.1443644921179441</v>
      </c>
      <c r="S259" s="143"/>
      <c r="T259" s="83">
        <f t="shared" si="106"/>
        <v>1087.5525151048762</v>
      </c>
      <c r="U259" s="143"/>
      <c r="V259" s="143"/>
      <c r="W259" s="203"/>
      <c r="X259" s="1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111"/>
      <c r="AJ259" s="144"/>
      <c r="AK259" s="82"/>
      <c r="AL259" s="113"/>
      <c r="AM259" s="48"/>
      <c r="AN259" s="48"/>
      <c r="AO259" s="19"/>
      <c r="AP259" s="48"/>
      <c r="AQ259" s="48"/>
      <c r="AR259" s="48"/>
      <c r="AS259" s="48"/>
      <c r="AT259" s="48"/>
      <c r="AU259" s="19"/>
      <c r="AV259" s="19"/>
    </row>
    <row r="260" spans="1:48">
      <c r="A260" s="78" t="s">
        <v>23</v>
      </c>
      <c r="C260" s="74"/>
      <c r="E260" s="74"/>
      <c r="F260" s="139">
        <f>+'[19]3-4" W Res E14'!$Z$54</f>
        <v>41</v>
      </c>
      <c r="H260" s="84">
        <f>+'[19]3-4" W Res E14'!$S8</f>
        <v>4.4000000000000004</v>
      </c>
      <c r="I260" s="74"/>
      <c r="J260" s="76">
        <f>H260*F260</f>
        <v>180.4</v>
      </c>
      <c r="K260" s="26"/>
      <c r="L260" s="29">
        <f t="shared" si="103"/>
        <v>180.4</v>
      </c>
      <c r="M260" s="26"/>
      <c r="N260" s="76"/>
      <c r="O260" s="31"/>
      <c r="P260" s="76">
        <f t="shared" si="105"/>
        <v>41</v>
      </c>
      <c r="Q260" s="26"/>
      <c r="R260" s="82">
        <f t="shared" si="104"/>
        <v>5.3641277312140785</v>
      </c>
      <c r="S260" s="143"/>
      <c r="T260" s="83">
        <f t="shared" si="106"/>
        <v>219.92923697977722</v>
      </c>
      <c r="U260" s="143"/>
      <c r="V260" s="143"/>
      <c r="W260" s="203"/>
      <c r="X260" s="1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111"/>
      <c r="AJ260" s="144"/>
      <c r="AK260" s="82"/>
      <c r="AL260" s="113"/>
      <c r="AM260" s="48"/>
      <c r="AN260" s="48"/>
      <c r="AO260" s="19"/>
      <c r="AP260" s="48"/>
      <c r="AQ260" s="48"/>
      <c r="AR260" s="48"/>
      <c r="AS260" s="48"/>
      <c r="AT260" s="48"/>
      <c r="AU260" s="19"/>
      <c r="AV260" s="19"/>
    </row>
    <row r="261" spans="1:48" s="97" customFormat="1" ht="12.75" thickBot="1">
      <c r="A261" s="151" t="s">
        <v>122</v>
      </c>
      <c r="B261" s="103">
        <f>SUM(B254:B260)</f>
        <v>19446</v>
      </c>
      <c r="C261" s="90"/>
      <c r="D261" s="103">
        <f>SUM(D254:D260)</f>
        <v>5797.0000000000045</v>
      </c>
      <c r="E261" s="90"/>
      <c r="F261" s="103">
        <f>SUM(F254:F260)</f>
        <v>14174.000000000004</v>
      </c>
      <c r="G261" s="62"/>
      <c r="H261" s="64"/>
      <c r="I261" s="90"/>
      <c r="J261" s="91">
        <f>SUM(J254:J260)</f>
        <v>164628.81000000006</v>
      </c>
      <c r="K261" s="62"/>
      <c r="L261" s="91">
        <f>SUM(L254:L260)</f>
        <v>164628.81000000006</v>
      </c>
      <c r="M261" s="62"/>
      <c r="N261" s="108">
        <f>SUM(N255:N260)</f>
        <v>5797.0000000000045</v>
      </c>
      <c r="O261" s="67"/>
      <c r="P261" s="108">
        <f>SUM(P256:P260)</f>
        <v>14174.000000000004</v>
      </c>
      <c r="Q261" s="67"/>
      <c r="R261" s="68"/>
      <c r="S261" s="148"/>
      <c r="T261" s="220">
        <f>SUM(T254:T260)</f>
        <v>200702.26479040316</v>
      </c>
      <c r="U261" s="148"/>
      <c r="V261" s="148"/>
      <c r="W261" s="206"/>
      <c r="X261" s="17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27"/>
      <c r="AJ261" s="149"/>
      <c r="AK261" s="116"/>
      <c r="AL261" s="130"/>
      <c r="AM261" s="96"/>
      <c r="AN261" s="96"/>
      <c r="AO261" s="129"/>
      <c r="AP261" s="96"/>
      <c r="AQ261" s="96"/>
      <c r="AR261" s="96"/>
      <c r="AS261" s="96"/>
      <c r="AT261" s="96"/>
      <c r="AU261" s="129"/>
      <c r="AV261" s="129"/>
    </row>
    <row r="262" spans="1:48" s="97" customFormat="1" ht="12.75" thickTop="1">
      <c r="A262" s="151"/>
      <c r="B262" s="67"/>
      <c r="C262" s="90"/>
      <c r="D262" s="67"/>
      <c r="E262" s="90"/>
      <c r="F262" s="67"/>
      <c r="G262" s="62"/>
      <c r="H262" s="64"/>
      <c r="I262" s="90"/>
      <c r="J262" s="173"/>
      <c r="K262" s="62"/>
      <c r="L262" s="173"/>
      <c r="M262" s="62"/>
      <c r="N262" s="124"/>
      <c r="O262" s="67"/>
      <c r="P262" s="124"/>
      <c r="Q262" s="67"/>
      <c r="R262" s="68"/>
      <c r="S262" s="148"/>
      <c r="T262" s="222"/>
      <c r="U262" s="148"/>
      <c r="V262" s="148"/>
      <c r="W262" s="206"/>
      <c r="X262" s="17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27"/>
      <c r="AJ262" s="149"/>
      <c r="AK262" s="116"/>
      <c r="AL262" s="130"/>
      <c r="AM262" s="96"/>
      <c r="AN262" s="96"/>
      <c r="AO262" s="129"/>
      <c r="AP262" s="96"/>
      <c r="AQ262" s="96"/>
      <c r="AR262" s="96"/>
      <c r="AS262" s="96"/>
      <c r="AT262" s="96"/>
      <c r="AU262" s="129"/>
      <c r="AV262" s="129"/>
    </row>
    <row r="263" spans="1:48" ht="12.75" thickBot="1">
      <c r="A263" s="152" t="s">
        <v>123</v>
      </c>
      <c r="B263" s="26"/>
      <c r="C263" s="74"/>
      <c r="D263" s="26"/>
      <c r="E263" s="74"/>
      <c r="F263" s="26"/>
      <c r="G263" s="26"/>
      <c r="H263" s="28"/>
      <c r="I263" s="74"/>
      <c r="J263" s="83"/>
      <c r="K263" s="26"/>
      <c r="L263" s="99">
        <f>L261/+$D261</f>
        <v>28.39896670691736</v>
      </c>
      <c r="M263" s="26"/>
      <c r="N263" s="76"/>
      <c r="O263" s="31"/>
      <c r="P263" s="76"/>
      <c r="Q263" s="26"/>
      <c r="R263" s="32"/>
      <c r="S263" s="75"/>
      <c r="T263" s="99">
        <f>T261/+$D261</f>
        <v>34.621746556909265</v>
      </c>
      <c r="U263" s="75"/>
      <c r="V263" s="75"/>
      <c r="W263" s="203"/>
      <c r="X263" s="1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111"/>
      <c r="AJ263" s="144"/>
      <c r="AK263" s="82"/>
      <c r="AL263" s="113"/>
      <c r="AM263" s="48"/>
      <c r="AN263" s="48"/>
      <c r="AO263" s="19"/>
      <c r="AP263" s="48"/>
      <c r="AQ263" s="48"/>
      <c r="AR263" s="48"/>
      <c r="AS263" s="48"/>
      <c r="AT263" s="48"/>
      <c r="AU263" s="19"/>
      <c r="AV263" s="19"/>
    </row>
    <row r="264" spans="1:48" ht="12.75" thickTop="1">
      <c r="A264" s="73" t="s">
        <v>36</v>
      </c>
      <c r="B264" s="139">
        <f>(+'[19]3-4" W Coml E14'!$I$44+'[19]3-4" W ResCom E14'!$I$15)/1000</f>
        <v>4944</v>
      </c>
      <c r="C264" s="74"/>
      <c r="D264" s="26"/>
      <c r="E264" s="74"/>
      <c r="I264" s="74"/>
      <c r="K264" s="26"/>
      <c r="L264" s="29"/>
      <c r="M264" s="26"/>
      <c r="N264" s="76"/>
      <c r="O264" s="31"/>
      <c r="P264" s="76"/>
      <c r="Q264" s="26"/>
      <c r="R264" s="32"/>
      <c r="S264" s="143"/>
      <c r="T264" s="83"/>
      <c r="U264" s="143"/>
      <c r="V264" s="143"/>
      <c r="W264" s="203"/>
      <c r="X264" s="1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111"/>
      <c r="AJ264" s="144"/>
      <c r="AK264" s="82"/>
      <c r="AL264" s="113"/>
      <c r="AM264" s="48"/>
      <c r="AN264" s="48"/>
      <c r="AO264" s="19"/>
      <c r="AP264" s="48"/>
      <c r="AQ264" s="48"/>
      <c r="AR264" s="48"/>
      <c r="AS264" s="48"/>
      <c r="AT264" s="48"/>
      <c r="AU264" s="19"/>
      <c r="AV264" s="19"/>
    </row>
    <row r="265" spans="1:48">
      <c r="A265" s="78" t="s">
        <v>18</v>
      </c>
      <c r="C265" s="74"/>
      <c r="D265" s="26">
        <f>+'[19]3-4" W Coml E14'!$S$48+'[19]3-4" W ResCom E14'!$S$19</f>
        <v>1243.9999999999995</v>
      </c>
      <c r="E265" s="74"/>
      <c r="H265" s="146">
        <f>+'[19]3-4" W Coml E14'!$S$2</f>
        <v>11.99</v>
      </c>
      <c r="I265" s="74"/>
      <c r="J265" s="83">
        <f>H265*D265</f>
        <v>14915.559999999994</v>
      </c>
      <c r="K265" s="26"/>
      <c r="L265" s="29">
        <f>+J265</f>
        <v>14915.559999999994</v>
      </c>
      <c r="M265" s="26"/>
      <c r="N265" s="76">
        <f>D265</f>
        <v>1243.9999999999995</v>
      </c>
      <c r="O265" s="31"/>
      <c r="P265" s="76"/>
      <c r="Q265" s="26"/>
      <c r="R265" s="82">
        <f>H265*(1+$W$5)</f>
        <v>14.617248067558362</v>
      </c>
      <c r="S265" s="143"/>
      <c r="T265" s="83">
        <f>R265*+D265</f>
        <v>18183.856596042595</v>
      </c>
      <c r="U265" s="143"/>
      <c r="V265" s="143"/>
      <c r="W265" s="203"/>
      <c r="X265" s="1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111"/>
      <c r="AJ265" s="144"/>
      <c r="AK265" s="82"/>
      <c r="AL265" s="113"/>
      <c r="AM265" s="48"/>
      <c r="AN265" s="48"/>
      <c r="AO265" s="19"/>
      <c r="AP265" s="48"/>
      <c r="AQ265" s="48"/>
      <c r="AR265" s="48"/>
      <c r="AS265" s="48"/>
      <c r="AT265" s="48"/>
      <c r="AU265" s="19"/>
      <c r="AV265" s="19"/>
    </row>
    <row r="266" spans="1:48">
      <c r="A266" s="78" t="s">
        <v>19</v>
      </c>
      <c r="C266" s="74"/>
      <c r="D266" s="26"/>
      <c r="E266" s="74"/>
      <c r="F266" s="139">
        <f>+'[19]3-4" W Coml E14'!$V$48+'[19]3-4" W ResCom E14'!$V$19</f>
        <v>2624</v>
      </c>
      <c r="H266" s="154">
        <f>+'[19]3-4" W Coml E14'!$S4</f>
        <v>6.79</v>
      </c>
      <c r="I266" s="85"/>
      <c r="J266" s="76">
        <f>H266*F266</f>
        <v>17816.96</v>
      </c>
      <c r="K266" s="26"/>
      <c r="L266" s="29">
        <f t="shared" ref="L266:L270" si="107">+J266</f>
        <v>17816.96</v>
      </c>
      <c r="M266" s="26"/>
      <c r="N266" s="76"/>
      <c r="O266" s="31"/>
      <c r="P266" s="76">
        <f>SUM(F266)</f>
        <v>2624</v>
      </c>
      <c r="Q266" s="26"/>
      <c r="R266" s="82">
        <f t="shared" ref="R266:R270" si="108">H266*(1+$W$5)</f>
        <v>8.2778243852144513</v>
      </c>
      <c r="S266" s="143"/>
      <c r="T266" s="83">
        <f>R266*F266</f>
        <v>21721.01118680272</v>
      </c>
      <c r="U266" s="143"/>
      <c r="V266" s="143"/>
      <c r="W266" s="203"/>
      <c r="X266" s="1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111"/>
      <c r="AJ266" s="144"/>
      <c r="AK266" s="82"/>
      <c r="AL266" s="113"/>
      <c r="AM266" s="48"/>
      <c r="AN266" s="48"/>
      <c r="AO266" s="19"/>
      <c r="AP266" s="48"/>
      <c r="AQ266" s="48"/>
      <c r="AR266" s="48"/>
      <c r="AS266" s="48"/>
      <c r="AT266" s="48"/>
      <c r="AU266" s="19"/>
      <c r="AV266" s="19"/>
    </row>
    <row r="267" spans="1:48">
      <c r="A267" s="78" t="s">
        <v>20</v>
      </c>
      <c r="C267" s="74"/>
      <c r="D267" s="26"/>
      <c r="E267" s="74"/>
      <c r="F267" s="139">
        <f>+'[19]3-4" W Coml E14'!$W$48</f>
        <v>426.00000000000006</v>
      </c>
      <c r="H267" s="154">
        <f>+'[19]3-4" W Coml E14'!$S5</f>
        <v>6.23</v>
      </c>
      <c r="I267" s="85"/>
      <c r="J267" s="76">
        <f>H267*F267</f>
        <v>2653.9800000000005</v>
      </c>
      <c r="K267" s="26"/>
      <c r="L267" s="29">
        <f t="shared" si="107"/>
        <v>2653.9800000000005</v>
      </c>
      <c r="M267" s="26"/>
      <c r="N267" s="76"/>
      <c r="O267" s="31"/>
      <c r="P267" s="76">
        <f t="shared" ref="P267:P270" si="109">SUM(F267)</f>
        <v>426.00000000000006</v>
      </c>
      <c r="Q267" s="26"/>
      <c r="R267" s="82">
        <f t="shared" si="108"/>
        <v>7.5951172194235701</v>
      </c>
      <c r="S267" s="143"/>
      <c r="T267" s="83">
        <f t="shared" ref="T267:T270" si="110">R267*F267</f>
        <v>3235.5199354744414</v>
      </c>
      <c r="U267" s="143"/>
      <c r="V267" s="143"/>
      <c r="W267" s="47"/>
      <c r="X267" s="1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111"/>
      <c r="AJ267" s="144"/>
      <c r="AK267" s="82"/>
      <c r="AL267" s="113"/>
      <c r="AM267" s="48"/>
      <c r="AN267" s="48"/>
      <c r="AO267" s="19"/>
      <c r="AP267" s="48"/>
      <c r="AQ267" s="48"/>
      <c r="AR267" s="48"/>
      <c r="AS267" s="48"/>
      <c r="AT267" s="48"/>
      <c r="AU267" s="19"/>
      <c r="AV267" s="19"/>
    </row>
    <row r="268" spans="1:48">
      <c r="A268" s="78" t="s">
        <v>21</v>
      </c>
      <c r="C268" s="74"/>
      <c r="D268" s="26"/>
      <c r="E268" s="74"/>
      <c r="F268" s="139">
        <f>+'[19]3-4" W Coml E14'!$X$48</f>
        <v>129.99999999999997</v>
      </c>
      <c r="H268" s="154">
        <f>+'[19]3-4" W Coml E14'!$S6</f>
        <v>5.68</v>
      </c>
      <c r="I268" s="85"/>
      <c r="J268" s="76">
        <f>H268*F268</f>
        <v>738.39999999999975</v>
      </c>
      <c r="K268" s="26"/>
      <c r="L268" s="29">
        <f t="shared" si="107"/>
        <v>738.39999999999975</v>
      </c>
      <c r="M268" s="26"/>
      <c r="N268" s="76"/>
      <c r="O268" s="31"/>
      <c r="P268" s="76">
        <f t="shared" si="109"/>
        <v>129.99999999999997</v>
      </c>
      <c r="Q268" s="26"/>
      <c r="R268" s="82">
        <f t="shared" si="108"/>
        <v>6.9246012530218088</v>
      </c>
      <c r="S268" s="143"/>
      <c r="T268" s="83">
        <f t="shared" si="110"/>
        <v>900.19816289283494</v>
      </c>
      <c r="U268" s="143"/>
      <c r="V268" s="143"/>
      <c r="W268" s="47"/>
      <c r="X268" s="1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111"/>
      <c r="AJ268" s="144"/>
      <c r="AK268" s="82"/>
      <c r="AL268" s="113"/>
      <c r="AM268" s="48"/>
      <c r="AN268" s="48"/>
      <c r="AO268" s="19"/>
      <c r="AP268" s="48"/>
      <c r="AQ268" s="48"/>
      <c r="AR268" s="48"/>
      <c r="AS268" s="48"/>
      <c r="AT268" s="48"/>
      <c r="AU268" s="19"/>
      <c r="AV268" s="19"/>
    </row>
    <row r="269" spans="1:48">
      <c r="A269" s="78" t="s">
        <v>22</v>
      </c>
      <c r="C269" s="74"/>
      <c r="D269" s="26"/>
      <c r="E269" s="74"/>
      <c r="F269" s="139">
        <v>0</v>
      </c>
      <c r="H269" s="154">
        <f>+'[19]3-4" W Coml E14'!$S7</f>
        <v>5.04</v>
      </c>
      <c r="I269" s="85"/>
      <c r="J269" s="76">
        <f>H269*F269</f>
        <v>0</v>
      </c>
      <c r="K269" s="26"/>
      <c r="L269" s="29">
        <f t="shared" si="107"/>
        <v>0</v>
      </c>
      <c r="M269" s="26"/>
      <c r="N269" s="76"/>
      <c r="O269" s="31"/>
      <c r="P269" s="76">
        <f t="shared" si="109"/>
        <v>0</v>
      </c>
      <c r="Q269" s="26"/>
      <c r="R269" s="82">
        <f t="shared" si="108"/>
        <v>6.1443644921179441</v>
      </c>
      <c r="S269" s="143"/>
      <c r="T269" s="83">
        <f t="shared" si="110"/>
        <v>0</v>
      </c>
      <c r="U269" s="143"/>
      <c r="V269" s="143"/>
      <c r="W269" s="47"/>
      <c r="X269" s="1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111"/>
      <c r="AJ269" s="144"/>
      <c r="AK269" s="82"/>
      <c r="AL269" s="113"/>
      <c r="AM269" s="48"/>
      <c r="AN269" s="48"/>
      <c r="AO269" s="19"/>
      <c r="AP269" s="48"/>
      <c r="AQ269" s="48"/>
      <c r="AR269" s="48"/>
      <c r="AS269" s="48"/>
      <c r="AT269" s="48"/>
      <c r="AU269" s="19"/>
      <c r="AV269" s="19"/>
    </row>
    <row r="270" spans="1:48">
      <c r="A270" s="78" t="s">
        <v>23</v>
      </c>
      <c r="C270" s="74"/>
      <c r="D270" s="26"/>
      <c r="E270" s="74"/>
      <c r="F270" s="139">
        <v>0</v>
      </c>
      <c r="H270" s="154">
        <f>+'[19]3-4" W Coml E14'!$S8</f>
        <v>4.4000000000000004</v>
      </c>
      <c r="I270" s="85"/>
      <c r="J270" s="76">
        <f>H270*F270</f>
        <v>0</v>
      </c>
      <c r="K270" s="26"/>
      <c r="L270" s="29">
        <f t="shared" si="107"/>
        <v>0</v>
      </c>
      <c r="M270" s="26"/>
      <c r="N270" s="76"/>
      <c r="O270" s="31"/>
      <c r="P270" s="76">
        <f t="shared" si="109"/>
        <v>0</v>
      </c>
      <c r="Q270" s="26"/>
      <c r="R270" s="82">
        <f t="shared" si="108"/>
        <v>5.3641277312140785</v>
      </c>
      <c r="S270" s="143"/>
      <c r="T270" s="83">
        <f t="shared" si="110"/>
        <v>0</v>
      </c>
      <c r="U270" s="143"/>
      <c r="V270" s="143"/>
      <c r="W270" s="47"/>
      <c r="X270" s="1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111"/>
      <c r="AJ270" s="144"/>
      <c r="AK270" s="82"/>
      <c r="AL270" s="113"/>
      <c r="AM270" s="48"/>
      <c r="AN270" s="48"/>
      <c r="AO270" s="19"/>
      <c r="AP270" s="48"/>
      <c r="AQ270" s="48"/>
      <c r="AR270" s="48"/>
      <c r="AS270" s="48"/>
      <c r="AT270" s="48"/>
      <c r="AU270" s="19"/>
      <c r="AV270" s="19"/>
    </row>
    <row r="271" spans="1:48" s="97" customFormat="1" ht="12.75" thickBot="1">
      <c r="A271" s="151" t="s">
        <v>37</v>
      </c>
      <c r="B271" s="103">
        <f>SUM(B264:B270)</f>
        <v>4944</v>
      </c>
      <c r="C271" s="90"/>
      <c r="D271" s="103">
        <f>SUM(D264:D270)</f>
        <v>1243.9999999999995</v>
      </c>
      <c r="E271" s="90"/>
      <c r="F271" s="103">
        <f>SUM(F264:F270)</f>
        <v>3180</v>
      </c>
      <c r="G271" s="62"/>
      <c r="H271" s="64"/>
      <c r="I271" s="90"/>
      <c r="J271" s="91">
        <f>SUM(J264:J270)</f>
        <v>36124.899999999994</v>
      </c>
      <c r="K271" s="62"/>
      <c r="L271" s="91">
        <f>SUM(L264:L270)</f>
        <v>36124.899999999994</v>
      </c>
      <c r="M271" s="62"/>
      <c r="N271" s="108">
        <f>SUM(N265:N270)</f>
        <v>1243.9999999999995</v>
      </c>
      <c r="O271" s="67"/>
      <c r="P271" s="108">
        <f>SUM(P266:P270)</f>
        <v>3180</v>
      </c>
      <c r="Q271" s="67"/>
      <c r="R271" s="223"/>
      <c r="S271" s="148"/>
      <c r="T271" s="220">
        <f>SUM(T264:T270)</f>
        <v>44040.585881212588</v>
      </c>
      <c r="U271" s="148"/>
      <c r="V271" s="148"/>
      <c r="W271" s="155"/>
      <c r="X271" s="17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27"/>
      <c r="AJ271" s="149"/>
      <c r="AK271" s="116"/>
      <c r="AL271" s="130"/>
      <c r="AM271" s="96"/>
      <c r="AN271" s="96"/>
      <c r="AO271" s="129"/>
      <c r="AP271" s="96"/>
      <c r="AQ271" s="96"/>
      <c r="AR271" s="96"/>
      <c r="AS271" s="96"/>
      <c r="AT271" s="96"/>
      <c r="AU271" s="129"/>
      <c r="AV271" s="129"/>
    </row>
    <row r="272" spans="1:48" s="97" customFormat="1" ht="12.75" thickTop="1">
      <c r="A272" s="151"/>
      <c r="B272" s="67"/>
      <c r="C272" s="90"/>
      <c r="D272" s="67"/>
      <c r="E272" s="90"/>
      <c r="F272" s="67"/>
      <c r="G272" s="62"/>
      <c r="H272" s="64"/>
      <c r="I272" s="90"/>
      <c r="J272" s="173"/>
      <c r="K272" s="62"/>
      <c r="L272" s="173"/>
      <c r="M272" s="62"/>
      <c r="N272" s="124"/>
      <c r="O272" s="67"/>
      <c r="P272" s="124"/>
      <c r="Q272" s="67"/>
      <c r="R272" s="68"/>
      <c r="S272" s="148"/>
      <c r="T272" s="222"/>
      <c r="U272" s="148"/>
      <c r="V272" s="148"/>
      <c r="W272" s="155"/>
      <c r="X272" s="17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27"/>
      <c r="AJ272" s="149"/>
      <c r="AK272" s="116"/>
      <c r="AL272" s="130"/>
      <c r="AM272" s="96"/>
      <c r="AN272" s="96"/>
      <c r="AO272" s="129"/>
      <c r="AP272" s="96"/>
      <c r="AQ272" s="96"/>
      <c r="AR272" s="96"/>
      <c r="AS272" s="96"/>
      <c r="AT272" s="96"/>
      <c r="AU272" s="129"/>
      <c r="AV272" s="129"/>
    </row>
    <row r="273" spans="1:48" ht="12.75" thickBot="1">
      <c r="A273" s="152" t="s">
        <v>38</v>
      </c>
      <c r="B273" s="26"/>
      <c r="C273" s="74"/>
      <c r="D273" s="26"/>
      <c r="E273" s="74"/>
      <c r="F273" s="26"/>
      <c r="G273" s="26"/>
      <c r="H273" s="28"/>
      <c r="I273" s="74"/>
      <c r="J273" s="83"/>
      <c r="K273" s="26"/>
      <c r="L273" s="99">
        <f>L271/+$D271</f>
        <v>29.039308681672033</v>
      </c>
      <c r="M273" s="26"/>
      <c r="N273" s="76"/>
      <c r="O273" s="31"/>
      <c r="P273" s="76"/>
      <c r="Q273" s="26"/>
      <c r="R273" s="32"/>
      <c r="S273" s="75"/>
      <c r="T273" s="99">
        <f>T271/+$D271</f>
        <v>35.40240022605515</v>
      </c>
      <c r="U273" s="75"/>
      <c r="V273" s="75"/>
      <c r="W273" s="47"/>
      <c r="X273" s="1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111"/>
      <c r="AJ273" s="144"/>
      <c r="AK273" s="82"/>
      <c r="AL273" s="113"/>
      <c r="AM273" s="48"/>
      <c r="AN273" s="48"/>
      <c r="AO273" s="19"/>
      <c r="AP273" s="48"/>
      <c r="AQ273" s="48"/>
      <c r="AR273" s="48"/>
      <c r="AS273" s="48"/>
      <c r="AT273" s="48"/>
      <c r="AU273" s="19"/>
      <c r="AV273" s="19"/>
    </row>
    <row r="274" spans="1:48" ht="12.75" thickTop="1">
      <c r="A274" s="73" t="s">
        <v>124</v>
      </c>
      <c r="B274" s="139">
        <f>+'[19]3-4" W Gov E14'!$I$22/1000</f>
        <v>198</v>
      </c>
      <c r="C274" s="74"/>
      <c r="D274" s="26"/>
      <c r="E274" s="74"/>
      <c r="I274" s="74"/>
      <c r="K274" s="26"/>
      <c r="L274" s="29"/>
      <c r="M274" s="26"/>
      <c r="N274" s="76"/>
      <c r="O274" s="31"/>
      <c r="P274" s="76"/>
      <c r="Q274" s="26"/>
      <c r="R274" s="32"/>
      <c r="S274" s="143"/>
      <c r="T274" s="83"/>
      <c r="U274" s="143"/>
      <c r="V274" s="143"/>
      <c r="W274" s="47"/>
      <c r="X274" s="1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111"/>
      <c r="AJ274" s="112"/>
      <c r="AK274" s="19"/>
      <c r="AL274" s="113"/>
      <c r="AM274" s="48"/>
      <c r="AN274" s="48"/>
      <c r="AO274" s="19"/>
      <c r="AP274" s="48"/>
      <c r="AQ274" s="48"/>
      <c r="AR274" s="48"/>
      <c r="AS274" s="48"/>
      <c r="AT274" s="48"/>
      <c r="AU274" s="19"/>
      <c r="AV274" s="19"/>
    </row>
    <row r="275" spans="1:48">
      <c r="A275" s="78" t="s">
        <v>18</v>
      </c>
      <c r="C275" s="74"/>
      <c r="D275" s="26">
        <f>+'[19]3-4" W Gov E14'!$S$26</f>
        <v>97.000000000000014</v>
      </c>
      <c r="E275" s="74"/>
      <c r="H275" s="146">
        <f>+'[19]3-4" W Gov E14'!$S$2</f>
        <v>11.99</v>
      </c>
      <c r="I275" s="74"/>
      <c r="J275" s="83">
        <f>H275*D275</f>
        <v>1163.0300000000002</v>
      </c>
      <c r="K275" s="26"/>
      <c r="L275" s="29">
        <f>+J275</f>
        <v>1163.0300000000002</v>
      </c>
      <c r="M275" s="26"/>
      <c r="N275" s="76">
        <f>D275</f>
        <v>97.000000000000014</v>
      </c>
      <c r="O275" s="31"/>
      <c r="P275" s="76"/>
      <c r="Q275" s="26"/>
      <c r="R275" s="82">
        <f>H275*(1+$W$5)</f>
        <v>14.617248067558362</v>
      </c>
      <c r="S275" s="143"/>
      <c r="T275" s="83">
        <f>R275*+D275</f>
        <v>1417.8730625531614</v>
      </c>
      <c r="U275" s="143"/>
      <c r="V275" s="143"/>
      <c r="W275" s="47"/>
      <c r="X275" s="1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111"/>
      <c r="AJ275" s="112"/>
      <c r="AK275" s="19"/>
      <c r="AL275" s="113"/>
      <c r="AM275" s="48"/>
      <c r="AN275" s="48"/>
      <c r="AO275" s="19"/>
      <c r="AP275" s="48"/>
      <c r="AQ275" s="48"/>
      <c r="AR275" s="48"/>
      <c r="AS275" s="48"/>
      <c r="AT275" s="48"/>
      <c r="AU275" s="19"/>
      <c r="AV275" s="19"/>
    </row>
    <row r="276" spans="1:48">
      <c r="A276" s="78" t="s">
        <v>19</v>
      </c>
      <c r="C276" s="74"/>
      <c r="D276" s="26"/>
      <c r="E276" s="74"/>
      <c r="F276" s="139">
        <f>+'[19]3-4" W Gov E14'!$V$26</f>
        <v>130</v>
      </c>
      <c r="H276" s="154">
        <f>+'[19]3-4" W Gov E14'!$S4</f>
        <v>6.79</v>
      </c>
      <c r="I276" s="74"/>
      <c r="J276" s="76">
        <f>H276*F276</f>
        <v>882.7</v>
      </c>
      <c r="K276" s="26"/>
      <c r="L276" s="29">
        <f t="shared" ref="L276:L280" si="111">+J276</f>
        <v>882.7</v>
      </c>
      <c r="M276" s="26"/>
      <c r="N276" s="76"/>
      <c r="O276" s="31"/>
      <c r="P276" s="76">
        <f>SUM(F276)</f>
        <v>130</v>
      </c>
      <c r="Q276" s="26"/>
      <c r="R276" s="82">
        <f t="shared" ref="R276:R280" si="112">H276*(1+$W$5)</f>
        <v>8.2778243852144513</v>
      </c>
      <c r="S276" s="143"/>
      <c r="T276" s="83">
        <f>R276*F276</f>
        <v>1076.1171700778787</v>
      </c>
      <c r="U276" s="143"/>
      <c r="V276" s="143"/>
      <c r="W276" s="47"/>
      <c r="X276" s="1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111"/>
      <c r="AJ276" s="112"/>
      <c r="AK276" s="19"/>
      <c r="AL276" s="113"/>
      <c r="AM276" s="48"/>
      <c r="AN276" s="48"/>
      <c r="AO276" s="19"/>
      <c r="AP276" s="48"/>
      <c r="AQ276" s="48"/>
      <c r="AR276" s="48"/>
      <c r="AS276" s="48"/>
      <c r="AT276" s="48"/>
      <c r="AU276" s="19"/>
      <c r="AV276" s="19"/>
    </row>
    <row r="277" spans="1:48">
      <c r="A277" s="78" t="s">
        <v>20</v>
      </c>
      <c r="C277" s="74"/>
      <c r="D277" s="26"/>
      <c r="E277" s="74"/>
      <c r="F277" s="139">
        <f>+'[19]3-4" W Gov E14'!$W$26</f>
        <v>13</v>
      </c>
      <c r="H277" s="154">
        <f>+'[19]3-4" W Gov E14'!$S5</f>
        <v>6.23</v>
      </c>
      <c r="I277" s="74"/>
      <c r="J277" s="76">
        <f>H277*F277</f>
        <v>80.990000000000009</v>
      </c>
      <c r="K277" s="26"/>
      <c r="L277" s="29">
        <f t="shared" si="111"/>
        <v>80.990000000000009</v>
      </c>
      <c r="M277" s="26"/>
      <c r="N277" s="76"/>
      <c r="O277" s="31"/>
      <c r="P277" s="76">
        <f t="shared" ref="P277:P280" si="113">SUM(F277)</f>
        <v>13</v>
      </c>
      <c r="Q277" s="26"/>
      <c r="R277" s="82">
        <f t="shared" si="112"/>
        <v>7.5951172194235701</v>
      </c>
      <c r="S277" s="143"/>
      <c r="T277" s="83">
        <f t="shared" ref="T277:T280" si="114">R277*F277</f>
        <v>98.736523852506409</v>
      </c>
      <c r="U277" s="143"/>
      <c r="V277" s="143"/>
      <c r="W277" s="47"/>
      <c r="X277" s="1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111"/>
      <c r="AJ277" s="112"/>
      <c r="AK277" s="19"/>
      <c r="AL277" s="113"/>
      <c r="AM277" s="48"/>
      <c r="AN277" s="48"/>
      <c r="AO277" s="19"/>
      <c r="AP277" s="48"/>
      <c r="AQ277" s="48"/>
      <c r="AR277" s="48"/>
      <c r="AS277" s="48"/>
      <c r="AT277" s="48"/>
      <c r="AU277" s="19"/>
      <c r="AV277" s="19"/>
    </row>
    <row r="278" spans="1:48">
      <c r="A278" s="78" t="s">
        <v>21</v>
      </c>
      <c r="C278" s="74"/>
      <c r="D278" s="26"/>
      <c r="E278" s="74"/>
      <c r="F278" s="139">
        <v>0</v>
      </c>
      <c r="H278" s="154">
        <f>+'[19]3-4" W Gov E14'!$S6</f>
        <v>5.68</v>
      </c>
      <c r="I278" s="74"/>
      <c r="J278" s="76">
        <f>H278*F278</f>
        <v>0</v>
      </c>
      <c r="K278" s="26"/>
      <c r="L278" s="29">
        <f t="shared" si="111"/>
        <v>0</v>
      </c>
      <c r="M278" s="26"/>
      <c r="N278" s="76"/>
      <c r="O278" s="31"/>
      <c r="P278" s="76">
        <f t="shared" si="113"/>
        <v>0</v>
      </c>
      <c r="Q278" s="26"/>
      <c r="R278" s="82">
        <f t="shared" si="112"/>
        <v>6.9246012530218088</v>
      </c>
      <c r="S278" s="143"/>
      <c r="T278" s="83">
        <f t="shared" si="114"/>
        <v>0</v>
      </c>
      <c r="U278" s="143"/>
      <c r="V278" s="143"/>
      <c r="W278" s="47"/>
      <c r="X278" s="1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111"/>
      <c r="AJ278" s="112"/>
      <c r="AK278" s="19"/>
      <c r="AL278" s="113"/>
      <c r="AM278" s="48"/>
      <c r="AN278" s="48"/>
      <c r="AO278" s="19"/>
      <c r="AP278" s="48"/>
      <c r="AQ278" s="48"/>
      <c r="AR278" s="48"/>
      <c r="AS278" s="48"/>
      <c r="AT278" s="48"/>
      <c r="AU278" s="19"/>
      <c r="AV278" s="19"/>
    </row>
    <row r="279" spans="1:48">
      <c r="A279" s="78" t="s">
        <v>22</v>
      </c>
      <c r="C279" s="74"/>
      <c r="D279" s="26"/>
      <c r="E279" s="74"/>
      <c r="F279" s="139">
        <v>0</v>
      </c>
      <c r="H279" s="154">
        <f>+'[19]3-4" W Gov E14'!$S7</f>
        <v>5.04</v>
      </c>
      <c r="I279" s="74"/>
      <c r="J279" s="76">
        <f>H279*F279</f>
        <v>0</v>
      </c>
      <c r="K279" s="26"/>
      <c r="L279" s="29">
        <f t="shared" si="111"/>
        <v>0</v>
      </c>
      <c r="M279" s="26"/>
      <c r="N279" s="76"/>
      <c r="O279" s="31"/>
      <c r="P279" s="76">
        <f t="shared" si="113"/>
        <v>0</v>
      </c>
      <c r="Q279" s="26"/>
      <c r="R279" s="82">
        <f t="shared" si="112"/>
        <v>6.1443644921179441</v>
      </c>
      <c r="S279" s="143"/>
      <c r="T279" s="83">
        <f t="shared" si="114"/>
        <v>0</v>
      </c>
      <c r="U279" s="143"/>
      <c r="V279" s="143"/>
      <c r="W279" s="47"/>
      <c r="X279" s="1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111"/>
      <c r="AJ279" s="112"/>
      <c r="AK279" s="19"/>
      <c r="AL279" s="113"/>
      <c r="AM279" s="48"/>
      <c r="AN279" s="48"/>
      <c r="AO279" s="19"/>
      <c r="AP279" s="48"/>
      <c r="AQ279" s="48"/>
      <c r="AR279" s="48"/>
      <c r="AS279" s="48"/>
      <c r="AT279" s="48"/>
      <c r="AU279" s="19"/>
      <c r="AV279" s="19"/>
    </row>
    <row r="280" spans="1:48">
      <c r="A280" s="78" t="s">
        <v>23</v>
      </c>
      <c r="C280" s="74"/>
      <c r="D280" s="26"/>
      <c r="E280" s="74"/>
      <c r="F280" s="139">
        <v>0</v>
      </c>
      <c r="H280" s="154">
        <f>+'[19]3-4" W Gov E14'!$S8</f>
        <v>4.4000000000000004</v>
      </c>
      <c r="I280" s="74"/>
      <c r="J280" s="76">
        <f>H280*F280</f>
        <v>0</v>
      </c>
      <c r="K280" s="26"/>
      <c r="L280" s="29">
        <f t="shared" si="111"/>
        <v>0</v>
      </c>
      <c r="M280" s="26"/>
      <c r="N280" s="76"/>
      <c r="O280" s="31"/>
      <c r="P280" s="76">
        <f t="shared" si="113"/>
        <v>0</v>
      </c>
      <c r="Q280" s="26"/>
      <c r="R280" s="82">
        <f t="shared" si="112"/>
        <v>5.3641277312140785</v>
      </c>
      <c r="S280" s="143"/>
      <c r="T280" s="83">
        <f t="shared" si="114"/>
        <v>0</v>
      </c>
      <c r="U280" s="143"/>
      <c r="V280" s="143"/>
      <c r="W280" s="47"/>
      <c r="X280" s="1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111"/>
      <c r="AJ280" s="112"/>
      <c r="AK280" s="19"/>
      <c r="AL280" s="113"/>
      <c r="AM280" s="48"/>
      <c r="AN280" s="48"/>
      <c r="AO280" s="19"/>
      <c r="AP280" s="48"/>
      <c r="AQ280" s="48"/>
      <c r="AR280" s="48"/>
      <c r="AS280" s="48"/>
      <c r="AT280" s="48"/>
      <c r="AU280" s="19"/>
      <c r="AV280" s="19"/>
    </row>
    <row r="281" spans="1:48" s="97" customFormat="1" ht="12.75" thickBot="1">
      <c r="A281" s="151" t="s">
        <v>126</v>
      </c>
      <c r="B281" s="103">
        <f>SUM(B274:B280)</f>
        <v>198</v>
      </c>
      <c r="C281" s="90"/>
      <c r="D281" s="103">
        <f>SUM(D274:D280)</f>
        <v>97.000000000000014</v>
      </c>
      <c r="E281" s="90"/>
      <c r="F281" s="103">
        <f>SUM(F274:F280)</f>
        <v>143</v>
      </c>
      <c r="G281" s="62"/>
      <c r="H281" s="64"/>
      <c r="I281" s="90"/>
      <c r="J281" s="91">
        <f>SUM(J274:J280)</f>
        <v>2126.7200000000003</v>
      </c>
      <c r="K281" s="62"/>
      <c r="L281" s="91">
        <f>SUM(L274:L280)</f>
        <v>2126.7200000000003</v>
      </c>
      <c r="M281" s="62"/>
      <c r="N281" s="108">
        <f>SUM(N275:N280)</f>
        <v>97.000000000000014</v>
      </c>
      <c r="O281" s="67"/>
      <c r="P281" s="108">
        <f>SUM(P276:P280)</f>
        <v>143</v>
      </c>
      <c r="Q281" s="67"/>
      <c r="R281" s="68"/>
      <c r="S281" s="213"/>
      <c r="T281" s="224">
        <f>SUM(T274:T280)</f>
        <v>2592.7267564835465</v>
      </c>
      <c r="U281" s="213"/>
      <c r="V281" s="213"/>
      <c r="W281" s="17"/>
      <c r="X281" s="17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27"/>
      <c r="AJ281" s="128"/>
      <c r="AK281" s="129"/>
      <c r="AL281" s="130"/>
      <c r="AM281" s="96"/>
      <c r="AN281" s="96"/>
      <c r="AO281" s="129"/>
      <c r="AP281" s="96"/>
      <c r="AQ281" s="96"/>
      <c r="AR281" s="96"/>
      <c r="AS281" s="96"/>
      <c r="AT281" s="96"/>
      <c r="AU281" s="129"/>
      <c r="AV281" s="129"/>
    </row>
    <row r="282" spans="1:48" s="97" customFormat="1" ht="12.75" thickTop="1">
      <c r="A282" s="151"/>
      <c r="B282" s="67"/>
      <c r="C282" s="90"/>
      <c r="D282" s="67"/>
      <c r="E282" s="90"/>
      <c r="F282" s="67"/>
      <c r="G282" s="62"/>
      <c r="H282" s="64"/>
      <c r="I282" s="90"/>
      <c r="J282" s="173"/>
      <c r="K282" s="62"/>
      <c r="L282" s="173"/>
      <c r="M282" s="62"/>
      <c r="N282" s="124"/>
      <c r="O282" s="67"/>
      <c r="P282" s="124"/>
      <c r="Q282" s="67"/>
      <c r="R282" s="68"/>
      <c r="S282" s="213"/>
      <c r="T282" s="106"/>
      <c r="U282" s="213"/>
      <c r="V282" s="213"/>
      <c r="W282" s="17"/>
      <c r="X282" s="17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27"/>
      <c r="AJ282" s="128"/>
      <c r="AK282" s="129"/>
      <c r="AL282" s="130"/>
      <c r="AM282" s="96"/>
      <c r="AN282" s="96"/>
      <c r="AO282" s="129"/>
      <c r="AP282" s="96"/>
      <c r="AQ282" s="96"/>
      <c r="AR282" s="96"/>
      <c r="AS282" s="96"/>
      <c r="AT282" s="96"/>
      <c r="AU282" s="129"/>
      <c r="AV282" s="129"/>
    </row>
    <row r="283" spans="1:48" ht="12.75" thickBot="1">
      <c r="A283" s="156" t="s">
        <v>127</v>
      </c>
      <c r="B283" s="26"/>
      <c r="C283" s="74"/>
      <c r="D283" s="26"/>
      <c r="E283" s="74"/>
      <c r="F283" s="26"/>
      <c r="G283" s="26"/>
      <c r="H283" s="28"/>
      <c r="I283" s="74"/>
      <c r="J283" s="83"/>
      <c r="K283" s="26"/>
      <c r="L283" s="99">
        <f>L281/+$D281</f>
        <v>21.924948453608248</v>
      </c>
      <c r="M283" s="26"/>
      <c r="N283" s="76"/>
      <c r="O283" s="31"/>
      <c r="P283" s="76"/>
      <c r="Q283" s="26"/>
      <c r="R283" s="32"/>
      <c r="S283" s="75"/>
      <c r="T283" s="99">
        <f>T281/+$D281</f>
        <v>26.729141819418</v>
      </c>
      <c r="U283" s="75"/>
      <c r="V283" s="75"/>
      <c r="W283" s="13"/>
      <c r="X283" s="1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111"/>
      <c r="AJ283" s="112"/>
      <c r="AK283" s="19"/>
      <c r="AL283" s="113"/>
      <c r="AM283" s="48"/>
      <c r="AN283" s="48"/>
      <c r="AO283" s="19"/>
      <c r="AP283" s="48"/>
      <c r="AQ283" s="48"/>
      <c r="AR283" s="48"/>
      <c r="AS283" s="48"/>
      <c r="AT283" s="48"/>
      <c r="AU283" s="19"/>
      <c r="AV283" s="19"/>
    </row>
    <row r="284" spans="1:48" ht="12.75" thickTop="1">
      <c r="A284" s="73" t="s">
        <v>44</v>
      </c>
      <c r="B284" s="26">
        <f>+'[19]1" W MR E14'!$I$38/1000</f>
        <v>1234</v>
      </c>
      <c r="C284" s="74"/>
      <c r="D284" s="26"/>
      <c r="E284" s="74"/>
      <c r="F284" s="26"/>
      <c r="G284" s="26"/>
      <c r="H284" s="28"/>
      <c r="I284" s="74"/>
      <c r="J284" s="29"/>
      <c r="K284" s="26"/>
      <c r="L284" s="29"/>
      <c r="M284" s="26"/>
      <c r="N284" s="76"/>
      <c r="O284" s="31"/>
      <c r="P284" s="76"/>
      <c r="Q284" s="26"/>
      <c r="R284" s="32"/>
      <c r="S284" s="157"/>
      <c r="T284" s="83"/>
      <c r="U284" s="157"/>
      <c r="V284" s="157"/>
      <c r="W284" s="13"/>
      <c r="X284" s="1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159"/>
      <c r="AJ284" s="160"/>
      <c r="AK284" s="161"/>
      <c r="AL284" s="48"/>
      <c r="AM284" s="48"/>
      <c r="AN284" s="48"/>
      <c r="AO284" s="48"/>
      <c r="AP284" s="48"/>
      <c r="AQ284" s="48"/>
      <c r="AR284" s="48"/>
      <c r="AS284" s="174"/>
      <c r="AT284" s="174"/>
      <c r="AU284" s="174"/>
      <c r="AV284" s="174"/>
    </row>
    <row r="285" spans="1:48">
      <c r="A285" s="78" t="s">
        <v>128</v>
      </c>
      <c r="B285" s="26"/>
      <c r="C285" s="74"/>
      <c r="D285" s="26">
        <f>+'[19]1" W MR E14'!$S$42</f>
        <v>84.000000000000014</v>
      </c>
      <c r="E285" s="74"/>
      <c r="F285" s="26"/>
      <c r="G285" s="26"/>
      <c r="H285" s="81">
        <f>+'[19]1" W MR E14'!$S$1</f>
        <v>41.19</v>
      </c>
      <c r="I285" s="74"/>
      <c r="J285" s="83">
        <f>H285*D285</f>
        <v>3459.9600000000005</v>
      </c>
      <c r="K285" s="26"/>
      <c r="L285" s="29">
        <f>+J285</f>
        <v>3459.9600000000005</v>
      </c>
      <c r="M285" s="26"/>
      <c r="N285" s="76">
        <f>D285</f>
        <v>84.000000000000014</v>
      </c>
      <c r="O285" s="31"/>
      <c r="P285" s="76"/>
      <c r="Q285" s="26"/>
      <c r="R285" s="82">
        <f>H285*(1+$W$5)</f>
        <v>50.215550283797242</v>
      </c>
      <c r="S285" s="157"/>
      <c r="T285" s="83">
        <f>R285*+D285</f>
        <v>4218.1062238389686</v>
      </c>
      <c r="U285" s="157"/>
      <c r="V285" s="157"/>
      <c r="W285" s="13"/>
      <c r="X285" s="1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159"/>
      <c r="AJ285" s="160"/>
      <c r="AK285" s="161"/>
      <c r="AL285" s="48"/>
      <c r="AM285" s="48"/>
      <c r="AN285" s="48"/>
      <c r="AO285" s="48"/>
      <c r="AP285" s="48"/>
      <c r="AQ285" s="48"/>
      <c r="AR285" s="48"/>
      <c r="AS285" s="174"/>
      <c r="AT285" s="174"/>
      <c r="AU285" s="174"/>
      <c r="AV285" s="174"/>
    </row>
    <row r="286" spans="1:48">
      <c r="A286" s="78" t="s">
        <v>129</v>
      </c>
      <c r="B286" s="26"/>
      <c r="C286" s="74"/>
      <c r="D286" s="26"/>
      <c r="E286" s="74"/>
      <c r="F286" s="26">
        <f>+'[19]1" W MR E14'!$V$42</f>
        <v>589</v>
      </c>
      <c r="G286" s="26"/>
      <c r="H286" s="84">
        <f>+'[19]1" W MR E14'!$S3</f>
        <v>6.79</v>
      </c>
      <c r="I286" s="74"/>
      <c r="J286" s="76">
        <f>H286*F286</f>
        <v>3999.31</v>
      </c>
      <c r="K286" s="26"/>
      <c r="L286" s="29">
        <f t="shared" ref="L286:L290" si="115">+J286</f>
        <v>3999.31</v>
      </c>
      <c r="M286" s="26"/>
      <c r="N286" s="76"/>
      <c r="O286" s="31"/>
      <c r="P286" s="76">
        <f>SUM(F286)</f>
        <v>589</v>
      </c>
      <c r="Q286" s="26"/>
      <c r="R286" s="82">
        <f t="shared" ref="R286:R290" si="116">H286*(1+$W$5)</f>
        <v>8.2778243852144513</v>
      </c>
      <c r="S286" s="157"/>
      <c r="T286" s="83">
        <f>R286*F286</f>
        <v>4875.6385628913122</v>
      </c>
      <c r="U286" s="157"/>
      <c r="V286" s="157"/>
      <c r="W286" s="13"/>
      <c r="X286" s="1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159"/>
      <c r="AJ286" s="160"/>
      <c r="AK286" s="161"/>
      <c r="AL286" s="48"/>
      <c r="AM286" s="48"/>
      <c r="AN286" s="48"/>
      <c r="AO286" s="48"/>
      <c r="AP286" s="48"/>
      <c r="AQ286" s="48"/>
      <c r="AR286" s="48"/>
      <c r="AS286" s="174"/>
      <c r="AT286" s="174"/>
      <c r="AU286" s="174"/>
      <c r="AV286" s="174"/>
    </row>
    <row r="287" spans="1:48">
      <c r="A287" s="78" t="s">
        <v>20</v>
      </c>
      <c r="B287" s="26"/>
      <c r="C287" s="74"/>
      <c r="D287" s="26"/>
      <c r="E287" s="74"/>
      <c r="F287" s="26">
        <f>+'[19]1" W MR E14'!$W$42</f>
        <v>329</v>
      </c>
      <c r="G287" s="26"/>
      <c r="H287" s="84">
        <f>+'[19]1" W MR E14'!$S4</f>
        <v>6.23</v>
      </c>
      <c r="I287" s="74"/>
      <c r="J287" s="76">
        <f>H287*F287</f>
        <v>2049.67</v>
      </c>
      <c r="K287" s="26"/>
      <c r="L287" s="29">
        <f t="shared" si="115"/>
        <v>2049.67</v>
      </c>
      <c r="M287" s="26"/>
      <c r="N287" s="76"/>
      <c r="O287" s="31"/>
      <c r="P287" s="76">
        <f t="shared" ref="P287:P290" si="117">SUM(F287)</f>
        <v>329</v>
      </c>
      <c r="Q287" s="26"/>
      <c r="R287" s="82">
        <f t="shared" si="116"/>
        <v>7.5951172194235701</v>
      </c>
      <c r="S287" s="157"/>
      <c r="T287" s="83">
        <f t="shared" ref="T287:T290" si="118">R287*F287</f>
        <v>2498.7935651903545</v>
      </c>
      <c r="U287" s="157"/>
      <c r="V287" s="157"/>
      <c r="W287" s="13"/>
      <c r="X287" s="1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159"/>
      <c r="AJ287" s="160"/>
      <c r="AK287" s="161"/>
      <c r="AL287" s="48"/>
      <c r="AM287" s="48"/>
      <c r="AN287" s="48"/>
      <c r="AO287" s="48"/>
      <c r="AP287" s="48"/>
      <c r="AQ287" s="48"/>
      <c r="AR287" s="48"/>
      <c r="AS287" s="174"/>
      <c r="AT287" s="174"/>
      <c r="AU287" s="174"/>
      <c r="AV287" s="174"/>
    </row>
    <row r="288" spans="1:48">
      <c r="A288" s="78" t="s">
        <v>21</v>
      </c>
      <c r="B288" s="26"/>
      <c r="C288" s="74"/>
      <c r="D288" s="26"/>
      <c r="E288" s="74"/>
      <c r="F288" s="26">
        <f>+'[19]1" W MR E14'!$X$42</f>
        <v>104.00000000000001</v>
      </c>
      <c r="G288" s="26"/>
      <c r="H288" s="84">
        <f>+'[19]1" W MR E14'!$S5</f>
        <v>5.68</v>
      </c>
      <c r="I288" s="74"/>
      <c r="J288" s="76">
        <f>H288*F288</f>
        <v>590.72</v>
      </c>
      <c r="K288" s="26"/>
      <c r="L288" s="29">
        <f t="shared" si="115"/>
        <v>590.72</v>
      </c>
      <c r="M288" s="26"/>
      <c r="N288" s="76"/>
      <c r="O288" s="31"/>
      <c r="P288" s="76">
        <f t="shared" si="117"/>
        <v>104.00000000000001</v>
      </c>
      <c r="Q288" s="26"/>
      <c r="R288" s="82">
        <f t="shared" si="116"/>
        <v>6.9246012530218088</v>
      </c>
      <c r="S288" s="157"/>
      <c r="T288" s="83">
        <f t="shared" si="118"/>
        <v>720.15853031426821</v>
      </c>
      <c r="U288" s="157"/>
      <c r="V288" s="157"/>
      <c r="W288" s="13"/>
      <c r="X288" s="1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159"/>
      <c r="AJ288" s="160"/>
      <c r="AK288" s="161"/>
      <c r="AL288" s="48"/>
      <c r="AM288" s="48"/>
      <c r="AN288" s="48"/>
      <c r="AO288" s="48"/>
      <c r="AP288" s="48"/>
      <c r="AQ288" s="48"/>
      <c r="AR288" s="48"/>
      <c r="AS288" s="174"/>
      <c r="AT288" s="174"/>
      <c r="AU288" s="174"/>
      <c r="AV288" s="174"/>
    </row>
    <row r="289" spans="1:48">
      <c r="A289" s="78" t="s">
        <v>22</v>
      </c>
      <c r="B289" s="26"/>
      <c r="C289" s="74"/>
      <c r="D289" s="26"/>
      <c r="E289" s="74"/>
      <c r="F289" s="26">
        <f>+'[19]1" W MR E14'!$Y$42</f>
        <v>53</v>
      </c>
      <c r="G289" s="26"/>
      <c r="H289" s="84">
        <f>+'[19]1" W MR E14'!$S6</f>
        <v>5.04</v>
      </c>
      <c r="I289" s="74"/>
      <c r="J289" s="76">
        <f>H289*F289</f>
        <v>267.12</v>
      </c>
      <c r="K289" s="26"/>
      <c r="L289" s="29">
        <f t="shared" si="115"/>
        <v>267.12</v>
      </c>
      <c r="M289" s="26"/>
      <c r="N289" s="76"/>
      <c r="O289" s="31"/>
      <c r="P289" s="76">
        <f t="shared" si="117"/>
        <v>53</v>
      </c>
      <c r="Q289" s="26"/>
      <c r="R289" s="82">
        <f t="shared" si="116"/>
        <v>6.1443644921179441</v>
      </c>
      <c r="S289" s="157"/>
      <c r="T289" s="83">
        <f t="shared" si="118"/>
        <v>325.65131808225101</v>
      </c>
      <c r="U289" s="157"/>
      <c r="V289" s="157"/>
      <c r="W289" s="13"/>
      <c r="X289" s="1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159"/>
      <c r="AJ289" s="160"/>
      <c r="AK289" s="161"/>
      <c r="AL289" s="48"/>
      <c r="AM289" s="48"/>
      <c r="AN289" s="48"/>
      <c r="AO289" s="48"/>
      <c r="AP289" s="48"/>
      <c r="AQ289" s="48"/>
      <c r="AR289" s="48"/>
      <c r="AS289" s="174"/>
      <c r="AT289" s="174"/>
      <c r="AU289" s="174"/>
      <c r="AV289" s="174"/>
    </row>
    <row r="290" spans="1:48">
      <c r="A290" s="78" t="s">
        <v>23</v>
      </c>
      <c r="B290" s="26"/>
      <c r="C290" s="74"/>
      <c r="D290" s="26"/>
      <c r="E290" s="74"/>
      <c r="F290" s="26">
        <v>0</v>
      </c>
      <c r="G290" s="26"/>
      <c r="H290" s="84">
        <f>+'[19]1" W MR E14'!$S7</f>
        <v>4.4000000000000004</v>
      </c>
      <c r="I290" s="74"/>
      <c r="J290" s="76">
        <f>H290*F290</f>
        <v>0</v>
      </c>
      <c r="K290" s="26"/>
      <c r="L290" s="29">
        <f t="shared" si="115"/>
        <v>0</v>
      </c>
      <c r="M290" s="26"/>
      <c r="N290" s="76"/>
      <c r="O290" s="31"/>
      <c r="P290" s="76">
        <f t="shared" si="117"/>
        <v>0</v>
      </c>
      <c r="Q290" s="26"/>
      <c r="R290" s="82">
        <f t="shared" si="116"/>
        <v>5.3641277312140785</v>
      </c>
      <c r="S290" s="157"/>
      <c r="T290" s="83">
        <f t="shared" si="118"/>
        <v>0</v>
      </c>
      <c r="U290" s="157"/>
      <c r="V290" s="157"/>
      <c r="W290" s="13"/>
      <c r="X290" s="1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159"/>
      <c r="AJ290" s="160"/>
      <c r="AK290" s="161"/>
      <c r="AL290" s="48"/>
      <c r="AM290" s="48"/>
      <c r="AN290" s="48"/>
      <c r="AO290" s="48"/>
      <c r="AP290" s="48"/>
      <c r="AQ290" s="48"/>
      <c r="AR290" s="48"/>
      <c r="AS290" s="174"/>
      <c r="AT290" s="174"/>
      <c r="AU290" s="174"/>
      <c r="AV290" s="174"/>
    </row>
    <row r="291" spans="1:48" ht="12.75" thickBot="1">
      <c r="A291" s="151" t="s">
        <v>45</v>
      </c>
      <c r="B291" s="103">
        <f>SUM(B284:B290)</f>
        <v>1234</v>
      </c>
      <c r="C291" s="90"/>
      <c r="D291" s="103">
        <f>SUM(D284:D290)</f>
        <v>84.000000000000014</v>
      </c>
      <c r="E291" s="90"/>
      <c r="F291" s="103">
        <f>SUM(F284:F290)</f>
        <v>1075</v>
      </c>
      <c r="G291" s="62"/>
      <c r="H291" s="64"/>
      <c r="I291" s="90"/>
      <c r="J291" s="91">
        <f>SUM(J284:J290)</f>
        <v>10366.780000000001</v>
      </c>
      <c r="K291" s="62"/>
      <c r="L291" s="91">
        <f>SUM(L284:L290)</f>
        <v>10366.780000000001</v>
      </c>
      <c r="M291" s="62"/>
      <c r="N291" s="108">
        <f>SUM(N285:N290)</f>
        <v>84.000000000000014</v>
      </c>
      <c r="O291" s="67"/>
      <c r="P291" s="108">
        <f>SUM(P286:P290)</f>
        <v>1075</v>
      </c>
      <c r="Q291" s="67"/>
      <c r="R291" s="68"/>
      <c r="S291" s="157"/>
      <c r="T291" s="220">
        <f>SUM(T284:T290)</f>
        <v>12638.348200317152</v>
      </c>
      <c r="U291" s="157"/>
      <c r="V291" s="157"/>
      <c r="W291" s="13"/>
      <c r="X291" s="1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159"/>
      <c r="AJ291" s="160"/>
      <c r="AK291" s="161"/>
      <c r="AL291" s="48"/>
      <c r="AM291" s="48"/>
      <c r="AN291" s="48"/>
      <c r="AO291" s="48"/>
      <c r="AP291" s="48"/>
      <c r="AQ291" s="48"/>
      <c r="AR291" s="48"/>
      <c r="AS291" s="174"/>
      <c r="AT291" s="174"/>
      <c r="AU291" s="174"/>
      <c r="AV291" s="174"/>
    </row>
    <row r="292" spans="1:48" ht="12.75" thickTop="1">
      <c r="A292" s="151"/>
      <c r="B292" s="67"/>
      <c r="C292" s="90"/>
      <c r="D292" s="67"/>
      <c r="E292" s="90"/>
      <c r="F292" s="67"/>
      <c r="G292" s="62"/>
      <c r="H292" s="64"/>
      <c r="I292" s="90"/>
      <c r="J292" s="173"/>
      <c r="K292" s="62"/>
      <c r="L292" s="173"/>
      <c r="M292" s="62"/>
      <c r="N292" s="124"/>
      <c r="O292" s="67"/>
      <c r="P292" s="124"/>
      <c r="Q292" s="67"/>
      <c r="R292" s="68"/>
      <c r="S292" s="157"/>
      <c r="T292" s="83"/>
      <c r="U292" s="157"/>
      <c r="V292" s="157"/>
      <c r="W292" s="13"/>
      <c r="X292" s="1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159"/>
      <c r="AJ292" s="160"/>
      <c r="AK292" s="161"/>
      <c r="AL292" s="48"/>
      <c r="AM292" s="48"/>
      <c r="AN292" s="48"/>
      <c r="AO292" s="48"/>
      <c r="AP292" s="48"/>
      <c r="AQ292" s="48"/>
      <c r="AR292" s="48"/>
      <c r="AS292" s="174"/>
      <c r="AT292" s="174"/>
      <c r="AU292" s="174"/>
      <c r="AV292" s="174"/>
    </row>
    <row r="293" spans="1:48" ht="12.75" thickBot="1">
      <c r="A293" s="152" t="s">
        <v>46</v>
      </c>
      <c r="B293" s="26"/>
      <c r="C293" s="74"/>
      <c r="D293" s="26"/>
      <c r="E293" s="74"/>
      <c r="F293" s="26"/>
      <c r="G293" s="26"/>
      <c r="H293" s="28"/>
      <c r="I293" s="74"/>
      <c r="J293" s="29"/>
      <c r="K293" s="26"/>
      <c r="L293" s="99">
        <f>L291/+$D291</f>
        <v>123.41404761904761</v>
      </c>
      <c r="M293" s="26"/>
      <c r="N293" s="76"/>
      <c r="O293" s="31"/>
      <c r="P293" s="76"/>
      <c r="Q293" s="26"/>
      <c r="R293" s="32"/>
      <c r="S293" s="75"/>
      <c r="T293" s="99">
        <f>T291/+$D291</f>
        <v>150.45652619425178</v>
      </c>
      <c r="U293" s="75"/>
      <c r="V293" s="75"/>
      <c r="W293" s="13"/>
      <c r="X293" s="1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159"/>
      <c r="AJ293" s="160"/>
      <c r="AK293" s="161"/>
      <c r="AL293" s="48"/>
      <c r="AM293" s="48"/>
      <c r="AN293" s="48"/>
      <c r="AO293" s="48"/>
      <c r="AP293" s="48"/>
      <c r="AQ293" s="48"/>
      <c r="AR293" s="48"/>
      <c r="AS293" s="174"/>
      <c r="AT293" s="174"/>
      <c r="AU293" s="174"/>
      <c r="AV293" s="174"/>
    </row>
    <row r="294" spans="1:48" ht="12.75" thickTop="1">
      <c r="A294" s="73" t="s">
        <v>39</v>
      </c>
      <c r="B294" s="26">
        <f>+'[19]1" W Coml E14'!$I$26/1000</f>
        <v>379</v>
      </c>
      <c r="C294" s="74"/>
      <c r="D294" s="26"/>
      <c r="E294" s="74"/>
      <c r="F294" s="26"/>
      <c r="G294" s="26"/>
      <c r="H294" s="28"/>
      <c r="I294" s="74"/>
      <c r="J294" s="29"/>
      <c r="K294" s="26"/>
      <c r="L294" s="134"/>
      <c r="M294" s="26"/>
      <c r="N294" s="76"/>
      <c r="O294" s="31"/>
      <c r="P294" s="135"/>
      <c r="Q294" s="26"/>
      <c r="R294" s="32"/>
      <c r="S294" s="157"/>
      <c r="T294" s="83"/>
      <c r="U294" s="157"/>
      <c r="V294" s="157"/>
      <c r="W294" s="13"/>
      <c r="X294" s="1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159"/>
      <c r="AJ294" s="160"/>
      <c r="AK294" s="161"/>
      <c r="AL294" s="48"/>
      <c r="AM294" s="48"/>
      <c r="AN294" s="48"/>
      <c r="AO294" s="48"/>
      <c r="AP294" s="48"/>
      <c r="AQ294" s="48"/>
      <c r="AR294" s="48"/>
      <c r="AS294" s="174"/>
      <c r="AT294" s="174"/>
      <c r="AU294" s="174"/>
      <c r="AV294" s="174"/>
    </row>
    <row r="295" spans="1:48">
      <c r="A295" s="78" t="s">
        <v>128</v>
      </c>
      <c r="B295" s="26"/>
      <c r="C295" s="74"/>
      <c r="D295" s="26">
        <f>+'[19]1" W Coml E14'!$S$30</f>
        <v>36.000000000000014</v>
      </c>
      <c r="E295" s="74"/>
      <c r="F295" s="26"/>
      <c r="G295" s="26"/>
      <c r="H295" s="81">
        <f>+'[19]1" W Coml E14'!$S$1</f>
        <v>41.19</v>
      </c>
      <c r="I295" s="74"/>
      <c r="J295" s="83">
        <f>H295*D295</f>
        <v>1482.8400000000006</v>
      </c>
      <c r="K295" s="26"/>
      <c r="L295" s="29">
        <f>+J295</f>
        <v>1482.8400000000006</v>
      </c>
      <c r="M295" s="26"/>
      <c r="N295" s="76">
        <f>D295</f>
        <v>36.000000000000014</v>
      </c>
      <c r="O295" s="31"/>
      <c r="P295" s="76"/>
      <c r="Q295" s="26"/>
      <c r="R295" s="82">
        <f>H295*(1+$W$5)</f>
        <v>50.215550283797242</v>
      </c>
      <c r="S295" s="157"/>
      <c r="T295" s="83">
        <f>R295*+D295</f>
        <v>1807.7598102167015</v>
      </c>
      <c r="U295" s="157"/>
      <c r="V295" s="157"/>
      <c r="W295" s="13"/>
      <c r="X295" s="1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159"/>
      <c r="AJ295" s="160"/>
      <c r="AK295" s="161"/>
      <c r="AL295" s="48"/>
      <c r="AM295" s="48"/>
      <c r="AN295" s="48"/>
      <c r="AO295" s="48"/>
      <c r="AP295" s="48"/>
      <c r="AQ295" s="48"/>
      <c r="AR295" s="48"/>
      <c r="AS295" s="174"/>
      <c r="AT295" s="174"/>
      <c r="AU295" s="174"/>
      <c r="AV295" s="174"/>
    </row>
    <row r="296" spans="1:48">
      <c r="A296" s="78" t="s">
        <v>129</v>
      </c>
      <c r="B296" s="26"/>
      <c r="C296" s="74"/>
      <c r="D296" s="26"/>
      <c r="E296" s="74"/>
      <c r="F296" s="26">
        <f>+'[19]1" W Coml E14'!$V$30</f>
        <v>48.999999999999986</v>
      </c>
      <c r="G296" s="26"/>
      <c r="H296" s="84">
        <f>+'[19]1" W Coml E14'!$S3</f>
        <v>6.79</v>
      </c>
      <c r="I296" s="74"/>
      <c r="J296" s="76">
        <f>H296*F296</f>
        <v>332.70999999999992</v>
      </c>
      <c r="K296" s="26"/>
      <c r="L296" s="29">
        <f t="shared" ref="L296:L300" si="119">+J296</f>
        <v>332.70999999999992</v>
      </c>
      <c r="M296" s="26"/>
      <c r="N296" s="76"/>
      <c r="O296" s="31"/>
      <c r="P296" s="76">
        <f>SUM(F296)</f>
        <v>48.999999999999986</v>
      </c>
      <c r="Q296" s="26"/>
      <c r="R296" s="82">
        <f t="shared" ref="R296:R300" si="120">H296*(1+$W$5)</f>
        <v>8.2778243852144513</v>
      </c>
      <c r="S296" s="157"/>
      <c r="T296" s="83">
        <f>R296*F296</f>
        <v>405.61339487550799</v>
      </c>
      <c r="U296" s="157"/>
      <c r="V296" s="157"/>
      <c r="W296" s="13"/>
      <c r="X296" s="1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159"/>
      <c r="AJ296" s="160"/>
      <c r="AK296" s="161"/>
      <c r="AL296" s="48"/>
      <c r="AM296" s="48"/>
      <c r="AN296" s="48"/>
      <c r="AO296" s="48"/>
      <c r="AP296" s="48"/>
      <c r="AQ296" s="48"/>
      <c r="AR296" s="48"/>
      <c r="AS296" s="174"/>
      <c r="AT296" s="174"/>
      <c r="AU296" s="174"/>
      <c r="AV296" s="174"/>
    </row>
    <row r="297" spans="1:48">
      <c r="A297" s="78" t="s">
        <v>20</v>
      </c>
      <c r="B297" s="26"/>
      <c r="C297" s="74"/>
      <c r="D297" s="26"/>
      <c r="E297" s="74"/>
      <c r="F297" s="26">
        <f>+'[19]1" W Coml E14'!$W$30</f>
        <v>102</v>
      </c>
      <c r="G297" s="26"/>
      <c r="H297" s="84">
        <f>+'[19]1" W Coml E14'!$S4</f>
        <v>6.23</v>
      </c>
      <c r="I297" s="74"/>
      <c r="J297" s="76">
        <f>H297*F297</f>
        <v>635.46</v>
      </c>
      <c r="K297" s="26"/>
      <c r="L297" s="29">
        <f t="shared" si="119"/>
        <v>635.46</v>
      </c>
      <c r="M297" s="26"/>
      <c r="N297" s="76"/>
      <c r="O297" s="31"/>
      <c r="P297" s="76">
        <f t="shared" ref="P297:P300" si="121">SUM(F297)</f>
        <v>102</v>
      </c>
      <c r="Q297" s="26"/>
      <c r="R297" s="82">
        <f t="shared" si="120"/>
        <v>7.5951172194235701</v>
      </c>
      <c r="S297" s="157"/>
      <c r="T297" s="83">
        <f t="shared" ref="T297:T300" si="122">R297*F297</f>
        <v>774.70195638120413</v>
      </c>
      <c r="U297" s="157"/>
      <c r="V297" s="157"/>
      <c r="W297" s="13"/>
      <c r="X297" s="1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159"/>
      <c r="AJ297" s="160"/>
      <c r="AK297" s="161"/>
      <c r="AL297" s="48"/>
      <c r="AM297" s="48"/>
      <c r="AN297" s="48"/>
      <c r="AO297" s="48"/>
      <c r="AP297" s="48"/>
      <c r="AQ297" s="48"/>
      <c r="AR297" s="48"/>
      <c r="AS297" s="174"/>
      <c r="AT297" s="174"/>
      <c r="AU297" s="174"/>
      <c r="AV297" s="174"/>
    </row>
    <row r="298" spans="1:48">
      <c r="A298" s="78" t="s">
        <v>21</v>
      </c>
      <c r="B298" s="26"/>
      <c r="C298" s="74"/>
      <c r="D298" s="26"/>
      <c r="E298" s="74"/>
      <c r="F298" s="26">
        <f>+'[19]1" W Coml E14'!$X$30</f>
        <v>89</v>
      </c>
      <c r="G298" s="26"/>
      <c r="H298" s="84">
        <f>+'[19]1" W Coml E14'!$S5</f>
        <v>5.68</v>
      </c>
      <c r="I298" s="74"/>
      <c r="J298" s="76">
        <f>H298*F298</f>
        <v>505.52</v>
      </c>
      <c r="K298" s="26"/>
      <c r="L298" s="29">
        <f t="shared" si="119"/>
        <v>505.52</v>
      </c>
      <c r="M298" s="26"/>
      <c r="N298" s="76"/>
      <c r="O298" s="31"/>
      <c r="P298" s="76">
        <f t="shared" si="121"/>
        <v>89</v>
      </c>
      <c r="Q298" s="26"/>
      <c r="R298" s="82">
        <f t="shared" si="120"/>
        <v>6.9246012530218088</v>
      </c>
      <c r="S298" s="157"/>
      <c r="T298" s="83">
        <f t="shared" si="122"/>
        <v>616.28951151894103</v>
      </c>
      <c r="U298" s="157"/>
      <c r="V298" s="157"/>
      <c r="W298" s="13"/>
      <c r="X298" s="1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159"/>
      <c r="AJ298" s="160"/>
      <c r="AK298" s="161"/>
      <c r="AL298" s="48"/>
      <c r="AM298" s="48"/>
      <c r="AN298" s="48"/>
      <c r="AO298" s="48"/>
      <c r="AP298" s="48"/>
      <c r="AQ298" s="48"/>
      <c r="AR298" s="48"/>
      <c r="AS298" s="174"/>
      <c r="AT298" s="174"/>
      <c r="AU298" s="174"/>
      <c r="AV298" s="174"/>
    </row>
    <row r="299" spans="1:48">
      <c r="A299" s="78" t="s">
        <v>22</v>
      </c>
      <c r="B299" s="26"/>
      <c r="C299" s="74"/>
      <c r="D299" s="26"/>
      <c r="E299" s="74"/>
      <c r="F299" s="26">
        <f>+'[19]1" W Coml E14'!$Y$30</f>
        <v>21</v>
      </c>
      <c r="G299" s="26"/>
      <c r="H299" s="84">
        <f>+'[19]1" W Coml E14'!$S6</f>
        <v>5.04</v>
      </c>
      <c r="I299" s="74"/>
      <c r="J299" s="76">
        <f>H299*F299</f>
        <v>105.84</v>
      </c>
      <c r="K299" s="26"/>
      <c r="L299" s="29">
        <f t="shared" si="119"/>
        <v>105.84</v>
      </c>
      <c r="M299" s="26"/>
      <c r="N299" s="76"/>
      <c r="O299" s="31"/>
      <c r="P299" s="76">
        <f t="shared" si="121"/>
        <v>21</v>
      </c>
      <c r="Q299" s="26"/>
      <c r="R299" s="82">
        <f t="shared" si="120"/>
        <v>6.1443644921179441</v>
      </c>
      <c r="S299" s="157"/>
      <c r="T299" s="83">
        <f t="shared" si="122"/>
        <v>129.03165433447683</v>
      </c>
      <c r="U299" s="157"/>
      <c r="V299" s="157"/>
      <c r="W299" s="13"/>
      <c r="X299" s="1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159"/>
      <c r="AJ299" s="160"/>
      <c r="AK299" s="161"/>
      <c r="AL299" s="48"/>
      <c r="AM299" s="48"/>
      <c r="AN299" s="48"/>
      <c r="AO299" s="48"/>
      <c r="AP299" s="48"/>
      <c r="AQ299" s="48"/>
      <c r="AR299" s="48"/>
      <c r="AS299" s="174"/>
      <c r="AT299" s="174"/>
      <c r="AU299" s="174"/>
      <c r="AV299" s="174"/>
    </row>
    <row r="300" spans="1:48">
      <c r="A300" s="78" t="s">
        <v>23</v>
      </c>
      <c r="B300" s="26"/>
      <c r="C300" s="74"/>
      <c r="D300" s="26"/>
      <c r="E300" s="74"/>
      <c r="F300" s="26">
        <v>0</v>
      </c>
      <c r="G300" s="26"/>
      <c r="H300" s="84">
        <f>+'[19]1" W Coml E14'!$S7</f>
        <v>4.4000000000000004</v>
      </c>
      <c r="I300" s="74"/>
      <c r="J300" s="76">
        <f>H300*F300</f>
        <v>0</v>
      </c>
      <c r="K300" s="26"/>
      <c r="L300" s="29">
        <f t="shared" si="119"/>
        <v>0</v>
      </c>
      <c r="M300" s="26"/>
      <c r="N300" s="76"/>
      <c r="O300" s="31"/>
      <c r="P300" s="76">
        <f t="shared" si="121"/>
        <v>0</v>
      </c>
      <c r="Q300" s="26"/>
      <c r="R300" s="82">
        <f t="shared" si="120"/>
        <v>5.3641277312140785</v>
      </c>
      <c r="S300" s="157"/>
      <c r="T300" s="83">
        <f t="shared" si="122"/>
        <v>0</v>
      </c>
      <c r="U300" s="157"/>
      <c r="V300" s="157"/>
      <c r="W300" s="13"/>
      <c r="X300" s="1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159"/>
      <c r="AJ300" s="160"/>
      <c r="AK300" s="161"/>
      <c r="AL300" s="48"/>
      <c r="AM300" s="48"/>
      <c r="AN300" s="48"/>
      <c r="AO300" s="48"/>
      <c r="AP300" s="48"/>
      <c r="AQ300" s="48"/>
      <c r="AR300" s="48"/>
      <c r="AS300" s="174"/>
      <c r="AT300" s="174"/>
      <c r="AU300" s="174"/>
      <c r="AV300" s="174"/>
    </row>
    <row r="301" spans="1:48" ht="12.75" thickBot="1">
      <c r="A301" s="151" t="s">
        <v>130</v>
      </c>
      <c r="B301" s="103">
        <f>SUM(B294:B300)</f>
        <v>379</v>
      </c>
      <c r="C301" s="90"/>
      <c r="D301" s="103">
        <f>SUM(D294:D300)</f>
        <v>36.000000000000014</v>
      </c>
      <c r="E301" s="90"/>
      <c r="F301" s="103">
        <f>SUM(F294:F300)</f>
        <v>261</v>
      </c>
      <c r="G301" s="62"/>
      <c r="H301" s="64"/>
      <c r="I301" s="90"/>
      <c r="J301" s="91">
        <f>SUM(J294:J300)</f>
        <v>3062.3700000000008</v>
      </c>
      <c r="K301" s="62"/>
      <c r="L301" s="91">
        <f>SUM(L294:L300)</f>
        <v>3062.3700000000008</v>
      </c>
      <c r="M301" s="62"/>
      <c r="N301" s="108">
        <f>SUM(N295:N300)</f>
        <v>36.000000000000014</v>
      </c>
      <c r="O301" s="67"/>
      <c r="P301" s="108">
        <f>SUM(P296:P300)</f>
        <v>261</v>
      </c>
      <c r="Q301" s="67"/>
      <c r="R301" s="68"/>
      <c r="S301" s="157"/>
      <c r="T301" s="220">
        <f>SUM(T294:T300)</f>
        <v>3733.3963273268319</v>
      </c>
      <c r="U301" s="157"/>
      <c r="V301" s="157"/>
      <c r="W301" s="13"/>
      <c r="X301" s="1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159"/>
      <c r="AJ301" s="160"/>
      <c r="AK301" s="161"/>
      <c r="AL301" s="48"/>
      <c r="AM301" s="48"/>
      <c r="AN301" s="48"/>
      <c r="AO301" s="48"/>
      <c r="AP301" s="48"/>
      <c r="AQ301" s="48"/>
      <c r="AR301" s="48"/>
      <c r="AS301" s="174"/>
      <c r="AT301" s="174"/>
      <c r="AU301" s="174"/>
      <c r="AV301" s="174"/>
    </row>
    <row r="302" spans="1:48" ht="12.75" thickTop="1">
      <c r="A302" s="151"/>
      <c r="B302" s="67"/>
      <c r="C302" s="90"/>
      <c r="D302" s="67"/>
      <c r="E302" s="90"/>
      <c r="F302" s="67"/>
      <c r="G302" s="62"/>
      <c r="H302" s="64"/>
      <c r="I302" s="90"/>
      <c r="J302" s="173"/>
      <c r="K302" s="62"/>
      <c r="L302" s="173"/>
      <c r="M302" s="62"/>
      <c r="N302" s="124"/>
      <c r="O302" s="67"/>
      <c r="P302" s="124"/>
      <c r="Q302" s="67"/>
      <c r="R302" s="68"/>
      <c r="S302" s="157"/>
      <c r="T302" s="83"/>
      <c r="U302" s="157"/>
      <c r="V302" s="157"/>
      <c r="W302" s="13"/>
      <c r="X302" s="1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159"/>
      <c r="AJ302" s="160"/>
      <c r="AK302" s="161"/>
      <c r="AL302" s="48"/>
      <c r="AM302" s="48"/>
      <c r="AN302" s="48"/>
      <c r="AO302" s="48"/>
      <c r="AP302" s="48"/>
      <c r="AQ302" s="48"/>
      <c r="AR302" s="48"/>
      <c r="AS302" s="174"/>
      <c r="AT302" s="174"/>
      <c r="AU302" s="174"/>
      <c r="AV302" s="174"/>
    </row>
    <row r="303" spans="1:48" ht="12.75" thickBot="1">
      <c r="A303" s="152" t="s">
        <v>131</v>
      </c>
      <c r="B303" s="26"/>
      <c r="C303" s="74"/>
      <c r="D303" s="26"/>
      <c r="E303" s="74"/>
      <c r="F303" s="26"/>
      <c r="G303" s="26"/>
      <c r="H303" s="28"/>
      <c r="I303" s="74"/>
      <c r="J303" s="29"/>
      <c r="K303" s="26"/>
      <c r="L303" s="99">
        <f>L301/+$D301</f>
        <v>85.065833333333316</v>
      </c>
      <c r="M303" s="26"/>
      <c r="N303" s="76"/>
      <c r="O303" s="31"/>
      <c r="P303" s="76"/>
      <c r="Q303" s="26"/>
      <c r="R303" s="32"/>
      <c r="S303" s="75"/>
      <c r="T303" s="99">
        <f>T301/+$D301</f>
        <v>103.7054535368564</v>
      </c>
      <c r="U303" s="75"/>
      <c r="V303" s="75"/>
      <c r="W303" s="13"/>
      <c r="X303" s="1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159"/>
      <c r="AJ303" s="160"/>
      <c r="AK303" s="161"/>
      <c r="AL303" s="48"/>
      <c r="AM303" s="48"/>
      <c r="AN303" s="48"/>
      <c r="AO303" s="48"/>
      <c r="AP303" s="48"/>
      <c r="AQ303" s="48"/>
      <c r="AR303" s="48"/>
      <c r="AS303" s="174"/>
      <c r="AT303" s="174"/>
      <c r="AU303" s="174"/>
      <c r="AV303" s="174"/>
    </row>
    <row r="304" spans="1:48" ht="12.75" thickTop="1">
      <c r="A304" s="73" t="s">
        <v>47</v>
      </c>
      <c r="B304" s="26">
        <f>+'[19]1" W Gov E14'!$I$22/1000</f>
        <v>211</v>
      </c>
      <c r="C304" s="74"/>
      <c r="D304" s="26"/>
      <c r="E304" s="74"/>
      <c r="F304" s="26"/>
      <c r="G304" s="26"/>
      <c r="I304" s="74"/>
      <c r="J304" s="29"/>
      <c r="K304" s="26"/>
      <c r="L304" s="29"/>
      <c r="M304" s="26"/>
      <c r="N304" s="76"/>
      <c r="O304" s="31"/>
      <c r="P304" s="76"/>
      <c r="Q304" s="26"/>
      <c r="R304" s="32"/>
      <c r="S304" s="157"/>
      <c r="T304" s="83"/>
      <c r="U304" s="157"/>
      <c r="V304" s="157"/>
      <c r="W304" s="13"/>
      <c r="X304" s="1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159"/>
      <c r="AJ304" s="160"/>
      <c r="AK304" s="161"/>
      <c r="AL304" s="48"/>
      <c r="AM304" s="48"/>
      <c r="AN304" s="48"/>
      <c r="AO304" s="48"/>
      <c r="AP304" s="48"/>
      <c r="AQ304" s="48"/>
      <c r="AR304" s="48"/>
      <c r="AS304" s="174"/>
      <c r="AT304" s="174"/>
      <c r="AU304" s="174"/>
      <c r="AV304" s="174"/>
    </row>
    <row r="305" spans="1:48">
      <c r="A305" s="78" t="s">
        <v>128</v>
      </c>
      <c r="B305" s="26"/>
      <c r="C305" s="74"/>
      <c r="D305" s="26">
        <f>+'[19]1" W Gov E14'!$S$26</f>
        <v>36.000000000000007</v>
      </c>
      <c r="E305" s="74"/>
      <c r="F305" s="26"/>
      <c r="G305" s="26"/>
      <c r="H305" s="81">
        <f>+'[19]1" W Gov E14'!$S$1</f>
        <v>41.19</v>
      </c>
      <c r="I305" s="74"/>
      <c r="J305" s="83">
        <f>H305*D305</f>
        <v>1482.8400000000001</v>
      </c>
      <c r="K305" s="26"/>
      <c r="L305" s="29">
        <f>+J305</f>
        <v>1482.8400000000001</v>
      </c>
      <c r="M305" s="26"/>
      <c r="N305" s="76">
        <f>D305</f>
        <v>36.000000000000007</v>
      </c>
      <c r="O305" s="31"/>
      <c r="P305" s="76"/>
      <c r="Q305" s="26"/>
      <c r="R305" s="82">
        <f>H305*(1+$W$5)</f>
        <v>50.215550283797242</v>
      </c>
      <c r="S305" s="157"/>
      <c r="T305" s="83">
        <f>R305*+D305</f>
        <v>1807.759810216701</v>
      </c>
      <c r="U305" s="157"/>
      <c r="V305" s="157"/>
      <c r="W305" s="13"/>
      <c r="X305" s="1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159"/>
      <c r="AJ305" s="160"/>
      <c r="AK305" s="161"/>
      <c r="AL305" s="48"/>
      <c r="AM305" s="48"/>
      <c r="AN305" s="48"/>
      <c r="AO305" s="48"/>
      <c r="AP305" s="48"/>
      <c r="AQ305" s="48"/>
      <c r="AR305" s="48"/>
      <c r="AS305" s="174"/>
      <c r="AT305" s="174"/>
      <c r="AU305" s="174"/>
      <c r="AV305" s="174"/>
    </row>
    <row r="306" spans="1:48">
      <c r="A306" s="78" t="s">
        <v>129</v>
      </c>
      <c r="B306" s="26"/>
      <c r="C306" s="74"/>
      <c r="D306" s="26"/>
      <c r="E306" s="74"/>
      <c r="F306" s="26">
        <f>+'[19]1" W Gov E14'!$V$26</f>
        <v>58</v>
      </c>
      <c r="G306" s="26"/>
      <c r="H306" s="84">
        <f>+'[19]1" W Gov E14'!$S3</f>
        <v>6.79</v>
      </c>
      <c r="I306" s="74"/>
      <c r="J306" s="76">
        <f>H306*F306</f>
        <v>393.82</v>
      </c>
      <c r="K306" s="26"/>
      <c r="L306" s="29">
        <f t="shared" ref="L306:L310" si="123">+J306</f>
        <v>393.82</v>
      </c>
      <c r="M306" s="26"/>
      <c r="N306" s="76"/>
      <c r="O306" s="31"/>
      <c r="P306" s="76">
        <f>SUM(F306)</f>
        <v>58</v>
      </c>
      <c r="Q306" s="26"/>
      <c r="R306" s="82">
        <f t="shared" ref="R306:R310" si="124">H306*(1+$W$5)</f>
        <v>8.2778243852144513</v>
      </c>
      <c r="S306" s="157"/>
      <c r="T306" s="83">
        <f>R306*F306</f>
        <v>480.11381434243816</v>
      </c>
      <c r="U306" s="157"/>
      <c r="V306" s="157"/>
      <c r="W306" s="13"/>
      <c r="X306" s="1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159"/>
      <c r="AJ306" s="160"/>
      <c r="AK306" s="161"/>
      <c r="AL306" s="48"/>
      <c r="AM306" s="48"/>
      <c r="AN306" s="48"/>
      <c r="AO306" s="48"/>
      <c r="AP306" s="48"/>
      <c r="AQ306" s="48"/>
      <c r="AR306" s="48"/>
      <c r="AS306" s="174"/>
      <c r="AT306" s="174"/>
      <c r="AU306" s="174"/>
      <c r="AV306" s="174"/>
    </row>
    <row r="307" spans="1:48">
      <c r="A307" s="78" t="s">
        <v>20</v>
      </c>
      <c r="B307" s="26"/>
      <c r="C307" s="74"/>
      <c r="D307" s="26"/>
      <c r="E307" s="74"/>
      <c r="F307" s="26">
        <f>+'[19]1" W Gov E14'!$W$26</f>
        <v>41.999999999999993</v>
      </c>
      <c r="G307" s="26"/>
      <c r="H307" s="84">
        <f>+'[19]1" W Gov E14'!$S4</f>
        <v>6.23</v>
      </c>
      <c r="I307" s="74"/>
      <c r="J307" s="76">
        <f>H307*F307</f>
        <v>261.65999999999997</v>
      </c>
      <c r="K307" s="26"/>
      <c r="L307" s="29">
        <f t="shared" si="123"/>
        <v>261.65999999999997</v>
      </c>
      <c r="M307" s="26"/>
      <c r="N307" s="76"/>
      <c r="O307" s="31"/>
      <c r="P307" s="76">
        <f t="shared" ref="P307:P310" si="125">SUM(F307)</f>
        <v>41.999999999999993</v>
      </c>
      <c r="Q307" s="26"/>
      <c r="R307" s="82">
        <f t="shared" si="124"/>
        <v>7.5951172194235701</v>
      </c>
      <c r="S307" s="157"/>
      <c r="T307" s="83">
        <f t="shared" ref="T307:T310" si="126">R307*F307</f>
        <v>318.99492321578987</v>
      </c>
      <c r="U307" s="157"/>
      <c r="V307" s="157"/>
      <c r="W307" s="13"/>
      <c r="X307" s="1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159"/>
      <c r="AJ307" s="160"/>
      <c r="AK307" s="161"/>
      <c r="AL307" s="48"/>
      <c r="AM307" s="48"/>
      <c r="AN307" s="48"/>
      <c r="AO307" s="48"/>
      <c r="AP307" s="48"/>
      <c r="AQ307" s="48"/>
      <c r="AR307" s="48"/>
      <c r="AS307" s="174"/>
      <c r="AT307" s="174"/>
      <c r="AU307" s="174"/>
      <c r="AV307" s="174"/>
    </row>
    <row r="308" spans="1:48">
      <c r="A308" s="78" t="s">
        <v>21</v>
      </c>
      <c r="B308" s="26"/>
      <c r="C308" s="74"/>
      <c r="D308" s="26"/>
      <c r="E308" s="74"/>
      <c r="F308" s="26">
        <v>0</v>
      </c>
      <c r="G308" s="26"/>
      <c r="H308" s="84">
        <f>+'[19]1" W Gov E14'!$S5</f>
        <v>5.68</v>
      </c>
      <c r="I308" s="74"/>
      <c r="J308" s="76">
        <f>H308*F308</f>
        <v>0</v>
      </c>
      <c r="K308" s="26"/>
      <c r="L308" s="29">
        <f t="shared" si="123"/>
        <v>0</v>
      </c>
      <c r="M308" s="26"/>
      <c r="N308" s="76"/>
      <c r="O308" s="31"/>
      <c r="P308" s="76">
        <f t="shared" si="125"/>
        <v>0</v>
      </c>
      <c r="Q308" s="26"/>
      <c r="R308" s="82">
        <f t="shared" si="124"/>
        <v>6.9246012530218088</v>
      </c>
      <c r="S308" s="157"/>
      <c r="T308" s="83">
        <f t="shared" si="126"/>
        <v>0</v>
      </c>
      <c r="U308" s="157"/>
      <c r="V308" s="157"/>
      <c r="W308" s="13"/>
      <c r="X308" s="1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159"/>
      <c r="AJ308" s="160"/>
      <c r="AK308" s="161"/>
      <c r="AL308" s="48"/>
      <c r="AM308" s="48"/>
      <c r="AN308" s="48"/>
      <c r="AO308" s="48"/>
      <c r="AP308" s="48"/>
      <c r="AQ308" s="48"/>
      <c r="AR308" s="48"/>
      <c r="AS308" s="174"/>
      <c r="AT308" s="174"/>
      <c r="AU308" s="174"/>
      <c r="AV308" s="174"/>
    </row>
    <row r="309" spans="1:48">
      <c r="A309" s="78" t="s">
        <v>22</v>
      </c>
      <c r="B309" s="26"/>
      <c r="C309" s="74"/>
      <c r="D309" s="26"/>
      <c r="E309" s="74"/>
      <c r="F309" s="26">
        <v>0</v>
      </c>
      <c r="G309" s="26"/>
      <c r="H309" s="84">
        <f>+'[19]1" W Gov E14'!$S6</f>
        <v>5.04</v>
      </c>
      <c r="I309" s="74"/>
      <c r="J309" s="76">
        <f>H309*F309</f>
        <v>0</v>
      </c>
      <c r="K309" s="26"/>
      <c r="L309" s="29">
        <f t="shared" si="123"/>
        <v>0</v>
      </c>
      <c r="M309" s="26"/>
      <c r="N309" s="76"/>
      <c r="O309" s="31"/>
      <c r="P309" s="76">
        <f t="shared" si="125"/>
        <v>0</v>
      </c>
      <c r="Q309" s="26"/>
      <c r="R309" s="82">
        <f t="shared" si="124"/>
        <v>6.1443644921179441</v>
      </c>
      <c r="S309" s="157"/>
      <c r="T309" s="83">
        <f t="shared" si="126"/>
        <v>0</v>
      </c>
      <c r="U309" s="157"/>
      <c r="V309" s="157"/>
      <c r="W309" s="13"/>
      <c r="X309" s="1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159"/>
      <c r="AJ309" s="160"/>
      <c r="AK309" s="161"/>
      <c r="AL309" s="48"/>
      <c r="AM309" s="48"/>
      <c r="AN309" s="48"/>
      <c r="AO309" s="48"/>
      <c r="AP309" s="48"/>
      <c r="AQ309" s="48"/>
      <c r="AR309" s="48"/>
      <c r="AS309" s="174"/>
      <c r="AT309" s="174"/>
      <c r="AU309" s="174"/>
      <c r="AV309" s="174"/>
    </row>
    <row r="310" spans="1:48">
      <c r="A310" s="78" t="s">
        <v>23</v>
      </c>
      <c r="B310" s="26"/>
      <c r="C310" s="74"/>
      <c r="D310" s="26"/>
      <c r="E310" s="74"/>
      <c r="F310" s="26">
        <v>0</v>
      </c>
      <c r="G310" s="26"/>
      <c r="H310" s="84">
        <f>+'[19]1" W Gov E14'!$S7</f>
        <v>4.4000000000000004</v>
      </c>
      <c r="I310" s="74"/>
      <c r="J310" s="76">
        <f>H310*F310</f>
        <v>0</v>
      </c>
      <c r="K310" s="26"/>
      <c r="L310" s="29">
        <f t="shared" si="123"/>
        <v>0</v>
      </c>
      <c r="M310" s="26"/>
      <c r="N310" s="76"/>
      <c r="O310" s="31"/>
      <c r="P310" s="76">
        <f t="shared" si="125"/>
        <v>0</v>
      </c>
      <c r="Q310" s="26"/>
      <c r="R310" s="82">
        <f t="shared" si="124"/>
        <v>5.3641277312140785</v>
      </c>
      <c r="S310" s="157"/>
      <c r="T310" s="83">
        <f t="shared" si="126"/>
        <v>0</v>
      </c>
      <c r="U310" s="157"/>
      <c r="V310" s="157"/>
      <c r="W310" s="13"/>
      <c r="X310" s="1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159"/>
      <c r="AJ310" s="160"/>
      <c r="AK310" s="161"/>
      <c r="AL310" s="48"/>
      <c r="AM310" s="48"/>
      <c r="AN310" s="48"/>
      <c r="AO310" s="48"/>
      <c r="AP310" s="48"/>
      <c r="AQ310" s="48"/>
      <c r="AR310" s="48"/>
      <c r="AS310" s="174"/>
      <c r="AT310" s="174"/>
      <c r="AU310" s="174"/>
      <c r="AV310" s="174"/>
    </row>
    <row r="311" spans="1:48" ht="12.75" thickBot="1">
      <c r="A311" s="151" t="s">
        <v>48</v>
      </c>
      <c r="B311" s="103">
        <f>SUM(B304:B310)</f>
        <v>211</v>
      </c>
      <c r="C311" s="90"/>
      <c r="D311" s="103">
        <f>SUM(D304:D310)</f>
        <v>36.000000000000007</v>
      </c>
      <c r="E311" s="90"/>
      <c r="F311" s="103">
        <f>SUM(F304:F310)</f>
        <v>100</v>
      </c>
      <c r="G311" s="62"/>
      <c r="H311" s="64"/>
      <c r="I311" s="90"/>
      <c r="J311" s="91">
        <f>SUM(J304:J310)</f>
        <v>2138.3200000000002</v>
      </c>
      <c r="K311" s="62"/>
      <c r="L311" s="91">
        <f>SUM(L304:L310)</f>
        <v>2138.3200000000002</v>
      </c>
      <c r="M311" s="62"/>
      <c r="N311" s="108">
        <f>SUM(N305:N310)</f>
        <v>36.000000000000007</v>
      </c>
      <c r="O311" s="67"/>
      <c r="P311" s="108">
        <f>SUM(P306:P310)</f>
        <v>100</v>
      </c>
      <c r="Q311" s="67"/>
      <c r="R311" s="68"/>
      <c r="S311" s="157"/>
      <c r="T311" s="220">
        <f>SUM(T304:T310)</f>
        <v>2606.8685477749286</v>
      </c>
      <c r="U311" s="157"/>
      <c r="V311" s="157"/>
      <c r="W311" s="13"/>
      <c r="X311" s="1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159"/>
      <c r="AJ311" s="160"/>
      <c r="AK311" s="161"/>
      <c r="AL311" s="48"/>
      <c r="AM311" s="48"/>
      <c r="AN311" s="48"/>
      <c r="AO311" s="48"/>
      <c r="AP311" s="48"/>
      <c r="AQ311" s="48"/>
      <c r="AR311" s="48"/>
      <c r="AS311" s="174"/>
      <c r="AT311" s="174"/>
      <c r="AU311" s="174"/>
      <c r="AV311" s="174"/>
    </row>
    <row r="312" spans="1:48" ht="12.75" thickTop="1">
      <c r="A312" s="151"/>
      <c r="B312" s="67"/>
      <c r="C312" s="90"/>
      <c r="D312" s="67"/>
      <c r="E312" s="90"/>
      <c r="F312" s="67"/>
      <c r="G312" s="62"/>
      <c r="H312" s="64"/>
      <c r="I312" s="90"/>
      <c r="J312" s="173"/>
      <c r="K312" s="62"/>
      <c r="L312" s="173"/>
      <c r="M312" s="62"/>
      <c r="N312" s="124"/>
      <c r="O312" s="67"/>
      <c r="P312" s="124"/>
      <c r="Q312" s="67"/>
      <c r="R312" s="68"/>
      <c r="S312" s="157"/>
      <c r="T312" s="83"/>
      <c r="U312" s="157"/>
      <c r="V312" s="157"/>
      <c r="W312" s="13"/>
      <c r="X312" s="1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159"/>
      <c r="AJ312" s="160"/>
      <c r="AK312" s="161"/>
      <c r="AL312" s="48"/>
      <c r="AM312" s="48"/>
      <c r="AN312" s="48"/>
      <c r="AO312" s="48"/>
      <c r="AP312" s="48"/>
      <c r="AQ312" s="48"/>
      <c r="AR312" s="48"/>
      <c r="AS312" s="174"/>
      <c r="AT312" s="174"/>
      <c r="AU312" s="174"/>
      <c r="AV312" s="174"/>
    </row>
    <row r="313" spans="1:48" ht="12.75" thickBot="1">
      <c r="A313" s="152" t="s">
        <v>49</v>
      </c>
      <c r="B313" s="26"/>
      <c r="C313" s="74"/>
      <c r="D313" s="26"/>
      <c r="E313" s="74"/>
      <c r="F313" s="26"/>
      <c r="G313" s="26"/>
      <c r="H313" s="28"/>
      <c r="I313" s="74"/>
      <c r="J313" s="29"/>
      <c r="K313" s="26"/>
      <c r="L313" s="99">
        <f>L311/+$D311</f>
        <v>59.397777777777769</v>
      </c>
      <c r="M313" s="26"/>
      <c r="N313" s="76"/>
      <c r="O313" s="31"/>
      <c r="P313" s="76"/>
      <c r="Q313" s="26"/>
      <c r="R313" s="32"/>
      <c r="S313" s="75"/>
      <c r="T313" s="99">
        <f>T311/+$D311</f>
        <v>72.413015215970219</v>
      </c>
      <c r="U313" s="75"/>
      <c r="V313" s="75"/>
      <c r="W313" s="13"/>
      <c r="X313" s="1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159"/>
      <c r="AJ313" s="160"/>
      <c r="AK313" s="161"/>
      <c r="AL313" s="48"/>
      <c r="AM313" s="48"/>
      <c r="AN313" s="48"/>
      <c r="AO313" s="48"/>
      <c r="AP313" s="48"/>
      <c r="AQ313" s="48"/>
      <c r="AR313" s="48"/>
      <c r="AS313" s="174"/>
      <c r="AT313" s="174"/>
      <c r="AU313" s="174"/>
      <c r="AV313" s="174"/>
    </row>
    <row r="314" spans="1:48" ht="12.75" thickTop="1">
      <c r="A314" s="73" t="s">
        <v>53</v>
      </c>
      <c r="B314" s="26">
        <f>+'[19]1.5" W Coml E14'!$I$23/1000</f>
        <v>199</v>
      </c>
      <c r="C314" s="74"/>
      <c r="D314" s="26"/>
      <c r="E314" s="74"/>
      <c r="F314" s="26"/>
      <c r="G314" s="26"/>
      <c r="H314" s="28"/>
      <c r="I314" s="74"/>
      <c r="J314" s="29"/>
      <c r="K314" s="26"/>
      <c r="L314" s="29"/>
      <c r="M314" s="26"/>
      <c r="N314" s="76"/>
      <c r="O314" s="31"/>
      <c r="P314" s="76"/>
      <c r="Q314" s="26"/>
      <c r="R314" s="32"/>
      <c r="S314" s="157"/>
      <c r="T314" s="83"/>
      <c r="U314" s="157"/>
      <c r="V314" s="157"/>
      <c r="W314" s="13"/>
      <c r="X314" s="1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159"/>
      <c r="AJ314" s="160"/>
      <c r="AK314" s="161"/>
      <c r="AL314" s="48"/>
      <c r="AM314" s="48"/>
      <c r="AN314" s="48"/>
      <c r="AO314" s="48"/>
      <c r="AP314" s="48"/>
      <c r="AQ314" s="48"/>
      <c r="AR314" s="48"/>
      <c r="AS314" s="174"/>
      <c r="AT314" s="174"/>
      <c r="AU314" s="174"/>
      <c r="AV314" s="174"/>
    </row>
    <row r="315" spans="1:48">
      <c r="A315" s="78" t="s">
        <v>54</v>
      </c>
      <c r="B315" s="26"/>
      <c r="C315" s="74"/>
      <c r="D315" s="26">
        <f>+'[19]1.5" W Coml E14'!$S$27</f>
        <v>23.999999999999993</v>
      </c>
      <c r="E315" s="74"/>
      <c r="F315" s="26"/>
      <c r="G315" s="26"/>
      <c r="H315" s="81">
        <f>+'[19]1.5" W Coml E14'!$S$2</f>
        <v>80.59</v>
      </c>
      <c r="I315" s="74"/>
      <c r="J315" s="83">
        <f>H315*D315</f>
        <v>1934.1599999999994</v>
      </c>
      <c r="K315" s="26"/>
      <c r="L315" s="29">
        <f>+J315</f>
        <v>1934.1599999999994</v>
      </c>
      <c r="M315" s="26"/>
      <c r="N315" s="76">
        <f>D315</f>
        <v>23.999999999999993</v>
      </c>
      <c r="O315" s="31"/>
      <c r="P315" s="76"/>
      <c r="Q315" s="26"/>
      <c r="R315" s="82">
        <f>H315*(1+$W$5)</f>
        <v>98.248875876941483</v>
      </c>
      <c r="S315" s="157"/>
      <c r="T315" s="83">
        <f>R315*+D315</f>
        <v>2357.973021046595</v>
      </c>
      <c r="U315" s="157"/>
      <c r="V315" s="157"/>
      <c r="W315" s="13"/>
      <c r="X315" s="1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159"/>
      <c r="AJ315" s="160"/>
      <c r="AK315" s="161"/>
      <c r="AL315" s="48"/>
      <c r="AM315" s="48"/>
      <c r="AN315" s="48"/>
      <c r="AO315" s="48"/>
      <c r="AP315" s="48"/>
      <c r="AQ315" s="48"/>
      <c r="AR315" s="48"/>
      <c r="AS315" s="174"/>
      <c r="AT315" s="174"/>
      <c r="AU315" s="174"/>
      <c r="AV315" s="174"/>
    </row>
    <row r="316" spans="1:48">
      <c r="A316" s="78" t="s">
        <v>55</v>
      </c>
      <c r="B316" s="26"/>
      <c r="C316" s="74"/>
      <c r="D316" s="26"/>
      <c r="E316" s="74"/>
      <c r="F316" s="26">
        <f>+'[19]1.5" W Coml E14'!$V$27</f>
        <v>36</v>
      </c>
      <c r="G316" s="26"/>
      <c r="H316" s="84">
        <f>+'[19]1.5" W Coml E14'!$S4</f>
        <v>6.23</v>
      </c>
      <c r="I316" s="74"/>
      <c r="J316" s="76">
        <f>H316*F316</f>
        <v>224.28000000000003</v>
      </c>
      <c r="K316" s="26"/>
      <c r="L316" s="29">
        <f t="shared" ref="L316:L319" si="127">+J316</f>
        <v>224.28000000000003</v>
      </c>
      <c r="M316" s="26"/>
      <c r="N316" s="76"/>
      <c r="O316" s="31"/>
      <c r="P316" s="76">
        <f>SUM(F316)</f>
        <v>36</v>
      </c>
      <c r="Q316" s="26"/>
      <c r="R316" s="82">
        <f t="shared" ref="R316:R319" si="128">H316*(1+$W$5)</f>
        <v>7.5951172194235701</v>
      </c>
      <c r="S316" s="157"/>
      <c r="T316" s="83">
        <f>R316*F316</f>
        <v>273.4242198992485</v>
      </c>
      <c r="U316" s="157"/>
      <c r="V316" s="157"/>
      <c r="W316" s="13"/>
      <c r="X316" s="1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159"/>
      <c r="AJ316" s="160"/>
      <c r="AK316" s="161"/>
      <c r="AL316" s="48"/>
      <c r="AM316" s="48"/>
      <c r="AN316" s="48"/>
      <c r="AO316" s="48"/>
      <c r="AP316" s="48"/>
      <c r="AQ316" s="48"/>
      <c r="AR316" s="48"/>
      <c r="AS316" s="174"/>
      <c r="AT316" s="174"/>
      <c r="AU316" s="174"/>
      <c r="AV316" s="174"/>
    </row>
    <row r="317" spans="1:48">
      <c r="A317" s="78" t="s">
        <v>21</v>
      </c>
      <c r="B317" s="26"/>
      <c r="C317" s="74"/>
      <c r="D317" s="26"/>
      <c r="E317" s="74"/>
      <c r="F317" s="26">
        <f>+'[19]1.5" W Coml E14'!$W$27</f>
        <v>25</v>
      </c>
      <c r="G317" s="26"/>
      <c r="H317" s="84">
        <f>+'[19]1.5" W Coml E14'!$S5</f>
        <v>5.68</v>
      </c>
      <c r="I317" s="74"/>
      <c r="J317" s="76">
        <f>H317*F317</f>
        <v>142</v>
      </c>
      <c r="K317" s="26"/>
      <c r="L317" s="29">
        <f t="shared" si="127"/>
        <v>142</v>
      </c>
      <c r="M317" s="26"/>
      <c r="N317" s="76"/>
      <c r="O317" s="31"/>
      <c r="P317" s="76">
        <f t="shared" ref="P317:P319" si="129">SUM(F317)</f>
        <v>25</v>
      </c>
      <c r="Q317" s="26"/>
      <c r="R317" s="82">
        <f t="shared" si="128"/>
        <v>6.9246012530218088</v>
      </c>
      <c r="S317" s="157"/>
      <c r="T317" s="83">
        <f t="shared" ref="T317:T320" si="130">R317*F317</f>
        <v>173.11503132554523</v>
      </c>
      <c r="U317" s="157"/>
      <c r="V317" s="157"/>
      <c r="W317" s="13"/>
      <c r="X317" s="1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159"/>
      <c r="AJ317" s="160"/>
      <c r="AK317" s="161"/>
      <c r="AL317" s="48"/>
      <c r="AM317" s="48"/>
      <c r="AN317" s="48"/>
      <c r="AO317" s="48"/>
      <c r="AP317" s="48"/>
      <c r="AQ317" s="48"/>
      <c r="AR317" s="48"/>
      <c r="AS317" s="174"/>
      <c r="AT317" s="174"/>
      <c r="AU317" s="174"/>
      <c r="AV317" s="174"/>
    </row>
    <row r="318" spans="1:48">
      <c r="A318" s="78" t="s">
        <v>22</v>
      </c>
      <c r="B318" s="26"/>
      <c r="C318" s="74"/>
      <c r="D318" s="26"/>
      <c r="E318" s="74"/>
      <c r="F318" s="26">
        <f>+'[19]1.5" W Coml E14'!$X$27</f>
        <v>6</v>
      </c>
      <c r="G318" s="26"/>
      <c r="H318" s="84">
        <f>+'[19]1.5" W Coml E14'!$S6</f>
        <v>5.04</v>
      </c>
      <c r="I318" s="74"/>
      <c r="J318" s="76">
        <f>H318*F318</f>
        <v>30.240000000000002</v>
      </c>
      <c r="K318" s="26"/>
      <c r="L318" s="29">
        <f t="shared" si="127"/>
        <v>30.240000000000002</v>
      </c>
      <c r="M318" s="26"/>
      <c r="N318" s="76"/>
      <c r="O318" s="31"/>
      <c r="P318" s="76">
        <f t="shared" si="129"/>
        <v>6</v>
      </c>
      <c r="Q318" s="26"/>
      <c r="R318" s="82">
        <f t="shared" si="128"/>
        <v>6.1443644921179441</v>
      </c>
      <c r="S318" s="157"/>
      <c r="T318" s="83">
        <f t="shared" si="130"/>
        <v>36.866186952707665</v>
      </c>
      <c r="U318" s="157"/>
      <c r="V318" s="157"/>
      <c r="W318" s="13"/>
      <c r="X318" s="1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159"/>
      <c r="AJ318" s="160"/>
      <c r="AK318" s="161"/>
      <c r="AL318" s="48"/>
      <c r="AM318" s="48"/>
      <c r="AN318" s="48"/>
      <c r="AO318" s="48"/>
      <c r="AP318" s="48"/>
      <c r="AQ318" s="48"/>
      <c r="AR318" s="48"/>
      <c r="AS318" s="174"/>
      <c r="AT318" s="174"/>
      <c r="AU318" s="174"/>
      <c r="AV318" s="174"/>
    </row>
    <row r="319" spans="1:48">
      <c r="A319" s="78" t="s">
        <v>23</v>
      </c>
      <c r="B319" s="26"/>
      <c r="C319" s="74"/>
      <c r="D319" s="26"/>
      <c r="E319" s="74"/>
      <c r="F319" s="26">
        <v>0</v>
      </c>
      <c r="G319" s="26"/>
      <c r="H319" s="84">
        <f>+'[19]1.5" W Coml E14'!$S7</f>
        <v>4.4000000000000004</v>
      </c>
      <c r="I319" s="74"/>
      <c r="J319" s="76">
        <f>H319*F319</f>
        <v>0</v>
      </c>
      <c r="K319" s="26"/>
      <c r="L319" s="29">
        <f t="shared" si="127"/>
        <v>0</v>
      </c>
      <c r="M319" s="26"/>
      <c r="N319" s="76"/>
      <c r="O319" s="31"/>
      <c r="P319" s="76">
        <f t="shared" si="129"/>
        <v>0</v>
      </c>
      <c r="Q319" s="26"/>
      <c r="R319" s="82">
        <f t="shared" si="128"/>
        <v>5.3641277312140785</v>
      </c>
      <c r="S319" s="157"/>
      <c r="T319" s="83">
        <f t="shared" si="130"/>
        <v>0</v>
      </c>
      <c r="U319" s="157"/>
      <c r="V319" s="157"/>
      <c r="W319" s="13"/>
      <c r="X319" s="1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159"/>
      <c r="AJ319" s="160"/>
      <c r="AK319" s="161"/>
      <c r="AL319" s="48"/>
      <c r="AM319" s="48"/>
      <c r="AN319" s="48"/>
      <c r="AO319" s="48"/>
      <c r="AP319" s="48"/>
      <c r="AQ319" s="48"/>
      <c r="AR319" s="48"/>
      <c r="AS319" s="174"/>
      <c r="AT319" s="174"/>
      <c r="AU319" s="174"/>
      <c r="AV319" s="174"/>
    </row>
    <row r="320" spans="1:48" s="97" customFormat="1" ht="12.75" thickBot="1">
      <c r="A320" s="151" t="s">
        <v>56</v>
      </c>
      <c r="B320" s="103">
        <f>SUM(B314:B319)</f>
        <v>199</v>
      </c>
      <c r="C320" s="90"/>
      <c r="D320" s="103">
        <f>SUM(D314:D319)</f>
        <v>23.999999999999993</v>
      </c>
      <c r="E320" s="90"/>
      <c r="F320" s="103">
        <f>SUM(F314:F319)</f>
        <v>67</v>
      </c>
      <c r="G320" s="62"/>
      <c r="H320" s="64"/>
      <c r="I320" s="90"/>
      <c r="J320" s="91">
        <f>SUM(J314:J319)</f>
        <v>2330.6799999999994</v>
      </c>
      <c r="K320" s="62"/>
      <c r="L320" s="91">
        <f>SUM(L314:L319)</f>
        <v>2330.6799999999994</v>
      </c>
      <c r="M320" s="62"/>
      <c r="N320" s="107">
        <f>SUM(N315:N319)</f>
        <v>23.999999999999993</v>
      </c>
      <c r="O320" s="31"/>
      <c r="P320" s="107">
        <f>SUM(P316:P319)</f>
        <v>67</v>
      </c>
      <c r="Q320" s="67"/>
      <c r="R320" s="32"/>
      <c r="S320" s="208"/>
      <c r="T320" s="83">
        <f t="shared" si="130"/>
        <v>0</v>
      </c>
      <c r="U320" s="208"/>
      <c r="V320" s="208"/>
      <c r="W320" s="17"/>
      <c r="X320" s="17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62"/>
      <c r="AJ320" s="163"/>
      <c r="AK320" s="164"/>
      <c r="AL320" s="96"/>
      <c r="AM320" s="96"/>
      <c r="AN320" s="96"/>
      <c r="AO320" s="96"/>
      <c r="AP320" s="96"/>
      <c r="AQ320" s="96"/>
      <c r="AR320" s="96"/>
      <c r="AS320" s="213"/>
      <c r="AT320" s="213"/>
      <c r="AU320" s="213"/>
      <c r="AV320" s="213"/>
    </row>
    <row r="321" spans="1:48" s="97" customFormat="1" ht="12.75" thickTop="1">
      <c r="A321" s="151"/>
      <c r="B321" s="67"/>
      <c r="C321" s="90"/>
      <c r="D321" s="67"/>
      <c r="E321" s="90"/>
      <c r="F321" s="67"/>
      <c r="G321" s="62"/>
      <c r="H321" s="64"/>
      <c r="I321" s="90"/>
      <c r="J321" s="173"/>
      <c r="K321" s="62"/>
      <c r="L321" s="173"/>
      <c r="M321" s="62"/>
      <c r="N321" s="124"/>
      <c r="O321" s="67"/>
      <c r="P321" s="124"/>
      <c r="Q321" s="67"/>
      <c r="R321" s="68"/>
      <c r="S321" s="208"/>
      <c r="T321" s="222"/>
      <c r="U321" s="208"/>
      <c r="V321" s="208"/>
      <c r="W321" s="17"/>
      <c r="X321" s="17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62"/>
      <c r="AJ321" s="163"/>
      <c r="AK321" s="164"/>
      <c r="AL321" s="96"/>
      <c r="AM321" s="96"/>
      <c r="AN321" s="96"/>
      <c r="AO321" s="96"/>
      <c r="AP321" s="96"/>
      <c r="AQ321" s="96"/>
      <c r="AR321" s="96"/>
      <c r="AS321" s="213"/>
      <c r="AT321" s="213"/>
      <c r="AU321" s="213"/>
      <c r="AV321" s="213"/>
    </row>
    <row r="322" spans="1:48" ht="12.75" thickBot="1">
      <c r="A322" s="152" t="s">
        <v>57</v>
      </c>
      <c r="B322" s="26"/>
      <c r="C322" s="74"/>
      <c r="D322" s="26"/>
      <c r="E322" s="74"/>
      <c r="F322" s="26"/>
      <c r="G322" s="26"/>
      <c r="H322" s="28"/>
      <c r="I322" s="74"/>
      <c r="J322" s="29"/>
      <c r="K322" s="26"/>
      <c r="L322" s="99">
        <f>L320/+$D320</f>
        <v>97.111666666666665</v>
      </c>
      <c r="M322" s="26"/>
      <c r="N322" s="76"/>
      <c r="O322" s="31"/>
      <c r="P322" s="76"/>
      <c r="Q322" s="26"/>
      <c r="R322" s="32"/>
      <c r="S322" s="75"/>
      <c r="T322" s="99">
        <f>T320/+$D320</f>
        <v>0</v>
      </c>
      <c r="U322" s="75"/>
      <c r="V322" s="75"/>
      <c r="W322" s="13"/>
      <c r="X322" s="1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159"/>
      <c r="AJ322" s="160"/>
      <c r="AK322" s="161"/>
      <c r="AL322" s="48"/>
      <c r="AM322" s="48"/>
      <c r="AN322" s="48"/>
      <c r="AO322" s="48"/>
      <c r="AP322" s="48"/>
      <c r="AQ322" s="48"/>
      <c r="AR322" s="48"/>
      <c r="AS322" s="174"/>
      <c r="AT322" s="174"/>
      <c r="AU322" s="174"/>
      <c r="AV322" s="174"/>
    </row>
    <row r="323" spans="1:48" ht="12.75" thickTop="1">
      <c r="A323" s="73" t="s">
        <v>58</v>
      </c>
      <c r="B323" s="26">
        <f>+'[19]1.5" W Gov E14'!$I$24/1000</f>
        <v>1761</v>
      </c>
      <c r="C323" s="74"/>
      <c r="D323" s="26"/>
      <c r="E323" s="74"/>
      <c r="F323" s="26"/>
      <c r="G323" s="26"/>
      <c r="H323" s="28"/>
      <c r="I323" s="74"/>
      <c r="J323" s="29"/>
      <c r="K323" s="26"/>
      <c r="L323" s="29"/>
      <c r="M323" s="26"/>
      <c r="N323" s="76"/>
      <c r="O323" s="31"/>
      <c r="P323" s="76"/>
      <c r="Q323" s="26"/>
      <c r="R323" s="32"/>
      <c r="S323" s="157"/>
      <c r="T323" s="83"/>
      <c r="U323" s="157"/>
      <c r="V323" s="157"/>
      <c r="W323" s="13"/>
      <c r="X323" s="1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159"/>
      <c r="AJ323" s="160"/>
      <c r="AK323" s="161"/>
      <c r="AL323" s="48"/>
      <c r="AM323" s="48"/>
      <c r="AN323" s="48"/>
      <c r="AO323" s="48"/>
      <c r="AP323" s="48"/>
      <c r="AQ323" s="48"/>
      <c r="AR323" s="48"/>
      <c r="AS323" s="174"/>
      <c r="AT323" s="174"/>
      <c r="AU323" s="174"/>
      <c r="AV323" s="174"/>
    </row>
    <row r="324" spans="1:48">
      <c r="A324" s="78" t="s">
        <v>54</v>
      </c>
      <c r="B324" s="26"/>
      <c r="C324" s="74"/>
      <c r="D324" s="26">
        <f>+'[19]1.5" W Gov E14'!$S$28</f>
        <v>23.999999999999993</v>
      </c>
      <c r="E324" s="74"/>
      <c r="F324" s="26"/>
      <c r="G324" s="26"/>
      <c r="H324" s="81">
        <f>+'[19]1.5" W Gov E14'!$S$2</f>
        <v>80.59</v>
      </c>
      <c r="I324" s="74"/>
      <c r="J324" s="83">
        <f>H324*D324</f>
        <v>1934.1599999999994</v>
      </c>
      <c r="K324" s="26"/>
      <c r="L324" s="29">
        <f>+J324</f>
        <v>1934.1599999999994</v>
      </c>
      <c r="M324" s="26"/>
      <c r="N324" s="76">
        <f>D324</f>
        <v>23.999999999999993</v>
      </c>
      <c r="O324" s="31"/>
      <c r="P324" s="76"/>
      <c r="Q324" s="26"/>
      <c r="R324" s="82">
        <f>H324*(1+$W$5)</f>
        <v>98.248875876941483</v>
      </c>
      <c r="S324" s="157"/>
      <c r="T324" s="83">
        <f>R324*+D324</f>
        <v>2357.973021046595</v>
      </c>
      <c r="U324" s="157"/>
      <c r="V324" s="157"/>
      <c r="W324" s="13"/>
      <c r="X324" s="1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159"/>
      <c r="AJ324" s="160"/>
      <c r="AK324" s="161"/>
      <c r="AL324" s="48"/>
      <c r="AM324" s="48"/>
      <c r="AN324" s="48"/>
      <c r="AO324" s="48"/>
      <c r="AP324" s="48"/>
      <c r="AQ324" s="48"/>
      <c r="AR324" s="48"/>
      <c r="AS324" s="174"/>
      <c r="AT324" s="174"/>
      <c r="AU324" s="174"/>
      <c r="AV324" s="174"/>
    </row>
    <row r="325" spans="1:48">
      <c r="A325" s="78" t="s">
        <v>55</v>
      </c>
      <c r="B325" s="26"/>
      <c r="C325" s="74"/>
      <c r="D325" s="26"/>
      <c r="E325" s="74"/>
      <c r="F325" s="26">
        <f>+'[19]1.5" W Gov E14'!$V$28</f>
        <v>168</v>
      </c>
      <c r="G325" s="26"/>
      <c r="H325" s="84">
        <f>+'[19]1.5" W Gov E14'!$S4</f>
        <v>6.23</v>
      </c>
      <c r="I325" s="74"/>
      <c r="J325" s="76">
        <f>H325*F325</f>
        <v>1046.6400000000001</v>
      </c>
      <c r="K325" s="26"/>
      <c r="L325" s="29">
        <f t="shared" ref="L325:L328" si="131">+J325</f>
        <v>1046.6400000000001</v>
      </c>
      <c r="M325" s="26"/>
      <c r="N325" s="76"/>
      <c r="O325" s="31"/>
      <c r="P325" s="76">
        <f>SUM(F325)</f>
        <v>168</v>
      </c>
      <c r="Q325" s="26"/>
      <c r="R325" s="82">
        <f t="shared" ref="R325:R328" si="132">H325*(1+$W$5)</f>
        <v>7.5951172194235701</v>
      </c>
      <c r="S325" s="157"/>
      <c r="T325" s="83">
        <f>R325*F325</f>
        <v>1275.9796928631597</v>
      </c>
      <c r="U325" s="157"/>
      <c r="V325" s="157"/>
      <c r="W325" s="13"/>
      <c r="X325" s="1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159"/>
      <c r="AJ325" s="160"/>
      <c r="AK325" s="161"/>
      <c r="AL325" s="48"/>
      <c r="AM325" s="48"/>
      <c r="AN325" s="48"/>
      <c r="AO325" s="48"/>
      <c r="AP325" s="48"/>
      <c r="AQ325" s="48"/>
      <c r="AR325" s="48"/>
      <c r="AS325" s="174"/>
      <c r="AT325" s="174"/>
      <c r="AU325" s="174"/>
      <c r="AV325" s="174"/>
    </row>
    <row r="326" spans="1:48">
      <c r="A326" s="78" t="s">
        <v>21</v>
      </c>
      <c r="B326" s="26"/>
      <c r="C326" s="74"/>
      <c r="D326" s="26"/>
      <c r="E326" s="74"/>
      <c r="F326" s="26">
        <f>+'[19]1.5" W Gov E14'!$W$28</f>
        <v>300</v>
      </c>
      <c r="G326" s="26"/>
      <c r="H326" s="84">
        <f>+'[19]1.5" W Gov E14'!$S5</f>
        <v>5.68</v>
      </c>
      <c r="I326" s="74"/>
      <c r="J326" s="76">
        <f>H326*F326</f>
        <v>1704</v>
      </c>
      <c r="K326" s="26"/>
      <c r="L326" s="29">
        <f t="shared" si="131"/>
        <v>1704</v>
      </c>
      <c r="M326" s="26"/>
      <c r="N326" s="76"/>
      <c r="O326" s="31"/>
      <c r="P326" s="76">
        <f t="shared" ref="P326:P328" si="133">SUM(F326)</f>
        <v>300</v>
      </c>
      <c r="Q326" s="26"/>
      <c r="R326" s="82">
        <f t="shared" si="132"/>
        <v>6.9246012530218088</v>
      </c>
      <c r="S326" s="157"/>
      <c r="T326" s="83">
        <f t="shared" ref="T326:T328" si="134">R326*F326</f>
        <v>2077.3803759065427</v>
      </c>
      <c r="U326" s="157"/>
      <c r="V326" s="157"/>
      <c r="W326" s="13"/>
      <c r="X326" s="1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159"/>
      <c r="AJ326" s="160"/>
      <c r="AK326" s="161"/>
      <c r="AL326" s="48"/>
      <c r="AM326" s="48"/>
      <c r="AN326" s="48"/>
      <c r="AO326" s="48"/>
      <c r="AP326" s="48"/>
      <c r="AQ326" s="48"/>
      <c r="AR326" s="48"/>
      <c r="AS326" s="174"/>
      <c r="AT326" s="174"/>
      <c r="AU326" s="174"/>
      <c r="AV326" s="174"/>
    </row>
    <row r="327" spans="1:48">
      <c r="A327" s="78" t="s">
        <v>22</v>
      </c>
      <c r="B327" s="26"/>
      <c r="C327" s="74"/>
      <c r="D327" s="26"/>
      <c r="E327" s="74"/>
      <c r="F327" s="26">
        <f>+'[19]1.5" W Gov E14'!$X$28</f>
        <v>600</v>
      </c>
      <c r="G327" s="26"/>
      <c r="H327" s="84">
        <f>+'[19]1.5" W Gov E14'!$S6</f>
        <v>5.04</v>
      </c>
      <c r="I327" s="74"/>
      <c r="J327" s="76">
        <f>H327*F327</f>
        <v>3024</v>
      </c>
      <c r="K327" s="26"/>
      <c r="L327" s="29">
        <f t="shared" si="131"/>
        <v>3024</v>
      </c>
      <c r="M327" s="26"/>
      <c r="N327" s="76"/>
      <c r="O327" s="31"/>
      <c r="P327" s="76">
        <f t="shared" si="133"/>
        <v>600</v>
      </c>
      <c r="Q327" s="26"/>
      <c r="R327" s="82">
        <f t="shared" si="132"/>
        <v>6.1443644921179441</v>
      </c>
      <c r="S327" s="157"/>
      <c r="T327" s="83">
        <f t="shared" si="134"/>
        <v>3686.6186952707667</v>
      </c>
      <c r="U327" s="157"/>
      <c r="V327" s="157"/>
      <c r="W327" s="13"/>
      <c r="X327" s="1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159"/>
      <c r="AJ327" s="160"/>
      <c r="AK327" s="161"/>
      <c r="AL327" s="48"/>
      <c r="AM327" s="48"/>
      <c r="AN327" s="48"/>
      <c r="AO327" s="48"/>
      <c r="AP327" s="48"/>
      <c r="AQ327" s="48"/>
      <c r="AR327" s="48"/>
      <c r="AS327" s="174"/>
      <c r="AT327" s="174"/>
      <c r="AU327" s="174"/>
      <c r="AV327" s="174"/>
    </row>
    <row r="328" spans="1:48">
      <c r="A328" s="78" t="s">
        <v>23</v>
      </c>
      <c r="B328" s="26"/>
      <c r="C328" s="74"/>
      <c r="D328" s="26"/>
      <c r="E328" s="74"/>
      <c r="F328" s="26">
        <f>+'[19]1.5" W Gov E14'!$Y$28</f>
        <v>530.00000000000011</v>
      </c>
      <c r="G328" s="26"/>
      <c r="H328" s="84">
        <f>+'[19]1.5" W Gov E14'!$S7</f>
        <v>4.4000000000000004</v>
      </c>
      <c r="I328" s="74"/>
      <c r="J328" s="76">
        <f>H328*F328</f>
        <v>2332.0000000000009</v>
      </c>
      <c r="K328" s="26"/>
      <c r="L328" s="29">
        <f t="shared" si="131"/>
        <v>2332.0000000000009</v>
      </c>
      <c r="M328" s="26"/>
      <c r="N328" s="76"/>
      <c r="O328" s="31"/>
      <c r="P328" s="76">
        <f t="shared" si="133"/>
        <v>530.00000000000011</v>
      </c>
      <c r="Q328" s="26"/>
      <c r="R328" s="82">
        <f t="shared" si="132"/>
        <v>5.3641277312140785</v>
      </c>
      <c r="S328" s="157"/>
      <c r="T328" s="83">
        <f t="shared" si="134"/>
        <v>2842.9876975434622</v>
      </c>
      <c r="U328" s="157"/>
      <c r="V328" s="157"/>
      <c r="W328" s="13"/>
      <c r="X328" s="1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159"/>
      <c r="AJ328" s="160"/>
      <c r="AK328" s="161"/>
      <c r="AL328" s="48"/>
      <c r="AM328" s="48"/>
      <c r="AN328" s="48"/>
      <c r="AO328" s="48"/>
      <c r="AP328" s="48"/>
      <c r="AQ328" s="48"/>
      <c r="AR328" s="48"/>
      <c r="AS328" s="174"/>
      <c r="AT328" s="174"/>
      <c r="AU328" s="174"/>
      <c r="AV328" s="174"/>
    </row>
    <row r="329" spans="1:48" s="97" customFormat="1" ht="12.75" thickBot="1">
      <c r="A329" s="151" t="s">
        <v>59</v>
      </c>
      <c r="B329" s="103">
        <f>SUM(B323:B328)</f>
        <v>1761</v>
      </c>
      <c r="C329" s="90"/>
      <c r="D329" s="103">
        <f>SUM(D323:D328)</f>
        <v>23.999999999999993</v>
      </c>
      <c r="E329" s="90"/>
      <c r="F329" s="103">
        <f>SUM(F323:F328)</f>
        <v>1598</v>
      </c>
      <c r="G329" s="62"/>
      <c r="H329" s="64"/>
      <c r="I329" s="90"/>
      <c r="J329" s="91">
        <f>SUM(J323:J328)</f>
        <v>10040.799999999999</v>
      </c>
      <c r="K329" s="62"/>
      <c r="L329" s="91">
        <f>SUM(L323:L328)</f>
        <v>10040.799999999999</v>
      </c>
      <c r="M329" s="62"/>
      <c r="N329" s="108">
        <f>SUM(N324:N328)</f>
        <v>23.999999999999993</v>
      </c>
      <c r="O329" s="67"/>
      <c r="P329" s="108">
        <f>SUM(P325:P328)</f>
        <v>1598</v>
      </c>
      <c r="Q329" s="67"/>
      <c r="R329" s="68"/>
      <c r="S329" s="208"/>
      <c r="T329" s="91">
        <f>SUM(T323:T328)</f>
        <v>12240.939482630525</v>
      </c>
      <c r="U329" s="208"/>
      <c r="V329" s="208"/>
      <c r="W329" s="17"/>
      <c r="X329" s="17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62"/>
      <c r="AJ329" s="163"/>
      <c r="AK329" s="164"/>
      <c r="AL329" s="96"/>
      <c r="AM329" s="96"/>
      <c r="AN329" s="96"/>
      <c r="AO329" s="96"/>
      <c r="AP329" s="96"/>
      <c r="AQ329" s="96"/>
      <c r="AR329" s="96"/>
      <c r="AS329" s="213"/>
      <c r="AT329" s="213"/>
      <c r="AU329" s="213"/>
      <c r="AV329" s="213"/>
    </row>
    <row r="330" spans="1:48" s="97" customFormat="1" ht="12.75" thickTop="1">
      <c r="A330" s="151"/>
      <c r="B330" s="67"/>
      <c r="C330" s="90"/>
      <c r="D330" s="67"/>
      <c r="E330" s="90"/>
      <c r="F330" s="67"/>
      <c r="G330" s="62"/>
      <c r="H330" s="64"/>
      <c r="I330" s="90"/>
      <c r="J330" s="173"/>
      <c r="K330" s="62"/>
      <c r="L330" s="173"/>
      <c r="M330" s="62"/>
      <c r="N330" s="124"/>
      <c r="O330" s="67"/>
      <c r="P330" s="124"/>
      <c r="Q330" s="67"/>
      <c r="R330" s="68"/>
      <c r="S330" s="208"/>
      <c r="T330" s="222"/>
      <c r="U330" s="208"/>
      <c r="V330" s="208"/>
      <c r="W330" s="17"/>
      <c r="X330" s="17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62"/>
      <c r="AJ330" s="163"/>
      <c r="AK330" s="164"/>
      <c r="AL330" s="96"/>
      <c r="AM330" s="96"/>
      <c r="AN330" s="96"/>
      <c r="AO330" s="96"/>
      <c r="AP330" s="96"/>
      <c r="AQ330" s="96"/>
      <c r="AR330" s="96"/>
      <c r="AS330" s="213"/>
      <c r="AT330" s="213"/>
      <c r="AU330" s="213"/>
      <c r="AV330" s="213"/>
    </row>
    <row r="331" spans="1:48" ht="12.75" thickBot="1">
      <c r="A331" s="152" t="s">
        <v>60</v>
      </c>
      <c r="B331" s="26"/>
      <c r="C331" s="74"/>
      <c r="D331" s="26"/>
      <c r="E331" s="74"/>
      <c r="F331" s="26"/>
      <c r="G331" s="26"/>
      <c r="H331" s="28"/>
      <c r="I331" s="74"/>
      <c r="J331" s="29"/>
      <c r="K331" s="26"/>
      <c r="L331" s="99">
        <f>L329/+$D329</f>
        <v>418.36666666666679</v>
      </c>
      <c r="M331" s="26"/>
      <c r="N331" s="76"/>
      <c r="O331" s="31"/>
      <c r="P331" s="76"/>
      <c r="Q331" s="26"/>
      <c r="R331" s="32"/>
      <c r="S331" s="75"/>
      <c r="T331" s="99">
        <f>T329/+$D329</f>
        <v>510.03914510960539</v>
      </c>
      <c r="U331" s="75"/>
      <c r="V331" s="75"/>
      <c r="W331" s="13"/>
      <c r="X331" s="1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159"/>
      <c r="AJ331" s="160"/>
      <c r="AK331" s="161"/>
      <c r="AL331" s="48"/>
      <c r="AM331" s="48"/>
      <c r="AN331" s="48"/>
      <c r="AO331" s="48"/>
      <c r="AP331" s="48"/>
      <c r="AQ331" s="48"/>
      <c r="AR331" s="48"/>
      <c r="AS331" s="174"/>
      <c r="AT331" s="174"/>
      <c r="AU331" s="174"/>
      <c r="AV331" s="174"/>
    </row>
    <row r="332" spans="1:48" ht="12.75" thickTop="1">
      <c r="A332" s="73" t="s">
        <v>132</v>
      </c>
      <c r="B332" s="26">
        <f>+'[19]2" W MR E14'!$I$20/1000</f>
        <v>304</v>
      </c>
      <c r="C332" s="74"/>
      <c r="D332" s="26"/>
      <c r="E332" s="74"/>
      <c r="F332" s="26"/>
      <c r="G332" s="26"/>
      <c r="I332" s="74"/>
      <c r="K332" s="26"/>
      <c r="L332" s="29"/>
      <c r="M332" s="26"/>
      <c r="N332" s="76"/>
      <c r="O332" s="31"/>
      <c r="P332" s="76"/>
      <c r="Q332" s="26"/>
      <c r="R332" s="32"/>
      <c r="S332" s="157"/>
      <c r="T332" s="83"/>
      <c r="U332" s="157"/>
      <c r="V332" s="157"/>
      <c r="W332" s="13"/>
      <c r="X332" s="1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159"/>
      <c r="AJ332" s="160"/>
      <c r="AK332" s="161"/>
      <c r="AL332" s="48"/>
      <c r="AM332" s="48"/>
      <c r="AN332" s="48"/>
      <c r="AO332" s="48"/>
      <c r="AP332" s="48"/>
      <c r="AQ332" s="48"/>
      <c r="AR332" s="48"/>
      <c r="AS332" s="174"/>
      <c r="AT332" s="174"/>
      <c r="AU332" s="174"/>
      <c r="AV332" s="174"/>
    </row>
    <row r="333" spans="1:48">
      <c r="A333" s="78" t="s">
        <v>65</v>
      </c>
      <c r="B333" s="26"/>
      <c r="C333" s="74"/>
      <c r="D333" s="26">
        <f>+'[19]2" W MR E14'!$S$24</f>
        <v>12</v>
      </c>
      <c r="E333" s="74"/>
      <c r="F333" s="26"/>
      <c r="G333" s="26"/>
      <c r="H333" s="81">
        <f>+'[19]2" W MR E14'!$S$2</f>
        <v>120.48</v>
      </c>
      <c r="I333" s="74"/>
      <c r="J333" s="83">
        <f>H333*D333</f>
        <v>1445.76</v>
      </c>
      <c r="K333" s="26"/>
      <c r="L333" s="29">
        <f>+J333</f>
        <v>1445.76</v>
      </c>
      <c r="M333" s="26"/>
      <c r="N333" s="76">
        <f>D333</f>
        <v>12</v>
      </c>
      <c r="O333" s="31"/>
      <c r="P333" s="76"/>
      <c r="Q333" s="26"/>
      <c r="R333" s="82">
        <f>H333*(1+$W$5)</f>
        <v>146.87957024015276</v>
      </c>
      <c r="S333" s="157"/>
      <c r="T333" s="83">
        <f>R333*+D333</f>
        <v>1762.5548428818331</v>
      </c>
      <c r="U333" s="157"/>
      <c r="V333" s="157"/>
      <c r="W333" s="13"/>
      <c r="X333" s="1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159"/>
      <c r="AJ333" s="160"/>
      <c r="AK333" s="161"/>
      <c r="AL333" s="48"/>
      <c r="AM333" s="48"/>
      <c r="AN333" s="48"/>
      <c r="AO333" s="48"/>
      <c r="AP333" s="48"/>
      <c r="AQ333" s="48"/>
      <c r="AR333" s="48"/>
      <c r="AS333" s="174"/>
      <c r="AT333" s="174"/>
      <c r="AU333" s="174"/>
      <c r="AV333" s="174"/>
    </row>
    <row r="334" spans="1:48">
      <c r="A334" s="78" t="s">
        <v>66</v>
      </c>
      <c r="B334" s="26"/>
      <c r="C334" s="74"/>
      <c r="D334" s="26"/>
      <c r="E334" s="74"/>
      <c r="F334" s="26">
        <f>+'[19]2" W MR E14'!$V$24</f>
        <v>72</v>
      </c>
      <c r="G334" s="26"/>
      <c r="H334" s="84">
        <f>+'[19]2" W MR E14'!$S4</f>
        <v>6.23</v>
      </c>
      <c r="I334" s="74"/>
      <c r="J334" s="76">
        <f>H334*F334</f>
        <v>448.56000000000006</v>
      </c>
      <c r="K334" s="26"/>
      <c r="L334" s="29">
        <f t="shared" ref="L334:L337" si="135">+J334</f>
        <v>448.56000000000006</v>
      </c>
      <c r="M334" s="26"/>
      <c r="N334" s="76"/>
      <c r="O334" s="31"/>
      <c r="P334" s="76">
        <f>SUM(F334)</f>
        <v>72</v>
      </c>
      <c r="Q334" s="26"/>
      <c r="R334" s="82">
        <f t="shared" ref="R334:R337" si="136">H334*(1+$W$5)</f>
        <v>7.5951172194235701</v>
      </c>
      <c r="S334" s="157"/>
      <c r="T334" s="83">
        <f>R334*F334</f>
        <v>546.848439798497</v>
      </c>
      <c r="U334" s="157"/>
      <c r="V334" s="157"/>
      <c r="W334" s="13"/>
      <c r="X334" s="1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159"/>
      <c r="AJ334" s="160"/>
      <c r="AK334" s="161"/>
      <c r="AL334" s="48"/>
      <c r="AM334" s="48"/>
      <c r="AN334" s="48"/>
      <c r="AO334" s="48"/>
      <c r="AP334" s="48"/>
      <c r="AQ334" s="48"/>
      <c r="AR334" s="48"/>
      <c r="AS334" s="174"/>
      <c r="AT334" s="174"/>
      <c r="AU334" s="174"/>
      <c r="AV334" s="174"/>
    </row>
    <row r="335" spans="1:48">
      <c r="A335" s="78" t="s">
        <v>21</v>
      </c>
      <c r="B335" s="26"/>
      <c r="C335" s="74"/>
      <c r="D335" s="26"/>
      <c r="E335" s="74"/>
      <c r="F335" s="26">
        <f>+'[19]2" W MR E14'!$W$24</f>
        <v>29.999999999999996</v>
      </c>
      <c r="G335" s="26"/>
      <c r="H335" s="84">
        <f>+'[19]2" W MR E14'!$S5</f>
        <v>5.68</v>
      </c>
      <c r="I335" s="74"/>
      <c r="J335" s="76">
        <f>H335*F335</f>
        <v>170.39999999999998</v>
      </c>
      <c r="K335" s="26"/>
      <c r="L335" s="29">
        <f t="shared" si="135"/>
        <v>170.39999999999998</v>
      </c>
      <c r="M335" s="26"/>
      <c r="N335" s="76"/>
      <c r="O335" s="31"/>
      <c r="P335" s="76">
        <f t="shared" ref="P335:P337" si="137">SUM(F335)</f>
        <v>29.999999999999996</v>
      </c>
      <c r="Q335" s="26"/>
      <c r="R335" s="82">
        <f t="shared" si="136"/>
        <v>6.9246012530218088</v>
      </c>
      <c r="S335" s="157"/>
      <c r="T335" s="83">
        <f t="shared" ref="T335:T337" si="138">R335*F335</f>
        <v>207.73803759065424</v>
      </c>
      <c r="U335" s="157"/>
      <c r="V335" s="157"/>
      <c r="W335" s="13"/>
      <c r="X335" s="1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159"/>
      <c r="AJ335" s="160"/>
      <c r="AK335" s="161"/>
      <c r="AL335" s="48"/>
      <c r="AM335" s="48"/>
      <c r="AN335" s="48"/>
      <c r="AO335" s="48"/>
      <c r="AP335" s="48"/>
      <c r="AQ335" s="48"/>
      <c r="AR335" s="48"/>
      <c r="AS335" s="174"/>
      <c r="AT335" s="174"/>
      <c r="AU335" s="174"/>
      <c r="AV335" s="174"/>
    </row>
    <row r="336" spans="1:48">
      <c r="A336" s="78" t="s">
        <v>22</v>
      </c>
      <c r="B336" s="26"/>
      <c r="C336" s="74"/>
      <c r="D336" s="26"/>
      <c r="E336" s="74"/>
      <c r="F336" s="26">
        <v>0</v>
      </c>
      <c r="G336" s="26"/>
      <c r="H336" s="84">
        <f>+'[19]2" W MR E14'!$S6</f>
        <v>5.04</v>
      </c>
      <c r="I336" s="74"/>
      <c r="J336" s="76">
        <f>H336*F336</f>
        <v>0</v>
      </c>
      <c r="K336" s="26"/>
      <c r="L336" s="29">
        <f t="shared" si="135"/>
        <v>0</v>
      </c>
      <c r="M336" s="26"/>
      <c r="N336" s="76"/>
      <c r="O336" s="31"/>
      <c r="P336" s="76">
        <f t="shared" si="137"/>
        <v>0</v>
      </c>
      <c r="Q336" s="26"/>
      <c r="R336" s="82">
        <f t="shared" si="136"/>
        <v>6.1443644921179441</v>
      </c>
      <c r="S336" s="157"/>
      <c r="T336" s="83">
        <f t="shared" si="138"/>
        <v>0</v>
      </c>
      <c r="U336" s="157"/>
      <c r="V336" s="157"/>
      <c r="W336" s="13"/>
      <c r="X336" s="1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159"/>
      <c r="AJ336" s="160"/>
      <c r="AK336" s="161"/>
      <c r="AL336" s="48"/>
      <c r="AM336" s="48"/>
      <c r="AN336" s="48"/>
      <c r="AO336" s="48"/>
      <c r="AP336" s="48"/>
      <c r="AQ336" s="48"/>
      <c r="AR336" s="48"/>
      <c r="AS336" s="174"/>
      <c r="AT336" s="174"/>
      <c r="AU336" s="174"/>
      <c r="AV336" s="174"/>
    </row>
    <row r="337" spans="1:48">
      <c r="A337" s="78" t="s">
        <v>23</v>
      </c>
      <c r="B337" s="26"/>
      <c r="C337" s="74"/>
      <c r="D337" s="26"/>
      <c r="E337" s="74"/>
      <c r="F337" s="26">
        <v>0</v>
      </c>
      <c r="G337" s="26"/>
      <c r="H337" s="84">
        <f>+'[19]2" W MR E14'!$S7</f>
        <v>4.4000000000000004</v>
      </c>
      <c r="I337" s="74"/>
      <c r="J337" s="76">
        <f>H337*F337</f>
        <v>0</v>
      </c>
      <c r="K337" s="26"/>
      <c r="L337" s="29">
        <f t="shared" si="135"/>
        <v>0</v>
      </c>
      <c r="M337" s="26"/>
      <c r="N337" s="76"/>
      <c r="O337" s="31"/>
      <c r="P337" s="76">
        <f t="shared" si="137"/>
        <v>0</v>
      </c>
      <c r="Q337" s="26"/>
      <c r="R337" s="82">
        <f t="shared" si="136"/>
        <v>5.3641277312140785</v>
      </c>
      <c r="S337" s="157"/>
      <c r="T337" s="83">
        <f t="shared" si="138"/>
        <v>0</v>
      </c>
      <c r="U337" s="157"/>
      <c r="V337" s="157"/>
      <c r="W337" s="13"/>
      <c r="X337" s="1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159"/>
      <c r="AJ337" s="160"/>
      <c r="AK337" s="161"/>
      <c r="AL337" s="48"/>
      <c r="AM337" s="48"/>
      <c r="AN337" s="48"/>
      <c r="AO337" s="48"/>
      <c r="AP337" s="48"/>
      <c r="AQ337" s="48"/>
      <c r="AR337" s="48"/>
      <c r="AS337" s="174"/>
      <c r="AT337" s="174"/>
      <c r="AU337" s="174"/>
      <c r="AV337" s="174"/>
    </row>
    <row r="338" spans="1:48" ht="12.75" thickBot="1">
      <c r="A338" s="88" t="s">
        <v>133</v>
      </c>
      <c r="B338" s="103">
        <f>SUM(B332:B337)</f>
        <v>304</v>
      </c>
      <c r="C338" s="74"/>
      <c r="D338" s="103">
        <f>SUM(D332:D337)</f>
        <v>12</v>
      </c>
      <c r="E338" s="74"/>
      <c r="F338" s="103">
        <f>SUM(F332:F337)</f>
        <v>102</v>
      </c>
      <c r="G338" s="26"/>
      <c r="H338" s="28"/>
      <c r="I338" s="74"/>
      <c r="J338" s="91">
        <f>SUM(J333:J337)</f>
        <v>2064.7200000000003</v>
      </c>
      <c r="K338" s="26"/>
      <c r="L338" s="91">
        <f>SUM(L332:L337)</f>
        <v>2064.7200000000003</v>
      </c>
      <c r="M338" s="26"/>
      <c r="N338" s="108">
        <f>SUM(N333:N337)</f>
        <v>12</v>
      </c>
      <c r="O338" s="31"/>
      <c r="P338" s="108">
        <f>SUM(P334:P337)</f>
        <v>102</v>
      </c>
      <c r="Q338" s="67"/>
      <c r="R338" s="68"/>
      <c r="S338" s="157"/>
      <c r="T338" s="91">
        <f>SUM(T332:T337)</f>
        <v>2517.1413202709841</v>
      </c>
      <c r="U338" s="157"/>
      <c r="V338" s="157"/>
      <c r="W338" s="13"/>
      <c r="X338" s="1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159"/>
      <c r="AJ338" s="160"/>
      <c r="AK338" s="161"/>
      <c r="AL338" s="48"/>
      <c r="AM338" s="48"/>
      <c r="AN338" s="48"/>
      <c r="AO338" s="48"/>
      <c r="AP338" s="48"/>
      <c r="AQ338" s="48"/>
      <c r="AR338" s="48"/>
      <c r="AS338" s="174"/>
      <c r="AT338" s="174"/>
      <c r="AU338" s="174"/>
      <c r="AV338" s="174"/>
    </row>
    <row r="339" spans="1:48" ht="12.75" thickTop="1">
      <c r="A339" s="88"/>
      <c r="B339" s="67"/>
      <c r="C339" s="74"/>
      <c r="D339" s="67"/>
      <c r="E339" s="74"/>
      <c r="F339" s="67"/>
      <c r="G339" s="26"/>
      <c r="H339" s="28"/>
      <c r="I339" s="74"/>
      <c r="J339" s="173"/>
      <c r="K339" s="26"/>
      <c r="L339" s="173"/>
      <c r="M339" s="26"/>
      <c r="N339" s="124"/>
      <c r="O339" s="31"/>
      <c r="P339" s="124"/>
      <c r="Q339" s="67"/>
      <c r="R339" s="68"/>
      <c r="S339" s="157"/>
      <c r="T339" s="83"/>
      <c r="U339" s="157"/>
      <c r="V339" s="157"/>
      <c r="W339" s="13"/>
      <c r="X339" s="1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159"/>
      <c r="AJ339" s="160"/>
      <c r="AK339" s="161"/>
      <c r="AL339" s="48"/>
      <c r="AM339" s="48"/>
      <c r="AN339" s="48"/>
      <c r="AO339" s="48"/>
      <c r="AP339" s="48"/>
      <c r="AQ339" s="48"/>
      <c r="AR339" s="48"/>
      <c r="AS339" s="174"/>
      <c r="AT339" s="174"/>
      <c r="AU339" s="174"/>
      <c r="AV339" s="174"/>
    </row>
    <row r="340" spans="1:48" ht="12.75" thickBot="1">
      <c r="A340" s="98" t="s">
        <v>134</v>
      </c>
      <c r="B340" s="26"/>
      <c r="C340" s="74"/>
      <c r="D340" s="26"/>
      <c r="E340" s="74"/>
      <c r="F340" s="26"/>
      <c r="G340" s="26"/>
      <c r="H340" s="28"/>
      <c r="I340" s="74"/>
      <c r="J340" s="29"/>
      <c r="K340" s="26"/>
      <c r="L340" s="99">
        <f>L338/+$D338</f>
        <v>172.06000000000003</v>
      </c>
      <c r="M340" s="26"/>
      <c r="N340" s="76"/>
      <c r="O340" s="31"/>
      <c r="P340" s="76"/>
      <c r="Q340" s="26"/>
      <c r="R340" s="32"/>
      <c r="S340" s="75"/>
      <c r="T340" s="99">
        <f>T338/+$D338</f>
        <v>209.76177668924868</v>
      </c>
      <c r="U340" s="75"/>
      <c r="V340" s="75"/>
      <c r="W340" s="13"/>
      <c r="X340" s="1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159"/>
      <c r="AJ340" s="160"/>
      <c r="AK340" s="161"/>
      <c r="AL340" s="48"/>
      <c r="AM340" s="48"/>
      <c r="AN340" s="48"/>
      <c r="AO340" s="48"/>
      <c r="AP340" s="48"/>
      <c r="AQ340" s="48"/>
      <c r="AR340" s="48"/>
      <c r="AS340" s="174"/>
      <c r="AT340" s="174"/>
      <c r="AU340" s="174"/>
      <c r="AV340" s="174"/>
    </row>
    <row r="341" spans="1:48" ht="12.75" thickTop="1">
      <c r="A341" s="73" t="s">
        <v>64</v>
      </c>
      <c r="B341" s="26">
        <f>+'[19]2" W Coml E14'!$I$26/1000</f>
        <v>1471</v>
      </c>
      <c r="C341" s="74"/>
      <c r="D341" s="26"/>
      <c r="E341" s="74"/>
      <c r="F341" s="26"/>
      <c r="G341" s="26"/>
      <c r="H341" s="28"/>
      <c r="I341" s="74"/>
      <c r="J341" s="29"/>
      <c r="K341" s="26"/>
      <c r="L341" s="29"/>
      <c r="M341" s="26"/>
      <c r="N341" s="76"/>
      <c r="O341" s="31"/>
      <c r="P341" s="76"/>
      <c r="Q341" s="26"/>
      <c r="R341" s="32"/>
      <c r="S341" s="157"/>
      <c r="T341" s="83"/>
      <c r="U341" s="157"/>
      <c r="V341" s="157"/>
      <c r="W341" s="13"/>
      <c r="X341" s="1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159"/>
      <c r="AJ341" s="160"/>
      <c r="AK341" s="161"/>
      <c r="AL341" s="48"/>
      <c r="AM341" s="48"/>
      <c r="AN341" s="48"/>
      <c r="AO341" s="48"/>
      <c r="AP341" s="48"/>
      <c r="AQ341" s="48"/>
      <c r="AR341" s="48"/>
      <c r="AS341" s="174"/>
      <c r="AT341" s="174"/>
      <c r="AU341" s="174"/>
      <c r="AV341" s="174"/>
    </row>
    <row r="342" spans="1:48">
      <c r="A342" s="78" t="s">
        <v>65</v>
      </c>
      <c r="B342" s="26"/>
      <c r="C342" s="74"/>
      <c r="D342" s="26">
        <f>+'[19]2" W Coml E14'!$S$30</f>
        <v>16</v>
      </c>
      <c r="E342" s="74"/>
      <c r="F342" s="26"/>
      <c r="G342" s="26"/>
      <c r="H342" s="81">
        <f>+'[19]2" W Coml E14'!$S$2</f>
        <v>120.48</v>
      </c>
      <c r="I342" s="74"/>
      <c r="J342" s="83">
        <f>H342*D342</f>
        <v>1927.68</v>
      </c>
      <c r="K342" s="26"/>
      <c r="L342" s="29">
        <f>+J342</f>
        <v>1927.68</v>
      </c>
      <c r="M342" s="26"/>
      <c r="N342" s="76">
        <f>D342</f>
        <v>16</v>
      </c>
      <c r="O342" s="31"/>
      <c r="P342" s="76"/>
      <c r="Q342" s="26"/>
      <c r="R342" s="82">
        <f>H342*(1+$W$5)</f>
        <v>146.87957024015276</v>
      </c>
      <c r="S342" s="157"/>
      <c r="T342" s="83">
        <f>R342*+D342</f>
        <v>2350.0731238424441</v>
      </c>
      <c r="U342" s="157"/>
      <c r="V342" s="157"/>
      <c r="W342" s="13"/>
      <c r="X342" s="1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159"/>
      <c r="AJ342" s="160"/>
      <c r="AK342" s="161"/>
      <c r="AL342" s="48"/>
      <c r="AM342" s="48"/>
      <c r="AN342" s="48"/>
      <c r="AO342" s="48"/>
      <c r="AP342" s="48"/>
      <c r="AQ342" s="48"/>
      <c r="AR342" s="48"/>
      <c r="AS342" s="174"/>
      <c r="AT342" s="174"/>
      <c r="AU342" s="174"/>
      <c r="AV342" s="174"/>
    </row>
    <row r="343" spans="1:48">
      <c r="A343" s="78" t="s">
        <v>66</v>
      </c>
      <c r="B343" s="26"/>
      <c r="C343" s="74"/>
      <c r="D343" s="26"/>
      <c r="E343" s="74"/>
      <c r="F343" s="26">
        <f>+'[19]2" W Coml E14'!$V$30</f>
        <v>72</v>
      </c>
      <c r="G343" s="26"/>
      <c r="H343" s="84">
        <f>+'[19]2" W Coml E14'!$S4</f>
        <v>6.23</v>
      </c>
      <c r="I343" s="74"/>
      <c r="J343" s="76">
        <f>H343*F343</f>
        <v>448.56000000000006</v>
      </c>
      <c r="K343" s="26"/>
      <c r="L343" s="29">
        <f t="shared" ref="L343:L346" si="139">+J343</f>
        <v>448.56000000000006</v>
      </c>
      <c r="M343" s="26"/>
      <c r="N343" s="76"/>
      <c r="O343" s="31"/>
      <c r="P343" s="76">
        <f>SUM(F343)</f>
        <v>72</v>
      </c>
      <c r="Q343" s="26"/>
      <c r="R343" s="82">
        <f t="shared" ref="R343:R346" si="140">H343*(1+$W$5)</f>
        <v>7.5951172194235701</v>
      </c>
      <c r="S343" s="157"/>
      <c r="T343" s="83">
        <f>R343*F343</f>
        <v>546.848439798497</v>
      </c>
      <c r="U343" s="157"/>
      <c r="V343" s="157"/>
      <c r="W343" s="13"/>
      <c r="X343" s="1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159"/>
      <c r="AJ343" s="160"/>
      <c r="AK343" s="161"/>
      <c r="AL343" s="48"/>
      <c r="AM343" s="48"/>
      <c r="AN343" s="48"/>
      <c r="AO343" s="48"/>
      <c r="AP343" s="48"/>
      <c r="AQ343" s="48"/>
      <c r="AR343" s="48"/>
      <c r="AS343" s="174"/>
      <c r="AT343" s="174"/>
      <c r="AU343" s="174"/>
      <c r="AV343" s="174"/>
    </row>
    <row r="344" spans="1:48">
      <c r="A344" s="78" t="s">
        <v>21</v>
      </c>
      <c r="B344" s="26"/>
      <c r="C344" s="74"/>
      <c r="D344" s="26"/>
      <c r="E344" s="74"/>
      <c r="F344" s="26">
        <f>+'[19]2" W Coml E14'!$W$30</f>
        <v>225</v>
      </c>
      <c r="G344" s="26"/>
      <c r="H344" s="84">
        <f>+'[19]2" W Coml E14'!$S5</f>
        <v>5.68</v>
      </c>
      <c r="I344" s="74"/>
      <c r="J344" s="76">
        <f>H344*F344</f>
        <v>1278</v>
      </c>
      <c r="K344" s="26"/>
      <c r="L344" s="29">
        <f t="shared" si="139"/>
        <v>1278</v>
      </c>
      <c r="M344" s="26"/>
      <c r="N344" s="76"/>
      <c r="O344" s="31"/>
      <c r="P344" s="76">
        <f t="shared" ref="P344:P346" si="141">SUM(F344)</f>
        <v>225</v>
      </c>
      <c r="Q344" s="26"/>
      <c r="R344" s="82">
        <f t="shared" si="140"/>
        <v>6.9246012530218088</v>
      </c>
      <c r="S344" s="157"/>
      <c r="T344" s="83">
        <f t="shared" ref="T344:T346" si="142">R344*F344</f>
        <v>1558.0352819299069</v>
      </c>
      <c r="U344" s="157"/>
      <c r="V344" s="157"/>
      <c r="W344" s="13"/>
      <c r="X344" s="1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159"/>
      <c r="AJ344" s="160"/>
      <c r="AK344" s="161"/>
      <c r="AL344" s="48"/>
      <c r="AM344" s="48"/>
      <c r="AN344" s="48"/>
      <c r="AO344" s="48"/>
      <c r="AP344" s="48"/>
      <c r="AQ344" s="48"/>
      <c r="AR344" s="48"/>
      <c r="AS344" s="174"/>
      <c r="AT344" s="174"/>
      <c r="AU344" s="174"/>
      <c r="AV344" s="174"/>
    </row>
    <row r="345" spans="1:48">
      <c r="A345" s="78" t="s">
        <v>22</v>
      </c>
      <c r="B345" s="26"/>
      <c r="C345" s="74"/>
      <c r="D345" s="26"/>
      <c r="E345" s="74"/>
      <c r="F345" s="26">
        <f>+'[19]2" W Coml E14'!$X$30</f>
        <v>319</v>
      </c>
      <c r="G345" s="26"/>
      <c r="H345" s="84">
        <f>+'[19]2" W Coml E14'!$S6</f>
        <v>5.04</v>
      </c>
      <c r="I345" s="74"/>
      <c r="J345" s="76">
        <f>H345*F345</f>
        <v>1607.76</v>
      </c>
      <c r="K345" s="26"/>
      <c r="L345" s="29">
        <f t="shared" si="139"/>
        <v>1607.76</v>
      </c>
      <c r="M345" s="26"/>
      <c r="N345" s="76"/>
      <c r="O345" s="31"/>
      <c r="P345" s="76">
        <f t="shared" si="141"/>
        <v>319</v>
      </c>
      <c r="Q345" s="26"/>
      <c r="R345" s="82">
        <f t="shared" si="140"/>
        <v>6.1443644921179441</v>
      </c>
      <c r="S345" s="157"/>
      <c r="T345" s="83">
        <f t="shared" si="142"/>
        <v>1960.0522729856241</v>
      </c>
      <c r="U345" s="157"/>
      <c r="V345" s="157"/>
      <c r="W345" s="13"/>
      <c r="X345" s="1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159"/>
      <c r="AJ345" s="160"/>
      <c r="AK345" s="161"/>
      <c r="AL345" s="48"/>
      <c r="AM345" s="48"/>
      <c r="AN345" s="48"/>
      <c r="AO345" s="48"/>
      <c r="AP345" s="48"/>
      <c r="AQ345" s="48"/>
      <c r="AR345" s="48"/>
      <c r="AS345" s="174"/>
      <c r="AT345" s="174"/>
      <c r="AU345" s="174"/>
      <c r="AV345" s="174"/>
    </row>
    <row r="346" spans="1:48">
      <c r="A346" s="78" t="s">
        <v>23</v>
      </c>
      <c r="B346" s="26"/>
      <c r="C346" s="74"/>
      <c r="D346" s="26"/>
      <c r="E346" s="74"/>
      <c r="F346" s="26">
        <f>+'[19]2" W Coml E14'!$Y$30</f>
        <v>649</v>
      </c>
      <c r="G346" s="26"/>
      <c r="H346" s="84">
        <f>+'[19]2" W Coml E14'!$S7</f>
        <v>4.4000000000000004</v>
      </c>
      <c r="I346" s="74"/>
      <c r="J346" s="76">
        <f>H346*F346</f>
        <v>2855.6000000000004</v>
      </c>
      <c r="K346" s="26"/>
      <c r="L346" s="29">
        <f t="shared" si="139"/>
        <v>2855.6000000000004</v>
      </c>
      <c r="M346" s="26"/>
      <c r="N346" s="76"/>
      <c r="O346" s="31"/>
      <c r="P346" s="76">
        <f t="shared" si="141"/>
        <v>649</v>
      </c>
      <c r="Q346" s="26"/>
      <c r="R346" s="82">
        <f t="shared" si="140"/>
        <v>5.3641277312140785</v>
      </c>
      <c r="S346" s="157"/>
      <c r="T346" s="83">
        <f t="shared" si="142"/>
        <v>3481.3188975579369</v>
      </c>
      <c r="U346" s="157"/>
      <c r="V346" s="157"/>
      <c r="W346" s="13"/>
      <c r="X346" s="1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159"/>
      <c r="AJ346" s="160"/>
      <c r="AK346" s="161"/>
      <c r="AL346" s="48"/>
      <c r="AM346" s="48"/>
      <c r="AN346" s="48"/>
      <c r="AO346" s="48"/>
      <c r="AP346" s="48"/>
      <c r="AQ346" s="48"/>
      <c r="AR346" s="48"/>
      <c r="AS346" s="174"/>
      <c r="AT346" s="174"/>
      <c r="AU346" s="174"/>
      <c r="AV346" s="174"/>
    </row>
    <row r="347" spans="1:48" ht="12.75" thickBot="1">
      <c r="A347" s="151" t="s">
        <v>67</v>
      </c>
      <c r="B347" s="103">
        <f>SUM(B341:B346)</f>
        <v>1471</v>
      </c>
      <c r="C347" s="74"/>
      <c r="D347" s="103">
        <f>SUM(D341:D346)</f>
        <v>16</v>
      </c>
      <c r="E347" s="74"/>
      <c r="F347" s="103">
        <f>SUM(F341:F346)</f>
        <v>1265</v>
      </c>
      <c r="G347" s="26"/>
      <c r="H347" s="28"/>
      <c r="I347" s="74"/>
      <c r="J347" s="91">
        <f>SUM(J341:J346)</f>
        <v>8117.6</v>
      </c>
      <c r="K347" s="26"/>
      <c r="L347" s="91">
        <f>SUM(L341:L346)</f>
        <v>8117.6</v>
      </c>
      <c r="M347" s="26"/>
      <c r="N347" s="108">
        <f>SUM(N342:N346)</f>
        <v>16</v>
      </c>
      <c r="O347" s="31"/>
      <c r="P347" s="108">
        <f>SUM(P343:P346)</f>
        <v>1265</v>
      </c>
      <c r="Q347" s="67"/>
      <c r="R347" s="68"/>
      <c r="S347" s="157"/>
      <c r="T347" s="91">
        <f>SUM(T341:T346)</f>
        <v>9896.3280161144103</v>
      </c>
      <c r="U347" s="157"/>
      <c r="V347" s="157"/>
      <c r="W347" s="13"/>
      <c r="X347" s="1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159"/>
      <c r="AJ347" s="160"/>
      <c r="AK347" s="161"/>
      <c r="AL347" s="48"/>
      <c r="AM347" s="48"/>
      <c r="AN347" s="48"/>
      <c r="AO347" s="48"/>
      <c r="AP347" s="48"/>
      <c r="AQ347" s="48"/>
      <c r="AR347" s="48"/>
      <c r="AS347" s="174"/>
      <c r="AT347" s="174"/>
      <c r="AU347" s="174"/>
      <c r="AV347" s="174"/>
    </row>
    <row r="348" spans="1:48" ht="12.75" thickTop="1">
      <c r="A348" s="151"/>
      <c r="B348" s="67"/>
      <c r="C348" s="74"/>
      <c r="D348" s="67"/>
      <c r="E348" s="74"/>
      <c r="F348" s="67"/>
      <c r="G348" s="26"/>
      <c r="H348" s="28"/>
      <c r="I348" s="74"/>
      <c r="J348" s="173"/>
      <c r="K348" s="26"/>
      <c r="L348" s="173"/>
      <c r="M348" s="26"/>
      <c r="N348" s="124"/>
      <c r="O348" s="31"/>
      <c r="P348" s="124"/>
      <c r="Q348" s="67"/>
      <c r="R348" s="68"/>
      <c r="S348" s="157"/>
      <c r="T348" s="83"/>
      <c r="U348" s="157"/>
      <c r="V348" s="157"/>
      <c r="W348" s="13"/>
      <c r="X348" s="1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159"/>
      <c r="AJ348" s="160"/>
      <c r="AK348" s="161"/>
      <c r="AL348" s="48"/>
      <c r="AM348" s="48"/>
      <c r="AN348" s="48"/>
      <c r="AO348" s="48"/>
      <c r="AP348" s="48"/>
      <c r="AQ348" s="48"/>
      <c r="AR348" s="48"/>
      <c r="AS348" s="174"/>
      <c r="AT348" s="174"/>
      <c r="AU348" s="174"/>
      <c r="AV348" s="174"/>
    </row>
    <row r="349" spans="1:48" ht="12.75" thickBot="1">
      <c r="A349" s="152" t="s">
        <v>68</v>
      </c>
      <c r="B349" s="26"/>
      <c r="C349" s="74"/>
      <c r="D349" s="26"/>
      <c r="E349" s="74"/>
      <c r="F349" s="26"/>
      <c r="G349" s="26"/>
      <c r="H349" s="28"/>
      <c r="I349" s="74"/>
      <c r="J349" s="29"/>
      <c r="K349" s="26"/>
      <c r="L349" s="99">
        <f>L347/+$D347</f>
        <v>507.35</v>
      </c>
      <c r="M349" s="26"/>
      <c r="N349" s="76"/>
      <c r="O349" s="31"/>
      <c r="P349" s="76"/>
      <c r="Q349" s="26"/>
      <c r="R349" s="32"/>
      <c r="S349" s="75"/>
      <c r="T349" s="99">
        <f>T347/+$D347</f>
        <v>618.52050100715064</v>
      </c>
      <c r="U349" s="75"/>
      <c r="V349" s="75"/>
      <c r="W349" s="13"/>
      <c r="X349" s="1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159"/>
      <c r="AJ349" s="160"/>
      <c r="AK349" s="161"/>
      <c r="AL349" s="48"/>
      <c r="AM349" s="48"/>
      <c r="AN349" s="48"/>
      <c r="AO349" s="48"/>
      <c r="AP349" s="48"/>
      <c r="AQ349" s="48"/>
      <c r="AR349" s="48"/>
      <c r="AS349" s="174"/>
      <c r="AT349" s="174"/>
      <c r="AU349" s="174"/>
      <c r="AV349" s="174"/>
    </row>
    <row r="350" spans="1:48" ht="12.75" thickTop="1">
      <c r="A350" s="73" t="s">
        <v>135</v>
      </c>
      <c r="B350" s="26">
        <f>+'[19]2" W Gov E14'!$I$52/1000</f>
        <v>4157</v>
      </c>
      <c r="C350" s="74"/>
      <c r="D350" s="26"/>
      <c r="E350" s="74"/>
      <c r="F350" s="26"/>
      <c r="G350" s="26"/>
      <c r="H350" s="28"/>
      <c r="I350" s="74"/>
      <c r="J350" s="29"/>
      <c r="K350" s="26"/>
      <c r="L350" s="29"/>
      <c r="M350" s="26"/>
      <c r="N350" s="76"/>
      <c r="O350" s="31"/>
      <c r="P350" s="76"/>
      <c r="Q350" s="26"/>
      <c r="R350" s="32"/>
      <c r="S350" s="157"/>
      <c r="T350" s="83"/>
      <c r="U350" s="157"/>
      <c r="V350" s="157"/>
      <c r="W350" s="13"/>
      <c r="X350" s="1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159"/>
      <c r="AJ350" s="160"/>
      <c r="AK350" s="161"/>
      <c r="AL350" s="48"/>
      <c r="AM350" s="48"/>
      <c r="AN350" s="48"/>
      <c r="AO350" s="48"/>
      <c r="AP350" s="48"/>
      <c r="AQ350" s="48"/>
      <c r="AR350" s="48"/>
      <c r="AS350" s="174"/>
      <c r="AT350" s="174"/>
      <c r="AU350" s="174"/>
      <c r="AV350" s="174"/>
    </row>
    <row r="351" spans="1:48">
      <c r="A351" s="78" t="s">
        <v>65</v>
      </c>
      <c r="B351" s="26"/>
      <c r="C351" s="74"/>
      <c r="D351" s="26">
        <f>+'[19]2" W Gov E14'!$S$56</f>
        <v>59.999999999999915</v>
      </c>
      <c r="E351" s="74"/>
      <c r="F351" s="26"/>
      <c r="G351" s="26"/>
      <c r="H351" s="81">
        <f>+'[19]2" W Gov E14'!$S$2</f>
        <v>120.48</v>
      </c>
      <c r="I351" s="74"/>
      <c r="J351" s="83">
        <f>H351*D351</f>
        <v>7228.7999999999902</v>
      </c>
      <c r="K351" s="26"/>
      <c r="L351" s="29">
        <f>+J351</f>
        <v>7228.7999999999902</v>
      </c>
      <c r="M351" s="26"/>
      <c r="N351" s="76">
        <f>D351</f>
        <v>59.999999999999915</v>
      </c>
      <c r="O351" s="31"/>
      <c r="P351" s="76"/>
      <c r="Q351" s="26"/>
      <c r="R351" s="82">
        <f>H351*(1+$W$5)</f>
        <v>146.87957024015276</v>
      </c>
      <c r="S351" s="157"/>
      <c r="T351" s="83">
        <f>R351*+D351</f>
        <v>8812.7742144091535</v>
      </c>
      <c r="U351" s="157"/>
      <c r="V351" s="157"/>
      <c r="W351" s="13"/>
      <c r="X351" s="1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159"/>
      <c r="AJ351" s="160"/>
      <c r="AK351" s="161"/>
      <c r="AL351" s="48"/>
      <c r="AM351" s="48"/>
      <c r="AN351" s="48"/>
      <c r="AO351" s="48"/>
      <c r="AP351" s="48"/>
      <c r="AQ351" s="48"/>
      <c r="AR351" s="48"/>
      <c r="AS351" s="174"/>
      <c r="AT351" s="174"/>
      <c r="AU351" s="174"/>
      <c r="AV351" s="174"/>
    </row>
    <row r="352" spans="1:48">
      <c r="A352" s="78" t="s">
        <v>66</v>
      </c>
      <c r="B352" s="26"/>
      <c r="C352" s="74"/>
      <c r="D352" s="26"/>
      <c r="E352" s="74"/>
      <c r="F352" s="26">
        <f>+'[19]2" W Gov E14'!$V$56</f>
        <v>287.99999999999989</v>
      </c>
      <c r="G352" s="26"/>
      <c r="H352" s="84">
        <f>+'[19]2" W Gov E14'!$S4</f>
        <v>6.23</v>
      </c>
      <c r="I352" s="74"/>
      <c r="J352" s="76">
        <f>H352*F352</f>
        <v>1794.2399999999993</v>
      </c>
      <c r="K352" s="26"/>
      <c r="L352" s="29">
        <f t="shared" ref="L352:L355" si="143">+J352</f>
        <v>1794.2399999999993</v>
      </c>
      <c r="M352" s="26"/>
      <c r="N352" s="76"/>
      <c r="O352" s="31"/>
      <c r="P352" s="76">
        <f>SUM(F352)</f>
        <v>287.99999999999989</v>
      </c>
      <c r="Q352" s="26"/>
      <c r="R352" s="82">
        <f t="shared" ref="R352:R355" si="144">H352*(1+$W$5)</f>
        <v>7.5951172194235701</v>
      </c>
      <c r="S352" s="157"/>
      <c r="T352" s="83">
        <f>R352*F352</f>
        <v>2187.3937591939875</v>
      </c>
      <c r="U352" s="157"/>
      <c r="V352" s="157"/>
      <c r="W352" s="13"/>
      <c r="X352" s="1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159"/>
      <c r="AJ352" s="160"/>
      <c r="AK352" s="161"/>
      <c r="AL352" s="48"/>
      <c r="AM352" s="48"/>
      <c r="AN352" s="48"/>
      <c r="AO352" s="48"/>
      <c r="AP352" s="48"/>
      <c r="AQ352" s="48"/>
      <c r="AR352" s="48"/>
      <c r="AS352" s="174"/>
      <c r="AT352" s="174"/>
      <c r="AU352" s="174"/>
      <c r="AV352" s="174"/>
    </row>
    <row r="353" spans="1:48">
      <c r="A353" s="78" t="s">
        <v>21</v>
      </c>
      <c r="B353" s="26"/>
      <c r="C353" s="74"/>
      <c r="D353" s="26"/>
      <c r="E353" s="74"/>
      <c r="F353" s="26">
        <f>+'[19]2" W Gov E14'!$W$56</f>
        <v>846</v>
      </c>
      <c r="G353" s="26"/>
      <c r="H353" s="84">
        <f>+'[19]2" W Gov E14'!$S5</f>
        <v>5.68</v>
      </c>
      <c r="I353" s="74"/>
      <c r="J353" s="76">
        <f>H353*F353</f>
        <v>4805.28</v>
      </c>
      <c r="K353" s="26"/>
      <c r="L353" s="29">
        <f t="shared" si="143"/>
        <v>4805.28</v>
      </c>
      <c r="M353" s="26"/>
      <c r="N353" s="76"/>
      <c r="O353" s="31"/>
      <c r="P353" s="76">
        <f t="shared" ref="P353:P355" si="145">SUM(F353)</f>
        <v>846</v>
      </c>
      <c r="Q353" s="26"/>
      <c r="R353" s="82">
        <f t="shared" si="144"/>
        <v>6.9246012530218088</v>
      </c>
      <c r="S353" s="157"/>
      <c r="T353" s="83">
        <f t="shared" ref="T353:T355" si="146">R353*F353</f>
        <v>5858.2126600564507</v>
      </c>
      <c r="U353" s="157"/>
      <c r="V353" s="157"/>
      <c r="W353" s="13"/>
      <c r="X353" s="1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159"/>
      <c r="AJ353" s="160"/>
      <c r="AK353" s="161"/>
      <c r="AL353" s="48"/>
      <c r="AM353" s="48"/>
      <c r="AN353" s="48"/>
      <c r="AO353" s="48"/>
      <c r="AP353" s="48"/>
      <c r="AQ353" s="48"/>
      <c r="AR353" s="48"/>
      <c r="AS353" s="174"/>
      <c r="AT353" s="174"/>
      <c r="AU353" s="174"/>
      <c r="AV353" s="174"/>
    </row>
    <row r="354" spans="1:48">
      <c r="A354" s="78" t="s">
        <v>22</v>
      </c>
      <c r="B354" s="26"/>
      <c r="C354" s="74"/>
      <c r="D354" s="26"/>
      <c r="E354" s="74"/>
      <c r="F354" s="26">
        <f>+'[19]2" W Gov E14'!$X$56</f>
        <v>1395</v>
      </c>
      <c r="G354" s="26"/>
      <c r="H354" s="84">
        <f>+'[19]2" W Gov E14'!$S6</f>
        <v>5.04</v>
      </c>
      <c r="I354" s="74"/>
      <c r="J354" s="76">
        <f>H354*F354</f>
        <v>7030.8</v>
      </c>
      <c r="K354" s="26"/>
      <c r="L354" s="29">
        <f t="shared" si="143"/>
        <v>7030.8</v>
      </c>
      <c r="M354" s="26"/>
      <c r="N354" s="76"/>
      <c r="O354" s="31"/>
      <c r="P354" s="76">
        <f t="shared" si="145"/>
        <v>1395</v>
      </c>
      <c r="Q354" s="26"/>
      <c r="R354" s="82">
        <f t="shared" si="144"/>
        <v>6.1443644921179441</v>
      </c>
      <c r="S354" s="157"/>
      <c r="T354" s="83">
        <f t="shared" si="146"/>
        <v>8571.3884665045316</v>
      </c>
      <c r="U354" s="157"/>
      <c r="V354" s="157"/>
      <c r="W354" s="6"/>
      <c r="X354" s="6"/>
      <c r="Z354" s="3"/>
      <c r="AA354" s="3"/>
      <c r="AB354" s="3"/>
      <c r="AC354" s="3"/>
      <c r="AD354" s="3"/>
      <c r="AE354" s="3"/>
      <c r="AF354" s="3"/>
      <c r="AG354" s="3"/>
      <c r="AH354" s="3"/>
      <c r="AI354" s="159"/>
      <c r="AJ354" s="160"/>
      <c r="AK354" s="161"/>
      <c r="AL354" s="48"/>
      <c r="AM354" s="48"/>
      <c r="AN354" s="48"/>
      <c r="AO354" s="48"/>
      <c r="AP354" s="48"/>
      <c r="AQ354" s="48"/>
      <c r="AR354" s="48"/>
      <c r="AS354" s="174"/>
      <c r="AT354" s="174"/>
      <c r="AU354" s="174"/>
      <c r="AV354" s="174"/>
    </row>
    <row r="355" spans="1:48" ht="11.25" customHeight="1">
      <c r="A355" s="78" t="s">
        <v>23</v>
      </c>
      <c r="B355" s="26"/>
      <c r="C355" s="74"/>
      <c r="D355" s="26"/>
      <c r="E355" s="74"/>
      <c r="F355" s="26">
        <f>+'[19]2" W Gov E14'!$Y$56</f>
        <v>947.00000000000023</v>
      </c>
      <c r="G355" s="26"/>
      <c r="H355" s="84">
        <f>+'[19]2" W Gov E14'!$S7</f>
        <v>4.4000000000000004</v>
      </c>
      <c r="I355" s="74"/>
      <c r="J355" s="76">
        <f>H355*F355</f>
        <v>4166.8000000000011</v>
      </c>
      <c r="K355" s="26"/>
      <c r="L355" s="29">
        <f t="shared" si="143"/>
        <v>4166.8000000000011</v>
      </c>
      <c r="M355" s="26"/>
      <c r="N355" s="76"/>
      <c r="O355" s="31"/>
      <c r="P355" s="76">
        <f t="shared" si="145"/>
        <v>947.00000000000023</v>
      </c>
      <c r="Q355" s="26"/>
      <c r="R355" s="82">
        <f t="shared" si="144"/>
        <v>5.3641277312140785</v>
      </c>
      <c r="S355" s="157"/>
      <c r="T355" s="83">
        <f t="shared" si="146"/>
        <v>5079.8289614597334</v>
      </c>
      <c r="U355" s="157"/>
      <c r="V355" s="157"/>
      <c r="W355" s="6"/>
      <c r="X355" s="6"/>
      <c r="Z355" s="3"/>
      <c r="AA355" s="3"/>
      <c r="AB355" s="3"/>
      <c r="AC355" s="3"/>
      <c r="AD355" s="3"/>
      <c r="AE355" s="3"/>
      <c r="AF355" s="3"/>
      <c r="AG355" s="3"/>
      <c r="AH355" s="3"/>
      <c r="AI355" s="159"/>
      <c r="AJ355" s="160"/>
      <c r="AK355" s="161"/>
      <c r="AL355" s="48"/>
      <c r="AM355" s="48"/>
      <c r="AN355" s="48"/>
      <c r="AO355" s="48"/>
      <c r="AP355" s="48"/>
      <c r="AQ355" s="48"/>
      <c r="AR355" s="48"/>
      <c r="AS355" s="174"/>
      <c r="AT355" s="174"/>
      <c r="AU355" s="174"/>
      <c r="AV355" s="174"/>
    </row>
    <row r="356" spans="1:48" ht="12.75" thickBot="1">
      <c r="A356" s="151" t="s">
        <v>136</v>
      </c>
      <c r="B356" s="103">
        <f>SUM(B350:B355)</f>
        <v>4157</v>
      </c>
      <c r="C356" s="74"/>
      <c r="D356" s="103">
        <f>SUM(D350:D355)</f>
        <v>59.999999999999915</v>
      </c>
      <c r="E356" s="74"/>
      <c r="F356" s="103">
        <f>SUM(F350:F355)</f>
        <v>3476</v>
      </c>
      <c r="G356" s="26"/>
      <c r="H356" s="28"/>
      <c r="I356" s="74"/>
      <c r="J356" s="91">
        <f>SUM(J350:J355)</f>
        <v>25025.919999999991</v>
      </c>
      <c r="K356" s="26"/>
      <c r="L356" s="91">
        <f>SUM(L350:L355)</f>
        <v>25025.919999999991</v>
      </c>
      <c r="M356" s="26"/>
      <c r="N356" s="108">
        <f>SUM(N351:N355)</f>
        <v>59.999999999999915</v>
      </c>
      <c r="O356" s="31"/>
      <c r="P356" s="108">
        <f>SUM(P352:P355)</f>
        <v>3476</v>
      </c>
      <c r="Q356" s="67"/>
      <c r="R356" s="68"/>
      <c r="S356" s="157"/>
      <c r="T356" s="91">
        <f>SUM(T350:T355)</f>
        <v>30509.598061623856</v>
      </c>
      <c r="U356" s="157"/>
      <c r="V356" s="157"/>
      <c r="W356" s="6"/>
      <c r="X356" s="6"/>
      <c r="Z356" s="3"/>
      <c r="AA356" s="3"/>
      <c r="AB356" s="3"/>
      <c r="AC356" s="3"/>
      <c r="AD356" s="3"/>
      <c r="AE356" s="3"/>
      <c r="AF356" s="3"/>
      <c r="AG356" s="3"/>
      <c r="AH356" s="3"/>
      <c r="AI356" s="159"/>
      <c r="AJ356" s="160"/>
      <c r="AK356" s="161"/>
      <c r="AL356" s="48"/>
      <c r="AM356" s="48"/>
      <c r="AN356" s="48"/>
      <c r="AO356" s="48"/>
      <c r="AP356" s="48"/>
      <c r="AQ356" s="48"/>
      <c r="AR356" s="48"/>
      <c r="AS356" s="174"/>
      <c r="AT356" s="174"/>
      <c r="AU356" s="174"/>
      <c r="AV356" s="174"/>
    </row>
    <row r="357" spans="1:48" ht="12.75" thickTop="1">
      <c r="A357" s="151"/>
      <c r="B357" s="225"/>
      <c r="C357" s="74"/>
      <c r="D357" s="67"/>
      <c r="E357" s="74"/>
      <c r="F357" s="225"/>
      <c r="G357" s="26"/>
      <c r="H357" s="28"/>
      <c r="I357" s="74"/>
      <c r="J357" s="226"/>
      <c r="K357" s="26"/>
      <c r="L357" s="226"/>
      <c r="M357" s="26"/>
      <c r="N357" s="124"/>
      <c r="O357" s="31"/>
      <c r="P357" s="124"/>
      <c r="Q357" s="67"/>
      <c r="R357" s="68"/>
      <c r="S357" s="157"/>
      <c r="T357" s="83"/>
      <c r="U357" s="157"/>
      <c r="V357" s="157"/>
      <c r="W357" s="165"/>
      <c r="X357" s="166"/>
      <c r="Y357" s="167"/>
      <c r="Z357" s="3"/>
      <c r="AA357" s="3"/>
      <c r="AB357" s="3"/>
      <c r="AC357" s="3"/>
      <c r="AD357" s="3"/>
      <c r="AE357" s="3"/>
      <c r="AF357" s="3"/>
      <c r="AG357" s="3"/>
      <c r="AH357" s="3"/>
      <c r="AI357" s="159"/>
      <c r="AJ357" s="160"/>
      <c r="AK357" s="161"/>
      <c r="AL357" s="48"/>
      <c r="AM357" s="48"/>
      <c r="AN357" s="48"/>
      <c r="AO357" s="48"/>
      <c r="AP357" s="48"/>
      <c r="AQ357" s="48"/>
      <c r="AR357" s="48"/>
      <c r="AS357" s="174"/>
      <c r="AT357" s="174"/>
      <c r="AU357" s="174"/>
      <c r="AV357" s="174"/>
    </row>
    <row r="358" spans="1:48" s="172" customFormat="1" ht="12.75" thickBot="1">
      <c r="A358" s="168" t="s">
        <v>137</v>
      </c>
      <c r="B358" s="67"/>
      <c r="C358" s="48"/>
      <c r="D358" s="67"/>
      <c r="E358" s="48"/>
      <c r="F358" s="67"/>
      <c r="G358" s="31"/>
      <c r="H358" s="32"/>
      <c r="I358" s="48"/>
      <c r="J358" s="173"/>
      <c r="K358" s="31"/>
      <c r="L358" s="99">
        <f>L356/+$D356</f>
        <v>417.0986666666671</v>
      </c>
      <c r="M358" s="26"/>
      <c r="N358" s="76"/>
      <c r="O358" s="31"/>
      <c r="P358" s="76"/>
      <c r="Q358" s="26"/>
      <c r="R358" s="32"/>
      <c r="S358" s="75"/>
      <c r="T358" s="99">
        <f>T356/+$D356</f>
        <v>508.493301027065</v>
      </c>
      <c r="U358" s="75"/>
      <c r="V358" s="75"/>
      <c r="W358" s="169"/>
      <c r="X358" s="170"/>
      <c r="Y358" s="171"/>
      <c r="Z358" s="46"/>
      <c r="AA358" s="46"/>
      <c r="AB358" s="46"/>
      <c r="AC358" s="46"/>
      <c r="AD358" s="46"/>
      <c r="AE358" s="46"/>
      <c r="AF358" s="46"/>
      <c r="AG358" s="46"/>
      <c r="AH358" s="46"/>
      <c r="AI358" s="159"/>
      <c r="AJ358" s="160"/>
      <c r="AK358" s="161"/>
      <c r="AL358" s="48"/>
      <c r="AM358" s="48"/>
      <c r="AN358" s="48"/>
      <c r="AO358" s="48"/>
      <c r="AP358" s="48"/>
      <c r="AQ358" s="48"/>
      <c r="AR358" s="48"/>
      <c r="AS358" s="174"/>
      <c r="AT358" s="174"/>
      <c r="AU358" s="174"/>
      <c r="AV358" s="174"/>
    </row>
    <row r="359" spans="1:48" s="172" customFormat="1" ht="12.75" thickTop="1">
      <c r="B359" s="67"/>
      <c r="C359" s="48"/>
      <c r="D359" s="67"/>
      <c r="E359" s="48"/>
      <c r="F359" s="67"/>
      <c r="G359" s="31"/>
      <c r="H359" s="32"/>
      <c r="I359" s="48"/>
      <c r="J359" s="173"/>
      <c r="K359" s="31"/>
      <c r="L359" s="173"/>
      <c r="M359" s="31"/>
      <c r="N359" s="124"/>
      <c r="O359" s="31"/>
      <c r="P359" s="124"/>
      <c r="Q359" s="67"/>
      <c r="R359" s="68"/>
      <c r="S359" s="174"/>
      <c r="T359" s="174"/>
      <c r="U359" s="174"/>
      <c r="V359" s="174"/>
      <c r="W359" s="169"/>
      <c r="X359" s="170"/>
      <c r="Y359" s="171"/>
      <c r="Z359" s="46"/>
      <c r="AA359" s="46"/>
      <c r="AB359" s="46"/>
      <c r="AC359" s="46"/>
      <c r="AD359" s="46"/>
      <c r="AE359" s="46"/>
      <c r="AF359" s="46"/>
      <c r="AG359" s="46"/>
      <c r="AH359" s="46"/>
      <c r="AI359" s="159"/>
      <c r="AJ359" s="160"/>
      <c r="AK359" s="161"/>
      <c r="AL359" s="48"/>
      <c r="AM359" s="48"/>
      <c r="AN359" s="48"/>
      <c r="AO359" s="48"/>
      <c r="AP359" s="48"/>
      <c r="AQ359" s="48"/>
      <c r="AR359" s="48"/>
      <c r="AS359" s="174"/>
      <c r="AT359" s="174"/>
      <c r="AU359" s="174"/>
      <c r="AV359" s="174"/>
    </row>
    <row r="360" spans="1:48" s="172" customFormat="1">
      <c r="A360" s="168"/>
      <c r="B360" s="67"/>
      <c r="C360" s="48"/>
      <c r="D360" s="67"/>
      <c r="E360" s="48"/>
      <c r="F360" s="67"/>
      <c r="G360" s="31"/>
      <c r="H360" s="32"/>
      <c r="I360" s="48"/>
      <c r="J360" s="173"/>
      <c r="K360" s="31"/>
      <c r="L360" s="173"/>
      <c r="M360" s="31"/>
      <c r="N360" s="124"/>
      <c r="O360" s="31"/>
      <c r="P360" s="124"/>
      <c r="Q360" s="67"/>
      <c r="R360" s="68"/>
      <c r="S360" s="174"/>
      <c r="T360" s="174"/>
      <c r="U360" s="174"/>
      <c r="V360" s="174"/>
      <c r="W360" s="169"/>
      <c r="X360" s="170"/>
      <c r="Y360" s="171"/>
      <c r="Z360" s="46"/>
      <c r="AA360" s="46"/>
      <c r="AB360" s="46"/>
      <c r="AC360" s="46"/>
      <c r="AD360" s="46"/>
      <c r="AE360" s="46"/>
      <c r="AF360" s="46"/>
      <c r="AG360" s="46"/>
      <c r="AH360" s="46"/>
      <c r="AI360" s="159"/>
      <c r="AJ360" s="160"/>
      <c r="AK360" s="161"/>
      <c r="AL360" s="48"/>
      <c r="AM360" s="48"/>
      <c r="AN360" s="48"/>
      <c r="AO360" s="48"/>
      <c r="AP360" s="48"/>
      <c r="AQ360" s="48"/>
      <c r="AR360" s="48"/>
      <c r="AS360" s="174"/>
      <c r="AT360" s="174"/>
      <c r="AU360" s="174"/>
      <c r="AV360" s="174"/>
    </row>
    <row r="361" spans="1:48">
      <c r="A361" s="114" t="s">
        <v>138</v>
      </c>
      <c r="B361" s="79">
        <v>0</v>
      </c>
      <c r="C361" s="80"/>
      <c r="D361" s="79">
        <f>54*12</f>
        <v>648</v>
      </c>
      <c r="E361" s="74"/>
      <c r="F361" s="26">
        <v>0</v>
      </c>
      <c r="G361" s="26"/>
      <c r="H361" s="115">
        <v>4.43</v>
      </c>
      <c r="I361" s="75"/>
      <c r="J361" s="29">
        <f>H361*D361</f>
        <v>2870.64</v>
      </c>
      <c r="K361" s="26"/>
      <c r="L361" s="29">
        <f>+J361</f>
        <v>2870.64</v>
      </c>
      <c r="M361" s="26"/>
      <c r="N361" s="76">
        <f>D361</f>
        <v>648</v>
      </c>
      <c r="O361" s="31"/>
      <c r="P361" s="76"/>
      <c r="Q361" s="26"/>
      <c r="R361" s="82">
        <f>H361*(1+$W$5)</f>
        <v>5.4007013293814463</v>
      </c>
      <c r="S361" s="74"/>
      <c r="T361" s="83">
        <f>R361*+D361</f>
        <v>3499.6544614391773</v>
      </c>
      <c r="U361" s="74"/>
      <c r="V361" s="74"/>
      <c r="W361" s="47"/>
      <c r="X361" s="45"/>
      <c r="Y361" s="46"/>
      <c r="Z361" s="46"/>
      <c r="AA361" s="46"/>
      <c r="AB361" s="46"/>
      <c r="AC361" s="46"/>
      <c r="AD361" s="111"/>
      <c r="AE361" s="112"/>
      <c r="AF361" s="19"/>
      <c r="AG361" s="113"/>
      <c r="AH361" s="48"/>
      <c r="AI361" s="48"/>
      <c r="AJ361" s="19"/>
      <c r="AK361" s="174"/>
      <c r="AL361" s="48"/>
      <c r="AM361" s="174"/>
      <c r="AN361" s="48"/>
      <c r="AO361" s="174"/>
      <c r="AP361" s="174"/>
      <c r="AQ361" s="174"/>
      <c r="AR361" s="174"/>
      <c r="AS361" s="174"/>
      <c r="AT361" s="174"/>
      <c r="AU361" s="174"/>
      <c r="AV361" s="174"/>
    </row>
    <row r="362" spans="1:48" ht="12.75" thickBot="1">
      <c r="A362" s="88" t="s">
        <v>139</v>
      </c>
      <c r="B362" s="103">
        <f>SUM(B361)</f>
        <v>0</v>
      </c>
      <c r="C362" s="80"/>
      <c r="D362" s="103">
        <f>SUM(D361)</f>
        <v>648</v>
      </c>
      <c r="E362" s="74"/>
      <c r="F362" s="103">
        <f>SUM(F361)</f>
        <v>0</v>
      </c>
      <c r="G362" s="26"/>
      <c r="H362" s="28"/>
      <c r="I362" s="75"/>
      <c r="J362" s="91">
        <f>SUM(J361)</f>
        <v>2870.64</v>
      </c>
      <c r="K362" s="26"/>
      <c r="L362" s="91">
        <f>SUM(L361)</f>
        <v>2870.64</v>
      </c>
      <c r="M362" s="26"/>
      <c r="N362" s="108">
        <f>SUM(N361)</f>
        <v>648</v>
      </c>
      <c r="O362" s="31"/>
      <c r="P362" s="108"/>
      <c r="Q362" s="26"/>
      <c r="R362" s="32"/>
      <c r="S362" s="74"/>
      <c r="T362" s="91">
        <f>SUM(T361)</f>
        <v>3499.6544614391773</v>
      </c>
      <c r="U362" s="74"/>
      <c r="V362" s="74"/>
      <c r="W362" s="47"/>
      <c r="X362" s="45"/>
      <c r="Y362" s="46"/>
      <c r="Z362" s="46"/>
      <c r="AA362" s="46"/>
      <c r="AB362" s="46"/>
      <c r="AC362" s="46"/>
      <c r="AD362" s="111"/>
      <c r="AE362" s="112"/>
      <c r="AF362" s="19"/>
      <c r="AG362" s="113"/>
      <c r="AH362" s="48"/>
      <c r="AI362" s="48"/>
      <c r="AJ362" s="19"/>
      <c r="AK362" s="174"/>
      <c r="AL362" s="48"/>
      <c r="AM362" s="174"/>
      <c r="AN362" s="48"/>
      <c r="AO362" s="174"/>
      <c r="AP362" s="174"/>
      <c r="AQ362" s="174"/>
      <c r="AR362" s="174"/>
      <c r="AS362" s="174"/>
      <c r="AT362" s="174"/>
      <c r="AU362" s="174"/>
      <c r="AV362" s="174"/>
    </row>
    <row r="363" spans="1:48" ht="12.75" thickTop="1">
      <c r="A363" s="114"/>
      <c r="B363" s="79"/>
      <c r="C363" s="80"/>
      <c r="D363" s="79"/>
      <c r="E363" s="74"/>
      <c r="F363" s="26"/>
      <c r="G363" s="26"/>
      <c r="H363" s="28"/>
      <c r="I363" s="75"/>
      <c r="J363" s="29"/>
      <c r="K363" s="26"/>
      <c r="L363" s="29"/>
      <c r="M363" s="26"/>
      <c r="N363" s="76"/>
      <c r="O363" s="31"/>
      <c r="P363" s="76"/>
      <c r="Q363" s="26"/>
      <c r="R363" s="32"/>
      <c r="S363" s="74"/>
      <c r="T363" s="77"/>
      <c r="U363" s="74"/>
      <c r="V363" s="48"/>
      <c r="W363" s="47"/>
      <c r="X363" s="45"/>
      <c r="Y363" s="46"/>
      <c r="Z363" s="46"/>
      <c r="AA363" s="46"/>
      <c r="AB363" s="46"/>
      <c r="AC363" s="46"/>
      <c r="AD363" s="111"/>
      <c r="AE363" s="112"/>
      <c r="AF363" s="19"/>
      <c r="AG363" s="113"/>
      <c r="AH363" s="48"/>
      <c r="AI363" s="48"/>
      <c r="AJ363" s="19"/>
      <c r="AK363" s="174"/>
      <c r="AL363" s="48"/>
      <c r="AM363" s="174"/>
      <c r="AN363" s="48"/>
      <c r="AO363" s="174"/>
      <c r="AP363" s="174"/>
      <c r="AQ363" s="174"/>
      <c r="AR363" s="174"/>
      <c r="AS363" s="174"/>
      <c r="AT363" s="174"/>
      <c r="AU363" s="174"/>
      <c r="AV363" s="174"/>
    </row>
    <row r="364" spans="1:48" ht="12.75" thickBot="1">
      <c r="A364" s="98" t="s">
        <v>140</v>
      </c>
      <c r="B364" s="79"/>
      <c r="C364" s="80"/>
      <c r="D364" s="79"/>
      <c r="E364" s="74"/>
      <c r="F364" s="26"/>
      <c r="G364" s="26"/>
      <c r="H364" s="28"/>
      <c r="I364" s="75"/>
      <c r="J364" s="29"/>
      <c r="K364" s="26"/>
      <c r="L364" s="99">
        <f>L362/+$D362</f>
        <v>4.43</v>
      </c>
      <c r="M364" s="26"/>
      <c r="N364" s="76"/>
      <c r="O364" s="31"/>
      <c r="P364" s="76"/>
      <c r="Q364" s="26"/>
      <c r="R364" s="32"/>
      <c r="S364" s="75"/>
      <c r="T364" s="99">
        <f>T362/+$D362</f>
        <v>5.4007013293814463</v>
      </c>
      <c r="U364" s="75"/>
      <c r="V364" s="19"/>
      <c r="W364" s="47"/>
      <c r="X364" s="45"/>
      <c r="Y364" s="46"/>
      <c r="Z364" s="46"/>
      <c r="AA364" s="46"/>
      <c r="AB364" s="46"/>
      <c r="AC364" s="46"/>
      <c r="AD364" s="111"/>
      <c r="AE364" s="112"/>
      <c r="AF364" s="19"/>
      <c r="AG364" s="113"/>
      <c r="AH364" s="48"/>
      <c r="AI364" s="48"/>
      <c r="AJ364" s="19"/>
      <c r="AK364" s="174"/>
      <c r="AL364" s="48"/>
      <c r="AM364" s="174"/>
      <c r="AN364" s="48"/>
      <c r="AO364" s="174"/>
      <c r="AP364" s="174"/>
      <c r="AQ364" s="174"/>
      <c r="AR364" s="174"/>
      <c r="AS364" s="174"/>
      <c r="AT364" s="174"/>
      <c r="AU364" s="174"/>
      <c r="AV364" s="174"/>
    </row>
    <row r="365" spans="1:48" ht="12.75" thickTop="1">
      <c r="A365" s="114" t="s">
        <v>141</v>
      </c>
      <c r="B365" s="79">
        <v>0</v>
      </c>
      <c r="C365" s="80"/>
      <c r="D365" s="79">
        <f>12*12</f>
        <v>144</v>
      </c>
      <c r="E365" s="74"/>
      <c r="F365" s="26">
        <v>0</v>
      </c>
      <c r="G365" s="26"/>
      <c r="H365" s="115">
        <v>19.93</v>
      </c>
      <c r="I365" s="75"/>
      <c r="J365" s="29">
        <f>H365*D365</f>
        <v>2869.92</v>
      </c>
      <c r="K365" s="26"/>
      <c r="L365" s="29">
        <f>+J365</f>
        <v>2869.92</v>
      </c>
      <c r="M365" s="26"/>
      <c r="N365" s="76">
        <f>D365</f>
        <v>144</v>
      </c>
      <c r="O365" s="31"/>
      <c r="P365" s="76"/>
      <c r="Q365" s="26"/>
      <c r="R365" s="82">
        <f>H365*(1+$W$5)</f>
        <v>24.297060382521948</v>
      </c>
      <c r="S365" s="74"/>
      <c r="T365" s="83">
        <f>R365*+D365</f>
        <v>3498.7766950831606</v>
      </c>
      <c r="U365" s="74"/>
      <c r="V365" s="48"/>
      <c r="W365" s="47"/>
      <c r="X365" s="45"/>
      <c r="Y365" s="46"/>
      <c r="Z365" s="46"/>
      <c r="AA365" s="46"/>
      <c r="AB365" s="46"/>
      <c r="AC365" s="46"/>
      <c r="AD365" s="111"/>
      <c r="AE365" s="112"/>
      <c r="AF365" s="19"/>
      <c r="AG365" s="113"/>
      <c r="AH365" s="48"/>
      <c r="AI365" s="48"/>
      <c r="AJ365" s="19"/>
      <c r="AK365" s="174"/>
      <c r="AL365" s="48"/>
      <c r="AM365" s="174"/>
      <c r="AN365" s="48"/>
      <c r="AO365" s="174"/>
      <c r="AP365" s="174"/>
      <c r="AQ365" s="174"/>
      <c r="AR365" s="174"/>
      <c r="AS365" s="174"/>
      <c r="AT365" s="174"/>
      <c r="AU365" s="174"/>
      <c r="AV365" s="174"/>
    </row>
    <row r="366" spans="1:48" ht="12.75" thickBot="1">
      <c r="A366" s="88" t="s">
        <v>142</v>
      </c>
      <c r="B366" s="103">
        <f>SUM(B365)</f>
        <v>0</v>
      </c>
      <c r="C366" s="80"/>
      <c r="D366" s="103">
        <f>SUM(D365)</f>
        <v>144</v>
      </c>
      <c r="E366" s="74"/>
      <c r="F366" s="103">
        <f>SUM(F365)</f>
        <v>0</v>
      </c>
      <c r="G366" s="26"/>
      <c r="H366" s="28"/>
      <c r="I366" s="75"/>
      <c r="J366" s="91">
        <f>SUM(J365)</f>
        <v>2869.92</v>
      </c>
      <c r="K366" s="26"/>
      <c r="L366" s="91">
        <f>SUM(L365)</f>
        <v>2869.92</v>
      </c>
      <c r="M366" s="26"/>
      <c r="N366" s="108">
        <f>SUM(N365)</f>
        <v>144</v>
      </c>
      <c r="O366" s="31"/>
      <c r="P366" s="108"/>
      <c r="Q366" s="26"/>
      <c r="R366" s="32"/>
      <c r="S366" s="74"/>
      <c r="T366" s="91">
        <f>SUM(T365)</f>
        <v>3498.7766950831606</v>
      </c>
      <c r="U366" s="75"/>
      <c r="V366" s="48"/>
      <c r="W366" s="47"/>
      <c r="X366" s="45"/>
      <c r="Y366" s="46"/>
      <c r="Z366" s="46"/>
      <c r="AA366" s="46"/>
      <c r="AB366" s="46"/>
      <c r="AC366" s="46"/>
      <c r="AD366" s="111"/>
      <c r="AE366" s="112"/>
      <c r="AF366" s="19"/>
      <c r="AG366" s="113"/>
      <c r="AH366" s="48"/>
      <c r="AI366" s="48"/>
      <c r="AJ366" s="19"/>
      <c r="AK366" s="174"/>
      <c r="AL366" s="48"/>
      <c r="AM366" s="174"/>
      <c r="AN366" s="48"/>
      <c r="AO366" s="174"/>
      <c r="AP366" s="174"/>
      <c r="AQ366" s="174"/>
      <c r="AR366" s="174"/>
      <c r="AS366" s="174"/>
      <c r="AT366" s="174"/>
      <c r="AU366" s="174"/>
      <c r="AV366" s="174"/>
    </row>
    <row r="367" spans="1:48" ht="12.75" thickTop="1">
      <c r="A367" s="114"/>
      <c r="B367" s="79"/>
      <c r="C367" s="80"/>
      <c r="D367" s="79"/>
      <c r="E367" s="74"/>
      <c r="F367" s="26"/>
      <c r="G367" s="26"/>
      <c r="H367" s="28"/>
      <c r="I367" s="75"/>
      <c r="J367" s="29"/>
      <c r="K367" s="26"/>
      <c r="L367" s="29"/>
      <c r="M367" s="26"/>
      <c r="N367" s="76"/>
      <c r="O367" s="31"/>
      <c r="P367" s="76"/>
      <c r="Q367" s="26"/>
      <c r="R367" s="32"/>
      <c r="S367" s="74"/>
      <c r="T367" s="77"/>
      <c r="U367" s="74"/>
      <c r="V367" s="48"/>
      <c r="W367" s="227"/>
      <c r="X367" s="227"/>
      <c r="Y367" s="227"/>
      <c r="Z367" s="46"/>
      <c r="AA367" s="46"/>
      <c r="AB367" s="46"/>
      <c r="AC367" s="46"/>
      <c r="AD367" s="111"/>
      <c r="AE367" s="112"/>
      <c r="AF367" s="19"/>
      <c r="AG367" s="113"/>
      <c r="AH367" s="48"/>
      <c r="AI367" s="48"/>
      <c r="AJ367" s="19"/>
      <c r="AK367" s="174"/>
      <c r="AL367" s="48"/>
      <c r="AM367" s="174"/>
      <c r="AN367" s="48"/>
      <c r="AO367" s="174"/>
      <c r="AP367" s="174"/>
      <c r="AQ367" s="174"/>
      <c r="AR367" s="174"/>
      <c r="AS367" s="174"/>
      <c r="AT367" s="174"/>
      <c r="AU367" s="174"/>
      <c r="AV367" s="174"/>
    </row>
    <row r="368" spans="1:48" ht="12.75" thickBot="1">
      <c r="A368" s="98" t="s">
        <v>144</v>
      </c>
      <c r="B368" s="79"/>
      <c r="C368" s="80"/>
      <c r="D368" s="79"/>
      <c r="E368" s="74"/>
      <c r="F368" s="26"/>
      <c r="G368" s="26"/>
      <c r="H368" s="28"/>
      <c r="I368" s="75"/>
      <c r="J368" s="29"/>
      <c r="K368" s="26"/>
      <c r="L368" s="99">
        <f>L366/+$D366</f>
        <v>19.93</v>
      </c>
      <c r="M368" s="26"/>
      <c r="N368" s="76"/>
      <c r="O368" s="31"/>
      <c r="P368" s="76"/>
      <c r="Q368" s="26"/>
      <c r="R368" s="32"/>
      <c r="S368" s="75"/>
      <c r="T368" s="99">
        <f>T366/+$D366</f>
        <v>24.297060382521948</v>
      </c>
      <c r="U368" s="75"/>
      <c r="V368" s="19"/>
      <c r="W368" s="228"/>
      <c r="X368" s="228"/>
      <c r="Y368" s="46"/>
      <c r="Z368" s="46"/>
      <c r="AA368" s="46"/>
      <c r="AB368" s="46"/>
      <c r="AC368" s="46"/>
      <c r="AD368" s="111"/>
      <c r="AE368" s="112"/>
      <c r="AF368" s="19"/>
      <c r="AG368" s="113"/>
      <c r="AH368" s="48"/>
      <c r="AI368" s="48"/>
      <c r="AJ368" s="19"/>
      <c r="AK368" s="174"/>
      <c r="AL368" s="48"/>
      <c r="AM368" s="174"/>
      <c r="AN368" s="48"/>
      <c r="AO368" s="174"/>
      <c r="AP368" s="174"/>
      <c r="AQ368" s="174"/>
      <c r="AR368" s="174"/>
      <c r="AS368" s="174"/>
      <c r="AT368" s="174"/>
      <c r="AU368" s="174"/>
      <c r="AV368" s="174"/>
    </row>
    <row r="369" spans="1:25" ht="12.75" thickTop="1">
      <c r="V369" s="172"/>
      <c r="W369" s="169"/>
      <c r="X369" s="170"/>
      <c r="Y369" s="171"/>
    </row>
    <row r="370" spans="1:25" s="97" customFormat="1" ht="12.75" thickBot="1">
      <c r="A370" s="70" t="s">
        <v>146</v>
      </c>
      <c r="B370" s="177">
        <f>B366+B362+B356+B347+B338+B329+B320+B311+B301+B291+B281+B271+B261+B251+B241+B231</f>
        <v>35715</v>
      </c>
      <c r="D370" s="177">
        <f>D366+D362+D356+D347+D338+D329+D320+D311+D301+D291+D281+D271+D261+D251+D241+D231</f>
        <v>8613.0000000000036</v>
      </c>
      <c r="F370" s="177">
        <f>F366+F362+F356+F347+F338+F329+F320+F311+F301+F291+F281+F271+F261+F251+F241+F231</f>
        <v>26467.000000000004</v>
      </c>
      <c r="G370" s="178"/>
      <c r="H370" s="179"/>
      <c r="J370" s="214">
        <f>J366+J362+J356+J347+J338+J329+J320+J311+J301+J291+J281+J271+J261+J251+J241+J231</f>
        <v>283398.76000000007</v>
      </c>
      <c r="K370" s="178"/>
      <c r="L370" s="214">
        <f>L366+L362+L356+L347+L338+L329+L320+L311+L301+L291+L281+L271+L261+L251+L241+L231</f>
        <v>283398.76000000007</v>
      </c>
      <c r="M370" s="178"/>
      <c r="N370" s="215">
        <f>N366+N362+N356+N347+N338+N329+N320+N311+N301+N291+N281+N271+N261+N251+N241+N231</f>
        <v>8613.0000000000036</v>
      </c>
      <c r="O370" s="182"/>
      <c r="P370" s="215">
        <f>P366+P362+P356+P347+P338+P329+P320+P311+P301+P291+P281+P271+P261+P251+P241+P231</f>
        <v>26467.000000000004</v>
      </c>
      <c r="Q370" s="178"/>
      <c r="R370" s="183"/>
      <c r="T370" s="214">
        <f>T366+T362+T356+T347+T338+T329+T320+T311+T301+T291+T281+T271+T261+T251+T241+T231</f>
        <v>342655.70051979483</v>
      </c>
      <c r="V370" s="229"/>
      <c r="W370" s="230"/>
      <c r="X370" s="231"/>
      <c r="Y370" s="232"/>
    </row>
    <row r="371" spans="1:25" ht="12.75" thickTop="1">
      <c r="O371" s="187"/>
      <c r="V371" s="172"/>
      <c r="W371" s="227"/>
      <c r="X371" s="227"/>
      <c r="Y371" s="188"/>
    </row>
    <row r="372" spans="1:25">
      <c r="O372" s="187"/>
      <c r="V372" s="172"/>
      <c r="W372" s="233"/>
      <c r="X372" s="169"/>
      <c r="Y372" s="171"/>
    </row>
    <row r="373" spans="1:25" s="97" customFormat="1" ht="12.75" thickBot="1">
      <c r="A373" s="97" t="s">
        <v>147</v>
      </c>
      <c r="B373" s="177">
        <f>B370+B221</f>
        <v>439666.14399999997</v>
      </c>
      <c r="D373" s="177">
        <f>D370+D221</f>
        <v>82417.999999999898</v>
      </c>
      <c r="F373" s="177">
        <f>F370+F221</f>
        <v>341171.26923076907</v>
      </c>
      <c r="G373" s="178"/>
      <c r="H373" s="179"/>
      <c r="J373" s="214">
        <f>J370+J221</f>
        <v>2103753.4699999988</v>
      </c>
      <c r="K373" s="178"/>
      <c r="L373" s="215">
        <f>L370+L221</f>
        <v>2103753.4699999988</v>
      </c>
      <c r="M373" s="178"/>
      <c r="N373" s="215">
        <f>N370+N221</f>
        <v>82417.999999999898</v>
      </c>
      <c r="O373" s="182"/>
      <c r="P373" s="215">
        <f>P370+P221</f>
        <v>341171.26923076907</v>
      </c>
      <c r="Q373" s="178"/>
      <c r="R373" s="183"/>
      <c r="T373" s="214">
        <f>T370+T221</f>
        <v>2561886.4233736936</v>
      </c>
      <c r="V373" s="229"/>
      <c r="W373" s="229"/>
      <c r="X373" s="229"/>
      <c r="Y373" s="229"/>
    </row>
    <row r="374" spans="1:25" ht="12.75" thickTop="1">
      <c r="V374" s="172"/>
      <c r="W374" s="234"/>
      <c r="X374" s="234"/>
      <c r="Y374" s="172"/>
    </row>
    <row r="375" spans="1:25">
      <c r="L375" s="74">
        <v>2066451.4</v>
      </c>
      <c r="N375" s="140">
        <f>+L375-L373</f>
        <v>-37302.069999998901</v>
      </c>
      <c r="V375" s="172"/>
      <c r="W375" s="234"/>
      <c r="X375" s="234"/>
      <c r="Y375" s="172"/>
    </row>
    <row r="376" spans="1:25">
      <c r="N376" s="216">
        <f>+N375/L373</f>
        <v>-1.7731198323346756E-2</v>
      </c>
      <c r="P376" s="217"/>
      <c r="R376" s="82"/>
      <c r="V376" s="172"/>
      <c r="W376" s="235"/>
      <c r="X376" s="235"/>
      <c r="Y376" s="171"/>
    </row>
    <row r="377" spans="1:25">
      <c r="L377" s="218"/>
      <c r="V377" s="172"/>
      <c r="W377" s="234"/>
      <c r="X377" s="234"/>
      <c r="Y377" s="172"/>
    </row>
    <row r="378" spans="1:25">
      <c r="V378" s="172"/>
      <c r="W378" s="236"/>
      <c r="X378" s="236"/>
      <c r="Y378" s="172"/>
    </row>
    <row r="379" spans="1:25">
      <c r="V379" s="172"/>
      <c r="W379" s="237"/>
      <c r="X379" s="169"/>
      <c r="Y379" s="172"/>
    </row>
    <row r="380" spans="1:25">
      <c r="V380" s="172"/>
      <c r="W380" s="234"/>
      <c r="X380" s="234"/>
      <c r="Y380" s="172"/>
    </row>
  </sheetData>
  <mergeCells count="3">
    <mergeCell ref="W367:Y367"/>
    <mergeCell ref="W371:X371"/>
    <mergeCell ref="W378:X378"/>
  </mergeCells>
  <pageMargins left="0.25" right="0.25" top="0.75" bottom="0.75" header="0.3" footer="0.3"/>
  <pageSetup scale="68" orientation="landscape" r:id="rId1"/>
  <rowBreaks count="1" manualBreakCount="1"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Schedule D</vt:lpstr>
      <vt:lpstr>Schedule D with Links</vt:lpstr>
      <vt:lpstr>'Schedule D'!Print_Area</vt:lpstr>
      <vt:lpstr>'Schedule D with Links'!Print_Area</vt:lpstr>
      <vt:lpstr>'Schedule D'!Print_Titles</vt:lpstr>
      <vt:lpstr>'Schedule D with Links'!Print_Titles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2013-12-06T17:33:53Z</dcterms:created>
  <dcterms:modified xsi:type="dcterms:W3CDTF">2013-12-06T17:45:27Z</dcterms:modified>
</cp:coreProperties>
</file>